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os168/Documents/dokument/Projects/R12/"/>
    </mc:Choice>
  </mc:AlternateContent>
  <xr:revisionPtr revIDLastSave="0" documentId="8_{42088EC1-B1B2-FF42-B3B5-762CB4485365}" xr6:coauthVersionLast="47" xr6:coauthVersionMax="47" xr10:uidLastSave="{00000000-0000-0000-0000-000000000000}"/>
  <bookViews>
    <workbookView xWindow="1460" yWindow="780" windowWidth="27900" windowHeight="17860" activeTab="6" xr2:uid="{5E3B252A-4F37-AF4A-B049-760AC3BFCE15}"/>
  </bookViews>
  <sheets>
    <sheet name="Figure 1 - Animal experiement" sheetId="1" r:id="rId1"/>
    <sheet name="Figure 2 - Colicins" sheetId="3" r:id="rId2"/>
    <sheet name="Figure 2 - CDI" sheetId="2" r:id="rId3"/>
    <sheet name="Figure 3 - Colonization untreat" sheetId="5" r:id="rId4"/>
    <sheet name="Figure 4 - Colonization MG1655" sheetId="4" r:id="rId5"/>
    <sheet name="Figure S5 - LPS" sheetId="6" r:id="rId6"/>
    <sheet name="Figure S6 - Colonization MG1655" sheetId="7" r:id="rId7"/>
  </sheets>
  <externalReferences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" i="5" l="1"/>
  <c r="H124" i="4"/>
  <c r="H125" i="4"/>
  <c r="H126" i="4"/>
  <c r="H127" i="4"/>
  <c r="F203" i="4" s="1"/>
  <c r="H128" i="4"/>
  <c r="F204" i="4" s="1"/>
  <c r="H129" i="4"/>
  <c r="F205" i="4" s="1"/>
  <c r="H130" i="4"/>
  <c r="Q206" i="4" s="1"/>
  <c r="H131" i="4"/>
  <c r="F207" i="4" s="1"/>
  <c r="H132" i="4"/>
  <c r="Q208" i="4" s="1"/>
  <c r="H133" i="4"/>
  <c r="H134" i="4"/>
  <c r="H135" i="4"/>
  <c r="H136" i="4"/>
  <c r="H137" i="4"/>
  <c r="F213" i="4" s="1"/>
  <c r="H138" i="4"/>
  <c r="F214" i="4" s="1"/>
  <c r="H139" i="4"/>
  <c r="F215" i="4" s="1"/>
  <c r="H140" i="4"/>
  <c r="F216" i="4" s="1"/>
  <c r="H141" i="4"/>
  <c r="H142" i="4"/>
  <c r="H143" i="4"/>
  <c r="H144" i="4"/>
  <c r="H145" i="4"/>
  <c r="H146" i="4"/>
  <c r="H147" i="4"/>
  <c r="F223" i="4" s="1"/>
  <c r="H148" i="4"/>
  <c r="F224" i="4" s="1"/>
  <c r="H149" i="4"/>
  <c r="F225" i="4" s="1"/>
  <c r="H150" i="4"/>
  <c r="Q226" i="4" s="1"/>
  <c r="H151" i="4"/>
  <c r="F227" i="4" s="1"/>
  <c r="H152" i="4"/>
  <c r="Q228" i="4" s="1"/>
  <c r="H153" i="4"/>
  <c r="H154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Q213" i="4" s="1"/>
  <c r="G138" i="4"/>
  <c r="Q214" i="4" s="1"/>
  <c r="G139" i="4"/>
  <c r="Q215" i="4" s="1"/>
  <c r="G140" i="4"/>
  <c r="G141" i="4"/>
  <c r="Q217" i="4" s="1"/>
  <c r="G142" i="4"/>
  <c r="G143" i="4"/>
  <c r="G144" i="4"/>
  <c r="G145" i="4"/>
  <c r="G146" i="4"/>
  <c r="G147" i="4"/>
  <c r="Q223" i="4" s="1"/>
  <c r="G148" i="4"/>
  <c r="Q224" i="4" s="1"/>
  <c r="G149" i="4"/>
  <c r="Q225" i="4" s="1"/>
  <c r="G150" i="4"/>
  <c r="G151" i="4"/>
  <c r="Q227" i="4" s="1"/>
  <c r="G152" i="4"/>
  <c r="G153" i="4"/>
  <c r="G154" i="4"/>
  <c r="S124" i="4"/>
  <c r="S125" i="4"/>
  <c r="S126" i="4"/>
  <c r="S127" i="4"/>
  <c r="W203" i="4" s="1"/>
  <c r="S128" i="4"/>
  <c r="W204" i="4" s="1"/>
  <c r="S129" i="4"/>
  <c r="S130" i="4"/>
  <c r="S131" i="4"/>
  <c r="S132" i="4"/>
  <c r="S133" i="4"/>
  <c r="S134" i="4"/>
  <c r="S135" i="4"/>
  <c r="S136" i="4"/>
  <c r="S137" i="4"/>
  <c r="W213" i="4" s="1"/>
  <c r="S138" i="4"/>
  <c r="W214" i="4" s="1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T124" i="4"/>
  <c r="T125" i="4"/>
  <c r="T126" i="4"/>
  <c r="T127" i="4"/>
  <c r="T128" i="4"/>
  <c r="T129" i="4"/>
  <c r="T130" i="4"/>
  <c r="T131" i="4"/>
  <c r="T132" i="4"/>
  <c r="W208" i="4" s="1"/>
  <c r="T133" i="4"/>
  <c r="T134" i="4"/>
  <c r="T135" i="4"/>
  <c r="T136" i="4"/>
  <c r="T137" i="4"/>
  <c r="T138" i="4"/>
  <c r="T139" i="4"/>
  <c r="W215" i="4" s="1"/>
  <c r="T140" i="4"/>
  <c r="T141" i="4"/>
  <c r="T142" i="4"/>
  <c r="W218" i="4" s="1"/>
  <c r="T143" i="4"/>
  <c r="T144" i="4"/>
  <c r="T145" i="4"/>
  <c r="T146" i="4"/>
  <c r="T147" i="4"/>
  <c r="W223" i="4" s="1"/>
  <c r="T148" i="4"/>
  <c r="W224" i="4" s="1"/>
  <c r="T149" i="4"/>
  <c r="W225" i="4" s="1"/>
  <c r="T150" i="4"/>
  <c r="T151" i="4"/>
  <c r="T152" i="4"/>
  <c r="W228" i="4" s="1"/>
  <c r="T153" i="4"/>
  <c r="T154" i="4"/>
  <c r="U153" i="4"/>
  <c r="X229" i="4" s="1"/>
  <c r="U148" i="4"/>
  <c r="U149" i="4"/>
  <c r="U150" i="4"/>
  <c r="U151" i="4"/>
  <c r="X227" i="4" s="1"/>
  <c r="U152" i="4"/>
  <c r="X228" i="4" s="1"/>
  <c r="U154" i="4"/>
  <c r="X230" i="4" s="1"/>
  <c r="U124" i="4"/>
  <c r="U125" i="4"/>
  <c r="U126" i="4"/>
  <c r="X202" i="4" s="1"/>
  <c r="U127" i="4"/>
  <c r="X203" i="4" s="1"/>
  <c r="U128" i="4"/>
  <c r="U129" i="4"/>
  <c r="X205" i="4" s="1"/>
  <c r="U130" i="4"/>
  <c r="X206" i="4" s="1"/>
  <c r="U131" i="4"/>
  <c r="U132" i="4"/>
  <c r="X208" i="4" s="1"/>
  <c r="U133" i="4"/>
  <c r="X209" i="4" s="1"/>
  <c r="U134" i="4"/>
  <c r="X210" i="4" s="1"/>
  <c r="U135" i="4"/>
  <c r="U136" i="4"/>
  <c r="X212" i="4" s="1"/>
  <c r="U137" i="4"/>
  <c r="X213" i="4" s="1"/>
  <c r="U138" i="4"/>
  <c r="X214" i="4" s="1"/>
  <c r="U139" i="4"/>
  <c r="X215" i="4" s="1"/>
  <c r="U140" i="4"/>
  <c r="X216" i="4" s="1"/>
  <c r="U141" i="4"/>
  <c r="U142" i="4"/>
  <c r="U143" i="4"/>
  <c r="X219" i="4" s="1"/>
  <c r="U144" i="4"/>
  <c r="U145" i="4"/>
  <c r="U146" i="4"/>
  <c r="X222" i="4" s="1"/>
  <c r="U147" i="4"/>
  <c r="W210" i="4"/>
  <c r="X200" i="4"/>
  <c r="X201" i="4"/>
  <c r="X204" i="4"/>
  <c r="X207" i="4"/>
  <c r="X211" i="4"/>
  <c r="X217" i="4"/>
  <c r="X218" i="4"/>
  <c r="X220" i="4"/>
  <c r="X221" i="4"/>
  <c r="X223" i="4"/>
  <c r="X224" i="4"/>
  <c r="X225" i="4"/>
  <c r="X226" i="4"/>
  <c r="X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199" i="4"/>
  <c r="W200" i="4"/>
  <c r="W201" i="4"/>
  <c r="W202" i="4"/>
  <c r="W207" i="4"/>
  <c r="W211" i="4"/>
  <c r="W212" i="4"/>
  <c r="W217" i="4"/>
  <c r="W220" i="4"/>
  <c r="W221" i="4"/>
  <c r="W222" i="4"/>
  <c r="W227" i="4"/>
  <c r="W230" i="4"/>
  <c r="W199" i="4"/>
  <c r="T203" i="4"/>
  <c r="R199" i="4"/>
  <c r="T199" i="4"/>
  <c r="R200" i="4"/>
  <c r="T200" i="4"/>
  <c r="R201" i="4"/>
  <c r="T201" i="4"/>
  <c r="R202" i="4"/>
  <c r="T202" i="4"/>
  <c r="R203" i="4"/>
  <c r="R204" i="4"/>
  <c r="T204" i="4"/>
  <c r="R205" i="4"/>
  <c r="T205" i="4"/>
  <c r="R206" i="4"/>
  <c r="T206" i="4"/>
  <c r="R207" i="4"/>
  <c r="T207" i="4"/>
  <c r="R208" i="4"/>
  <c r="T208" i="4"/>
  <c r="R209" i="4"/>
  <c r="T209" i="4"/>
  <c r="R210" i="4"/>
  <c r="T210" i="4"/>
  <c r="R211" i="4"/>
  <c r="T211" i="4"/>
  <c r="R212" i="4"/>
  <c r="T212" i="4"/>
  <c r="R213" i="4"/>
  <c r="T213" i="4"/>
  <c r="R214" i="4"/>
  <c r="T214" i="4"/>
  <c r="R215" i="4"/>
  <c r="T215" i="4"/>
  <c r="R216" i="4"/>
  <c r="T216" i="4"/>
  <c r="R217" i="4"/>
  <c r="T217" i="4"/>
  <c r="R218" i="4"/>
  <c r="T218" i="4"/>
  <c r="R219" i="4"/>
  <c r="T219" i="4"/>
  <c r="R220" i="4"/>
  <c r="T220" i="4"/>
  <c r="R221" i="4"/>
  <c r="T221" i="4"/>
  <c r="R222" i="4"/>
  <c r="T222" i="4"/>
  <c r="R223" i="4"/>
  <c r="T223" i="4"/>
  <c r="R224" i="4"/>
  <c r="T224" i="4"/>
  <c r="R225" i="4"/>
  <c r="T225" i="4"/>
  <c r="R226" i="4"/>
  <c r="T226" i="4"/>
  <c r="R227" i="4"/>
  <c r="T227" i="4"/>
  <c r="R228" i="4"/>
  <c r="T228" i="4"/>
  <c r="R229" i="4"/>
  <c r="T229" i="4"/>
  <c r="R230" i="4"/>
  <c r="T230" i="4"/>
  <c r="Q200" i="4"/>
  <c r="Q201" i="4"/>
  <c r="Q202" i="4"/>
  <c r="Q209" i="4"/>
  <c r="Q210" i="4"/>
  <c r="Q211" i="4"/>
  <c r="Q212" i="4"/>
  <c r="Q216" i="4"/>
  <c r="Q218" i="4"/>
  <c r="Q219" i="4"/>
  <c r="Q220" i="4"/>
  <c r="Q221" i="4"/>
  <c r="Q222" i="4"/>
  <c r="Q229" i="4"/>
  <c r="Q230" i="4"/>
  <c r="Q199" i="4"/>
  <c r="F199" i="4"/>
  <c r="F200" i="4"/>
  <c r="F201" i="4"/>
  <c r="F202" i="4"/>
  <c r="F208" i="4"/>
  <c r="F209" i="4"/>
  <c r="F210" i="4"/>
  <c r="F211" i="4"/>
  <c r="F212" i="4"/>
  <c r="F217" i="4"/>
  <c r="F218" i="4"/>
  <c r="F219" i="4"/>
  <c r="F220" i="4"/>
  <c r="F221" i="4"/>
  <c r="F222" i="4"/>
  <c r="F228" i="4"/>
  <c r="F229" i="4"/>
  <c r="F230" i="4"/>
  <c r="G199" i="4"/>
  <c r="H199" i="4"/>
  <c r="I199" i="4"/>
  <c r="J199" i="4"/>
  <c r="K199" i="4"/>
  <c r="L199" i="4"/>
  <c r="M199" i="4"/>
  <c r="K209" i="3"/>
  <c r="L197" i="3"/>
  <c r="L212" i="3"/>
  <c r="L211" i="3"/>
  <c r="L210" i="3"/>
  <c r="L209" i="3"/>
  <c r="L206" i="3"/>
  <c r="L205" i="3"/>
  <c r="L204" i="3"/>
  <c r="L203" i="3"/>
  <c r="L200" i="3"/>
  <c r="L199" i="3"/>
  <c r="L198" i="3"/>
  <c r="K197" i="3"/>
  <c r="K198" i="3"/>
  <c r="K199" i="3"/>
  <c r="K200" i="3"/>
  <c r="K203" i="3"/>
  <c r="K204" i="3"/>
  <c r="K205" i="3"/>
  <c r="K206" i="3"/>
  <c r="K210" i="3"/>
  <c r="K211" i="3"/>
  <c r="K212" i="3"/>
  <c r="K215" i="3"/>
  <c r="K216" i="3"/>
  <c r="K217" i="3"/>
  <c r="K218" i="3"/>
  <c r="J198" i="3"/>
  <c r="J199" i="3"/>
  <c r="J200" i="3"/>
  <c r="J203" i="3"/>
  <c r="J204" i="3"/>
  <c r="J205" i="3"/>
  <c r="J206" i="3"/>
  <c r="J209" i="3"/>
  <c r="J210" i="3"/>
  <c r="J211" i="3"/>
  <c r="J212" i="3"/>
  <c r="J215" i="3"/>
  <c r="J216" i="3"/>
  <c r="J217" i="3"/>
  <c r="J218" i="3"/>
  <c r="J197" i="3"/>
  <c r="G233" i="5"/>
  <c r="I233" i="5" s="1"/>
  <c r="L233" i="5" s="1"/>
  <c r="C233" i="5"/>
  <c r="E233" i="5" s="1"/>
  <c r="G232" i="5"/>
  <c r="I232" i="5" s="1"/>
  <c r="L232" i="5" s="1"/>
  <c r="C232" i="5"/>
  <c r="E232" i="5" s="1"/>
  <c r="G231" i="5"/>
  <c r="I231" i="5" s="1"/>
  <c r="L231" i="5" s="1"/>
  <c r="C231" i="5"/>
  <c r="E231" i="5" s="1"/>
  <c r="G230" i="5"/>
  <c r="I230" i="5" s="1"/>
  <c r="L230" i="5" s="1"/>
  <c r="C230" i="5"/>
  <c r="E230" i="5" s="1"/>
  <c r="G228" i="5"/>
  <c r="I228" i="5" s="1"/>
  <c r="K228" i="5" s="1"/>
  <c r="C228" i="5"/>
  <c r="E228" i="5" s="1"/>
  <c r="G227" i="5"/>
  <c r="I227" i="5" s="1"/>
  <c r="K227" i="5" s="1"/>
  <c r="C227" i="5"/>
  <c r="E227" i="5" s="1"/>
  <c r="G226" i="5"/>
  <c r="I226" i="5" s="1"/>
  <c r="K226" i="5" s="1"/>
  <c r="C226" i="5"/>
  <c r="E226" i="5" s="1"/>
  <c r="G225" i="5"/>
  <c r="I225" i="5" s="1"/>
  <c r="K225" i="5" s="1"/>
  <c r="C225" i="5"/>
  <c r="E225" i="5" s="1"/>
  <c r="G223" i="5"/>
  <c r="I223" i="5" s="1"/>
  <c r="L223" i="5" s="1"/>
  <c r="C223" i="5"/>
  <c r="E223" i="5" s="1"/>
  <c r="G222" i="5"/>
  <c r="I222" i="5" s="1"/>
  <c r="L222" i="5" s="1"/>
  <c r="C222" i="5"/>
  <c r="E222" i="5" s="1"/>
  <c r="G221" i="5"/>
  <c r="I221" i="5" s="1"/>
  <c r="L221" i="5" s="1"/>
  <c r="C221" i="5"/>
  <c r="E221" i="5" s="1"/>
  <c r="G220" i="5"/>
  <c r="I220" i="5" s="1"/>
  <c r="L220" i="5" s="1"/>
  <c r="C220" i="5"/>
  <c r="E220" i="5" s="1"/>
  <c r="G218" i="5"/>
  <c r="I218" i="5" s="1"/>
  <c r="L218" i="5" s="1"/>
  <c r="C218" i="5"/>
  <c r="E218" i="5" s="1"/>
  <c r="G217" i="5"/>
  <c r="I217" i="5" s="1"/>
  <c r="L217" i="5" s="1"/>
  <c r="C217" i="5"/>
  <c r="E217" i="5" s="1"/>
  <c r="G216" i="5"/>
  <c r="I216" i="5" s="1"/>
  <c r="L216" i="5" s="1"/>
  <c r="C216" i="5"/>
  <c r="E216" i="5" s="1"/>
  <c r="G215" i="5"/>
  <c r="I215" i="5" s="1"/>
  <c r="L215" i="5" s="1"/>
  <c r="C215" i="5"/>
  <c r="E215" i="5" s="1"/>
  <c r="G207" i="5"/>
  <c r="I207" i="5" s="1"/>
  <c r="L207" i="5" s="1"/>
  <c r="C207" i="5"/>
  <c r="E207" i="5" s="1"/>
  <c r="G206" i="5"/>
  <c r="I206" i="5" s="1"/>
  <c r="L206" i="5" s="1"/>
  <c r="C206" i="5"/>
  <c r="E206" i="5" s="1"/>
  <c r="G205" i="5"/>
  <c r="I205" i="5" s="1"/>
  <c r="L205" i="5" s="1"/>
  <c r="C205" i="5"/>
  <c r="E205" i="5" s="1"/>
  <c r="G204" i="5"/>
  <c r="I204" i="5" s="1"/>
  <c r="L204" i="5" s="1"/>
  <c r="C204" i="5"/>
  <c r="E204" i="5" s="1"/>
  <c r="G202" i="5"/>
  <c r="I202" i="5" s="1"/>
  <c r="K202" i="5" s="1"/>
  <c r="C202" i="5"/>
  <c r="E202" i="5" s="1"/>
  <c r="G201" i="5"/>
  <c r="I201" i="5" s="1"/>
  <c r="K201" i="5" s="1"/>
  <c r="C201" i="5"/>
  <c r="E201" i="5" s="1"/>
  <c r="G200" i="5"/>
  <c r="I200" i="5" s="1"/>
  <c r="K200" i="5" s="1"/>
  <c r="C200" i="5"/>
  <c r="E200" i="5" s="1"/>
  <c r="G199" i="5"/>
  <c r="I199" i="5" s="1"/>
  <c r="K199" i="5" s="1"/>
  <c r="C199" i="5"/>
  <c r="E199" i="5" s="1"/>
  <c r="G197" i="5"/>
  <c r="I197" i="5" s="1"/>
  <c r="L197" i="5" s="1"/>
  <c r="C197" i="5"/>
  <c r="E197" i="5" s="1"/>
  <c r="G196" i="5"/>
  <c r="I196" i="5" s="1"/>
  <c r="L196" i="5" s="1"/>
  <c r="C196" i="5"/>
  <c r="E196" i="5" s="1"/>
  <c r="G195" i="5"/>
  <c r="I195" i="5" s="1"/>
  <c r="L195" i="5" s="1"/>
  <c r="C195" i="5"/>
  <c r="E195" i="5" s="1"/>
  <c r="G194" i="5"/>
  <c r="I194" i="5" s="1"/>
  <c r="L194" i="5" s="1"/>
  <c r="C194" i="5"/>
  <c r="E194" i="5" s="1"/>
  <c r="G192" i="5"/>
  <c r="I192" i="5" s="1"/>
  <c r="L192" i="5" s="1"/>
  <c r="C192" i="5"/>
  <c r="E192" i="5" s="1"/>
  <c r="G191" i="5"/>
  <c r="I191" i="5" s="1"/>
  <c r="L191" i="5" s="1"/>
  <c r="C191" i="5"/>
  <c r="E191" i="5" s="1"/>
  <c r="G190" i="5"/>
  <c r="I190" i="5" s="1"/>
  <c r="L190" i="5" s="1"/>
  <c r="C190" i="5"/>
  <c r="E190" i="5" s="1"/>
  <c r="G189" i="5"/>
  <c r="I189" i="5" s="1"/>
  <c r="L189" i="5" s="1"/>
  <c r="C189" i="5"/>
  <c r="E189" i="5" s="1"/>
  <c r="K217" i="5" l="1"/>
  <c r="N217" i="5" s="1"/>
  <c r="K195" i="5"/>
  <c r="N195" i="5" s="1"/>
  <c r="L201" i="5"/>
  <c r="M201" i="5" s="1"/>
  <c r="K223" i="5"/>
  <c r="N223" i="5" s="1"/>
  <c r="K218" i="5"/>
  <c r="N218" i="5" s="1"/>
  <c r="L225" i="5"/>
  <c r="M225" i="5" s="1"/>
  <c r="K231" i="5"/>
  <c r="N231" i="5" s="1"/>
  <c r="K196" i="5"/>
  <c r="N196" i="5" s="1"/>
  <c r="K215" i="5"/>
  <c r="N215" i="5" s="1"/>
  <c r="K221" i="5"/>
  <c r="N221" i="5" s="1"/>
  <c r="L227" i="5"/>
  <c r="M227" i="5" s="1"/>
  <c r="K233" i="5"/>
  <c r="N233" i="5" s="1"/>
  <c r="Q207" i="4"/>
  <c r="Q204" i="4"/>
  <c r="Q205" i="4"/>
  <c r="F206" i="4"/>
  <c r="Q203" i="4"/>
  <c r="F226" i="4"/>
  <c r="W226" i="4"/>
  <c r="W216" i="4"/>
  <c r="W206" i="4"/>
  <c r="W205" i="4"/>
  <c r="W229" i="4"/>
  <c r="W219" i="4"/>
  <c r="W209" i="4"/>
  <c r="K204" i="5"/>
  <c r="N204" i="5" s="1"/>
  <c r="L199" i="5"/>
  <c r="M199" i="5" s="1"/>
  <c r="K216" i="5"/>
  <c r="N216" i="5" s="1"/>
  <c r="K222" i="5"/>
  <c r="N222" i="5" s="1"/>
  <c r="L228" i="5"/>
  <c r="M228" i="5" s="1"/>
  <c r="K230" i="5"/>
  <c r="N230" i="5" s="1"/>
  <c r="K194" i="5"/>
  <c r="M194" i="5" s="1"/>
  <c r="K190" i="5"/>
  <c r="N190" i="5" s="1"/>
  <c r="K205" i="5"/>
  <c r="N205" i="5" s="1"/>
  <c r="K191" i="5"/>
  <c r="N191" i="5" s="1"/>
  <c r="K192" i="5"/>
  <c r="M192" i="5" s="1"/>
  <c r="L200" i="5"/>
  <c r="M200" i="5" s="1"/>
  <c r="K189" i="5"/>
  <c r="N189" i="5" s="1"/>
  <c r="K197" i="5"/>
  <c r="N197" i="5" s="1"/>
  <c r="L202" i="5"/>
  <c r="M202" i="5" s="1"/>
  <c r="K207" i="5"/>
  <c r="N207" i="5" s="1"/>
  <c r="K220" i="5"/>
  <c r="N220" i="5" s="1"/>
  <c r="L226" i="5"/>
  <c r="M226" i="5" s="1"/>
  <c r="K232" i="5"/>
  <c r="N232" i="5" s="1"/>
  <c r="K206" i="5"/>
  <c r="N206" i="5" s="1"/>
  <c r="M217" i="5" l="1"/>
  <c r="M195" i="5"/>
  <c r="M189" i="5"/>
  <c r="R207" i="5"/>
  <c r="N200" i="5"/>
  <c r="R206" i="5"/>
  <c r="N227" i="5"/>
  <c r="N201" i="5"/>
  <c r="M215" i="5"/>
  <c r="N228" i="5"/>
  <c r="M196" i="5"/>
  <c r="M231" i="5"/>
  <c r="R204" i="5"/>
  <c r="M221" i="5"/>
  <c r="N226" i="5"/>
  <c r="N225" i="5"/>
  <c r="M223" i="5"/>
  <c r="M218" i="5"/>
  <c r="R197" i="5" s="1"/>
  <c r="R205" i="5"/>
  <c r="N192" i="5"/>
  <c r="M204" i="5"/>
  <c r="M233" i="5"/>
  <c r="M190" i="5"/>
  <c r="N194" i="5"/>
  <c r="M216" i="5"/>
  <c r="M230" i="5"/>
  <c r="M220" i="5"/>
  <c r="R199" i="5" s="1"/>
  <c r="M222" i="5"/>
  <c r="M207" i="5"/>
  <c r="N199" i="5"/>
  <c r="N202" i="5"/>
  <c r="M197" i="5"/>
  <c r="M191" i="5"/>
  <c r="M205" i="5"/>
  <c r="M206" i="5"/>
  <c r="M232" i="5"/>
  <c r="R200" i="5" l="1"/>
  <c r="R196" i="5"/>
  <c r="R212" i="5"/>
  <c r="R194" i="5"/>
  <c r="R210" i="5"/>
  <c r="R209" i="5"/>
  <c r="X196" i="5"/>
  <c r="R201" i="5"/>
  <c r="R195" i="5"/>
  <c r="W196" i="5"/>
  <c r="R202" i="5"/>
  <c r="R211" i="5"/>
  <c r="X197" i="5" l="1"/>
  <c r="W197" i="5"/>
  <c r="W194" i="5"/>
  <c r="W195" i="5"/>
  <c r="X195" i="5"/>
  <c r="X194" i="5"/>
  <c r="F23" i="7"/>
  <c r="D23" i="7"/>
  <c r="C23" i="7"/>
  <c r="F22" i="7"/>
  <c r="E22" i="7"/>
  <c r="D22" i="7"/>
  <c r="C22" i="7"/>
  <c r="G21" i="7"/>
  <c r="F21" i="7"/>
  <c r="E21" i="7"/>
  <c r="D21" i="7"/>
  <c r="C21" i="7"/>
  <c r="H20" i="7"/>
  <c r="F20" i="7"/>
  <c r="E20" i="7"/>
  <c r="D20" i="7"/>
  <c r="H19" i="7"/>
  <c r="F19" i="7"/>
  <c r="D19" i="7"/>
  <c r="C19" i="7"/>
  <c r="G18" i="7"/>
  <c r="F18" i="7"/>
  <c r="E18" i="7"/>
  <c r="D18" i="7"/>
  <c r="C18" i="7"/>
  <c r="L17" i="7"/>
  <c r="J17" i="7"/>
  <c r="H17" i="7"/>
  <c r="F17" i="7"/>
  <c r="D17" i="7"/>
  <c r="C17" i="7"/>
  <c r="I77" i="6" l="1"/>
  <c r="L77" i="6" s="1"/>
  <c r="G77" i="6"/>
  <c r="C77" i="6"/>
  <c r="E77" i="6" s="1"/>
  <c r="K77" i="6" s="1"/>
  <c r="M77" i="6" s="1"/>
  <c r="M76" i="6"/>
  <c r="G76" i="6"/>
  <c r="I76" i="6" s="1"/>
  <c r="L76" i="6" s="1"/>
  <c r="C76" i="6"/>
  <c r="E76" i="6" s="1"/>
  <c r="K76" i="6" s="1"/>
  <c r="G75" i="6"/>
  <c r="I75" i="6" s="1"/>
  <c r="L75" i="6" s="1"/>
  <c r="E75" i="6"/>
  <c r="C75" i="6"/>
  <c r="G74" i="6"/>
  <c r="I74" i="6" s="1"/>
  <c r="L74" i="6" s="1"/>
  <c r="C74" i="6"/>
  <c r="E74" i="6" s="1"/>
  <c r="I73" i="6"/>
  <c r="L73" i="6" s="1"/>
  <c r="G73" i="6"/>
  <c r="C73" i="6"/>
  <c r="E73" i="6" s="1"/>
  <c r="K73" i="6" s="1"/>
  <c r="M73" i="6" s="1"/>
  <c r="G72" i="6"/>
  <c r="I72" i="6" s="1"/>
  <c r="L72" i="6" s="1"/>
  <c r="C72" i="6"/>
  <c r="E72" i="6" s="1"/>
  <c r="K72" i="6" s="1"/>
  <c r="M72" i="6" s="1"/>
  <c r="G71" i="6"/>
  <c r="I71" i="6" s="1"/>
  <c r="L71" i="6" s="1"/>
  <c r="M71" i="6" s="1"/>
  <c r="E71" i="6"/>
  <c r="K71" i="6" s="1"/>
  <c r="C71" i="6"/>
  <c r="G70" i="6"/>
  <c r="I70" i="6" s="1"/>
  <c r="L70" i="6" s="1"/>
  <c r="E70" i="6"/>
  <c r="K70" i="6" s="1"/>
  <c r="C70" i="6"/>
  <c r="G69" i="6"/>
  <c r="I69" i="6" s="1"/>
  <c r="L69" i="6" s="1"/>
  <c r="E69" i="6"/>
  <c r="C69" i="6"/>
  <c r="L68" i="6"/>
  <c r="M68" i="6" s="1"/>
  <c r="G68" i="6"/>
  <c r="I68" i="6" s="1"/>
  <c r="E68" i="6"/>
  <c r="K68" i="6" s="1"/>
  <c r="C68" i="6"/>
  <c r="G67" i="6"/>
  <c r="I67" i="6" s="1"/>
  <c r="L67" i="6" s="1"/>
  <c r="M67" i="6" s="1"/>
  <c r="E67" i="6"/>
  <c r="K67" i="6" s="1"/>
  <c r="C67" i="6"/>
  <c r="G66" i="6"/>
  <c r="I66" i="6" s="1"/>
  <c r="L66" i="6" s="1"/>
  <c r="E66" i="6"/>
  <c r="K66" i="6" s="1"/>
  <c r="C66" i="6"/>
  <c r="G65" i="6"/>
  <c r="I65" i="6" s="1"/>
  <c r="L65" i="6" s="1"/>
  <c r="E65" i="6"/>
  <c r="C65" i="6"/>
  <c r="L64" i="6"/>
  <c r="M64" i="6" s="1"/>
  <c r="G64" i="6"/>
  <c r="I64" i="6" s="1"/>
  <c r="E64" i="6"/>
  <c r="K64" i="6" s="1"/>
  <c r="C64" i="6"/>
  <c r="G63" i="6"/>
  <c r="I63" i="6" s="1"/>
  <c r="L63" i="6" s="1"/>
  <c r="M63" i="6" s="1"/>
  <c r="E63" i="6"/>
  <c r="K63" i="6" s="1"/>
  <c r="C63" i="6"/>
  <c r="G62" i="6"/>
  <c r="I62" i="6" s="1"/>
  <c r="L62" i="6" s="1"/>
  <c r="E62" i="6"/>
  <c r="K62" i="6" s="1"/>
  <c r="M62" i="6" s="1"/>
  <c r="C62" i="6"/>
  <c r="G61" i="6"/>
  <c r="I61" i="6" s="1"/>
  <c r="L61" i="6" s="1"/>
  <c r="E61" i="6"/>
  <c r="C61" i="6"/>
  <c r="L60" i="6"/>
  <c r="M60" i="6" s="1"/>
  <c r="G60" i="6"/>
  <c r="I60" i="6" s="1"/>
  <c r="E60" i="6"/>
  <c r="K60" i="6" s="1"/>
  <c r="C60" i="6"/>
  <c r="G59" i="6"/>
  <c r="I59" i="6" s="1"/>
  <c r="L59" i="6" s="1"/>
  <c r="M59" i="6" s="1"/>
  <c r="E59" i="6"/>
  <c r="K59" i="6" s="1"/>
  <c r="C59" i="6"/>
  <c r="G58" i="6"/>
  <c r="I58" i="6" s="1"/>
  <c r="L58" i="6" s="1"/>
  <c r="E58" i="6"/>
  <c r="K58" i="6" s="1"/>
  <c r="M58" i="6" s="1"/>
  <c r="C58" i="6"/>
  <c r="G57" i="6"/>
  <c r="I57" i="6" s="1"/>
  <c r="L57" i="6" s="1"/>
  <c r="E57" i="6"/>
  <c r="C57" i="6"/>
  <c r="L56" i="6"/>
  <c r="M56" i="6" s="1"/>
  <c r="G56" i="6"/>
  <c r="I56" i="6" s="1"/>
  <c r="E56" i="6"/>
  <c r="K56" i="6" s="1"/>
  <c r="C56" i="6"/>
  <c r="G55" i="6"/>
  <c r="I55" i="6" s="1"/>
  <c r="L55" i="6" s="1"/>
  <c r="M55" i="6" s="1"/>
  <c r="E55" i="6"/>
  <c r="K55" i="6" s="1"/>
  <c r="C55" i="6"/>
  <c r="I54" i="6"/>
  <c r="L54" i="6" s="1"/>
  <c r="G54" i="6"/>
  <c r="C54" i="6"/>
  <c r="E54" i="6" s="1"/>
  <c r="L48" i="6"/>
  <c r="G48" i="6"/>
  <c r="I48" i="6" s="1"/>
  <c r="C48" i="6"/>
  <c r="E48" i="6" s="1"/>
  <c r="K48" i="6" s="1"/>
  <c r="M48" i="6" s="1"/>
  <c r="G47" i="6"/>
  <c r="I47" i="6" s="1"/>
  <c r="L47" i="6" s="1"/>
  <c r="C47" i="6"/>
  <c r="E47" i="6" s="1"/>
  <c r="G46" i="6"/>
  <c r="I46" i="6" s="1"/>
  <c r="L46" i="6" s="1"/>
  <c r="E46" i="6"/>
  <c r="C46" i="6"/>
  <c r="L45" i="6"/>
  <c r="G45" i="6"/>
  <c r="I45" i="6" s="1"/>
  <c r="C45" i="6"/>
  <c r="E45" i="6" s="1"/>
  <c r="K45" i="6" s="1"/>
  <c r="M45" i="6" s="1"/>
  <c r="K44" i="6"/>
  <c r="M44" i="6" s="1"/>
  <c r="I44" i="6"/>
  <c r="L44" i="6" s="1"/>
  <c r="G44" i="6"/>
  <c r="C44" i="6"/>
  <c r="E44" i="6" s="1"/>
  <c r="G43" i="6"/>
  <c r="I43" i="6" s="1"/>
  <c r="L43" i="6" s="1"/>
  <c r="C43" i="6"/>
  <c r="E43" i="6" s="1"/>
  <c r="G42" i="6"/>
  <c r="I42" i="6" s="1"/>
  <c r="L42" i="6" s="1"/>
  <c r="M42" i="6" s="1"/>
  <c r="E42" i="6"/>
  <c r="K42" i="6" s="1"/>
  <c r="C42" i="6"/>
  <c r="G41" i="6"/>
  <c r="I41" i="6" s="1"/>
  <c r="L41" i="6" s="1"/>
  <c r="E41" i="6"/>
  <c r="K41" i="6" s="1"/>
  <c r="M41" i="6" s="1"/>
  <c r="C41" i="6"/>
  <c r="I40" i="6"/>
  <c r="L40" i="6" s="1"/>
  <c r="G40" i="6"/>
  <c r="C40" i="6"/>
  <c r="E40" i="6" s="1"/>
  <c r="G39" i="6"/>
  <c r="I39" i="6" s="1"/>
  <c r="L39" i="6" s="1"/>
  <c r="C39" i="6"/>
  <c r="E39" i="6" s="1"/>
  <c r="G38" i="6"/>
  <c r="I38" i="6" s="1"/>
  <c r="L38" i="6" s="1"/>
  <c r="E38" i="6"/>
  <c r="C38" i="6"/>
  <c r="L37" i="6"/>
  <c r="G37" i="6"/>
  <c r="I37" i="6" s="1"/>
  <c r="C37" i="6"/>
  <c r="E37" i="6" s="1"/>
  <c r="K37" i="6" s="1"/>
  <c r="M37" i="6" s="1"/>
  <c r="K36" i="6"/>
  <c r="M36" i="6" s="1"/>
  <c r="I36" i="6"/>
  <c r="L36" i="6" s="1"/>
  <c r="G36" i="6"/>
  <c r="C36" i="6"/>
  <c r="E36" i="6" s="1"/>
  <c r="G35" i="6"/>
  <c r="I35" i="6" s="1"/>
  <c r="L35" i="6" s="1"/>
  <c r="C35" i="6"/>
  <c r="E35" i="6" s="1"/>
  <c r="G34" i="6"/>
  <c r="I34" i="6" s="1"/>
  <c r="L34" i="6" s="1"/>
  <c r="M34" i="6" s="1"/>
  <c r="E34" i="6"/>
  <c r="K34" i="6" s="1"/>
  <c r="C34" i="6"/>
  <c r="G33" i="6"/>
  <c r="I33" i="6" s="1"/>
  <c r="L33" i="6" s="1"/>
  <c r="E33" i="6"/>
  <c r="K33" i="6" s="1"/>
  <c r="M33" i="6" s="1"/>
  <c r="C33" i="6"/>
  <c r="I32" i="6"/>
  <c r="L32" i="6" s="1"/>
  <c r="G32" i="6"/>
  <c r="C32" i="6"/>
  <c r="E32" i="6" s="1"/>
  <c r="G31" i="6"/>
  <c r="I31" i="6" s="1"/>
  <c r="L31" i="6" s="1"/>
  <c r="C31" i="6"/>
  <c r="E31" i="6" s="1"/>
  <c r="G30" i="6"/>
  <c r="I30" i="6" s="1"/>
  <c r="L30" i="6" s="1"/>
  <c r="E30" i="6"/>
  <c r="C30" i="6"/>
  <c r="L29" i="6"/>
  <c r="G29" i="6"/>
  <c r="I29" i="6" s="1"/>
  <c r="C29" i="6"/>
  <c r="E29" i="6" s="1"/>
  <c r="K29" i="6" s="1"/>
  <c r="M29" i="6" s="1"/>
  <c r="K28" i="6"/>
  <c r="M28" i="6" s="1"/>
  <c r="I28" i="6"/>
  <c r="L28" i="6" s="1"/>
  <c r="G28" i="6"/>
  <c r="C28" i="6"/>
  <c r="E28" i="6" s="1"/>
  <c r="G27" i="6"/>
  <c r="I27" i="6" s="1"/>
  <c r="L27" i="6" s="1"/>
  <c r="C27" i="6"/>
  <c r="E27" i="6" s="1"/>
  <c r="G26" i="6"/>
  <c r="I26" i="6" s="1"/>
  <c r="L26" i="6" s="1"/>
  <c r="M26" i="6" s="1"/>
  <c r="E26" i="6"/>
  <c r="K26" i="6" s="1"/>
  <c r="C26" i="6"/>
  <c r="G25" i="6"/>
  <c r="I25" i="6" s="1"/>
  <c r="L25" i="6" s="1"/>
  <c r="E25" i="6"/>
  <c r="K25" i="6" s="1"/>
  <c r="C25" i="6"/>
  <c r="H13" i="6"/>
  <c r="G13" i="6"/>
  <c r="H10" i="6"/>
  <c r="G10" i="6"/>
  <c r="H12" i="6"/>
  <c r="G12" i="6"/>
  <c r="H9" i="6"/>
  <c r="G9" i="6"/>
  <c r="E182" i="3"/>
  <c r="E185" i="3"/>
  <c r="E184" i="3"/>
  <c r="E183" i="3"/>
  <c r="I275" i="2"/>
  <c r="K275" i="2" s="1"/>
  <c r="M275" i="2" s="1"/>
  <c r="E275" i="2"/>
  <c r="G275" i="2" s="1"/>
  <c r="I274" i="2"/>
  <c r="K274" i="2" s="1"/>
  <c r="M274" i="2" s="1"/>
  <c r="E274" i="2"/>
  <c r="G274" i="2" s="1"/>
  <c r="I273" i="2"/>
  <c r="K273" i="2" s="1"/>
  <c r="M273" i="2" s="1"/>
  <c r="E273" i="2"/>
  <c r="G273" i="2" s="1"/>
  <c r="I272" i="2"/>
  <c r="K272" i="2" s="1"/>
  <c r="M272" i="2" s="1"/>
  <c r="E272" i="2"/>
  <c r="G272" i="2" s="1"/>
  <c r="N272" i="2" s="1"/>
  <c r="O272" i="2" s="1"/>
  <c r="I271" i="2"/>
  <c r="K271" i="2" s="1"/>
  <c r="M271" i="2" s="1"/>
  <c r="E271" i="2"/>
  <c r="G271" i="2" s="1"/>
  <c r="I270" i="2"/>
  <c r="K270" i="2" s="1"/>
  <c r="M270" i="2" s="1"/>
  <c r="E270" i="2"/>
  <c r="G270" i="2" s="1"/>
  <c r="I268" i="2"/>
  <c r="K268" i="2" s="1"/>
  <c r="M268" i="2" s="1"/>
  <c r="E268" i="2"/>
  <c r="G268" i="2" s="1"/>
  <c r="N268" i="2" s="1"/>
  <c r="O268" i="2" s="1"/>
  <c r="I267" i="2"/>
  <c r="K267" i="2" s="1"/>
  <c r="M267" i="2" s="1"/>
  <c r="E267" i="2"/>
  <c r="G267" i="2" s="1"/>
  <c r="N267" i="2" s="1"/>
  <c r="O267" i="2" s="1"/>
  <c r="I266" i="2"/>
  <c r="K266" i="2" s="1"/>
  <c r="M266" i="2" s="1"/>
  <c r="E266" i="2"/>
  <c r="G266" i="2" s="1"/>
  <c r="I265" i="2"/>
  <c r="K265" i="2" s="1"/>
  <c r="M265" i="2" s="1"/>
  <c r="E265" i="2"/>
  <c r="G265" i="2" s="1"/>
  <c r="I264" i="2"/>
  <c r="K264" i="2" s="1"/>
  <c r="M264" i="2" s="1"/>
  <c r="E264" i="2"/>
  <c r="G264" i="2" s="1"/>
  <c r="I263" i="2"/>
  <c r="K263" i="2" s="1"/>
  <c r="M263" i="2" s="1"/>
  <c r="E263" i="2"/>
  <c r="G263" i="2" s="1"/>
  <c r="N263" i="2" s="1"/>
  <c r="O263" i="2" s="1"/>
  <c r="I240" i="2"/>
  <c r="K240" i="2" s="1"/>
  <c r="M240" i="2" s="1"/>
  <c r="G240" i="2"/>
  <c r="N240" i="2" s="1"/>
  <c r="O240" i="2" s="1"/>
  <c r="V209" i="2" s="1"/>
  <c r="E240" i="2"/>
  <c r="I239" i="2"/>
  <c r="K239" i="2" s="1"/>
  <c r="M239" i="2" s="1"/>
  <c r="E239" i="2"/>
  <c r="G239" i="2" s="1"/>
  <c r="K238" i="2"/>
  <c r="M238" i="2" s="1"/>
  <c r="I238" i="2"/>
  <c r="E238" i="2"/>
  <c r="G238" i="2" s="1"/>
  <c r="N238" i="2" s="1"/>
  <c r="I237" i="2"/>
  <c r="K237" i="2" s="1"/>
  <c r="M237" i="2" s="1"/>
  <c r="G237" i="2"/>
  <c r="N237" i="2" s="1"/>
  <c r="O237" i="2" s="1"/>
  <c r="E237" i="2"/>
  <c r="I236" i="2"/>
  <c r="K236" i="2" s="1"/>
  <c r="M236" i="2" s="1"/>
  <c r="E236" i="2"/>
  <c r="G236" i="2" s="1"/>
  <c r="N236" i="2" s="1"/>
  <c r="O236" i="2" s="1"/>
  <c r="V205" i="2" s="1"/>
  <c r="K235" i="2"/>
  <c r="M235" i="2" s="1"/>
  <c r="I235" i="2"/>
  <c r="E235" i="2"/>
  <c r="G235" i="2" s="1"/>
  <c r="N235" i="2" s="1"/>
  <c r="I233" i="2"/>
  <c r="K233" i="2" s="1"/>
  <c r="M233" i="2" s="1"/>
  <c r="E233" i="2"/>
  <c r="G233" i="2" s="1"/>
  <c r="I232" i="2"/>
  <c r="K232" i="2" s="1"/>
  <c r="M232" i="2" s="1"/>
  <c r="E232" i="2"/>
  <c r="G232" i="2" s="1"/>
  <c r="I231" i="2"/>
  <c r="K231" i="2" s="1"/>
  <c r="M231" i="2" s="1"/>
  <c r="G231" i="2"/>
  <c r="N231" i="2" s="1"/>
  <c r="O231" i="2" s="1"/>
  <c r="V200" i="2" s="1"/>
  <c r="E231" i="2"/>
  <c r="I230" i="2"/>
  <c r="K230" i="2" s="1"/>
  <c r="M230" i="2" s="1"/>
  <c r="E230" i="2"/>
  <c r="G230" i="2" s="1"/>
  <c r="K229" i="2"/>
  <c r="M229" i="2" s="1"/>
  <c r="I229" i="2"/>
  <c r="E229" i="2"/>
  <c r="G229" i="2" s="1"/>
  <c r="N229" i="2" s="1"/>
  <c r="O229" i="2" s="1"/>
  <c r="V198" i="2" s="1"/>
  <c r="I228" i="2"/>
  <c r="K228" i="2" s="1"/>
  <c r="M228" i="2" s="1"/>
  <c r="G228" i="2"/>
  <c r="N228" i="2" s="1"/>
  <c r="O228" i="2" s="1"/>
  <c r="E228" i="2"/>
  <c r="K200" i="2"/>
  <c r="M200" i="2" s="1"/>
  <c r="I200" i="2"/>
  <c r="E200" i="2"/>
  <c r="G200" i="2" s="1"/>
  <c r="I199" i="2"/>
  <c r="K199" i="2" s="1"/>
  <c r="M199" i="2" s="1"/>
  <c r="G199" i="2"/>
  <c r="E199" i="2"/>
  <c r="I198" i="2"/>
  <c r="K198" i="2" s="1"/>
  <c r="M198" i="2" s="1"/>
  <c r="E198" i="2"/>
  <c r="G198" i="2" s="1"/>
  <c r="N198" i="2" s="1"/>
  <c r="O198" i="2" s="1"/>
  <c r="K197" i="2"/>
  <c r="M197" i="2" s="1"/>
  <c r="I197" i="2"/>
  <c r="E197" i="2"/>
  <c r="G197" i="2" s="1"/>
  <c r="N197" i="2" s="1"/>
  <c r="I196" i="2"/>
  <c r="K196" i="2" s="1"/>
  <c r="M196" i="2" s="1"/>
  <c r="E196" i="2"/>
  <c r="G196" i="2" s="1"/>
  <c r="I195" i="2"/>
  <c r="K195" i="2" s="1"/>
  <c r="M195" i="2" s="1"/>
  <c r="E195" i="2"/>
  <c r="G195" i="2" s="1"/>
  <c r="N195" i="2" s="1"/>
  <c r="O195" i="2" s="1"/>
  <c r="I193" i="2"/>
  <c r="K193" i="2" s="1"/>
  <c r="M193" i="2" s="1"/>
  <c r="G193" i="2"/>
  <c r="E193" i="2"/>
  <c r="I192" i="2"/>
  <c r="K192" i="2" s="1"/>
  <c r="M192" i="2" s="1"/>
  <c r="E192" i="2"/>
  <c r="G192" i="2" s="1"/>
  <c r="K191" i="2"/>
  <c r="M191" i="2" s="1"/>
  <c r="I191" i="2"/>
  <c r="E191" i="2"/>
  <c r="G191" i="2" s="1"/>
  <c r="N191" i="2" s="1"/>
  <c r="I190" i="2"/>
  <c r="K190" i="2" s="1"/>
  <c r="M190" i="2" s="1"/>
  <c r="G190" i="2"/>
  <c r="N190" i="2" s="1"/>
  <c r="O190" i="2" s="1"/>
  <c r="E190" i="2"/>
  <c r="I189" i="2"/>
  <c r="K189" i="2" s="1"/>
  <c r="M189" i="2" s="1"/>
  <c r="E189" i="2"/>
  <c r="G189" i="2" s="1"/>
  <c r="N189" i="2" s="1"/>
  <c r="O189" i="2" s="1"/>
  <c r="K188" i="2"/>
  <c r="M188" i="2" s="1"/>
  <c r="I188" i="2"/>
  <c r="E188" i="2"/>
  <c r="G188" i="2" s="1"/>
  <c r="I165" i="2"/>
  <c r="K165" i="2" s="1"/>
  <c r="M165" i="2" s="1"/>
  <c r="E165" i="2"/>
  <c r="G165" i="2" s="1"/>
  <c r="N165" i="2" s="1"/>
  <c r="O165" i="2" s="1"/>
  <c r="I164" i="2"/>
  <c r="K164" i="2" s="1"/>
  <c r="M164" i="2" s="1"/>
  <c r="E164" i="2"/>
  <c r="G164" i="2" s="1"/>
  <c r="I163" i="2"/>
  <c r="K163" i="2" s="1"/>
  <c r="M163" i="2" s="1"/>
  <c r="E163" i="2"/>
  <c r="G163" i="2" s="1"/>
  <c r="N163" i="2" s="1"/>
  <c r="O163" i="2" s="1"/>
  <c r="I162" i="2"/>
  <c r="K162" i="2" s="1"/>
  <c r="M162" i="2" s="1"/>
  <c r="E162" i="2"/>
  <c r="G162" i="2" s="1"/>
  <c r="I161" i="2"/>
  <c r="K161" i="2" s="1"/>
  <c r="M161" i="2" s="1"/>
  <c r="E161" i="2"/>
  <c r="G161" i="2" s="1"/>
  <c r="N161" i="2" s="1"/>
  <c r="O161" i="2" s="1"/>
  <c r="I160" i="2"/>
  <c r="K160" i="2" s="1"/>
  <c r="M160" i="2" s="1"/>
  <c r="E160" i="2"/>
  <c r="G160" i="2" s="1"/>
  <c r="I158" i="2"/>
  <c r="K158" i="2" s="1"/>
  <c r="M158" i="2" s="1"/>
  <c r="E158" i="2"/>
  <c r="G158" i="2" s="1"/>
  <c r="N158" i="2" s="1"/>
  <c r="O158" i="2" s="1"/>
  <c r="I157" i="2"/>
  <c r="K157" i="2" s="1"/>
  <c r="M157" i="2" s="1"/>
  <c r="E157" i="2"/>
  <c r="G157" i="2" s="1"/>
  <c r="I156" i="2"/>
  <c r="K156" i="2" s="1"/>
  <c r="M156" i="2" s="1"/>
  <c r="E156" i="2"/>
  <c r="G156" i="2" s="1"/>
  <c r="N156" i="2" s="1"/>
  <c r="O156" i="2" s="1"/>
  <c r="I155" i="2"/>
  <c r="K155" i="2" s="1"/>
  <c r="M155" i="2" s="1"/>
  <c r="E155" i="2"/>
  <c r="G155" i="2" s="1"/>
  <c r="I154" i="2"/>
  <c r="K154" i="2" s="1"/>
  <c r="M154" i="2" s="1"/>
  <c r="E154" i="2"/>
  <c r="G154" i="2" s="1"/>
  <c r="N154" i="2" s="1"/>
  <c r="O154" i="2" s="1"/>
  <c r="I153" i="2"/>
  <c r="K153" i="2" s="1"/>
  <c r="M153" i="2" s="1"/>
  <c r="E153" i="2"/>
  <c r="G153" i="2" s="1"/>
  <c r="E5" i="1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G66" i="5"/>
  <c r="E66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G65" i="5"/>
  <c r="E65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G64" i="5"/>
  <c r="E64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G63" i="5"/>
  <c r="E63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G62" i="5"/>
  <c r="E62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G61" i="5"/>
  <c r="E61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G60" i="5"/>
  <c r="E60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G59" i="5"/>
  <c r="E59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G58" i="5"/>
  <c r="E58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J57" i="5"/>
  <c r="I57" i="5"/>
  <c r="G57" i="5"/>
  <c r="E57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G56" i="5"/>
  <c r="E56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G55" i="5"/>
  <c r="E55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G54" i="5"/>
  <c r="E54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G53" i="5"/>
  <c r="E53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G52" i="5"/>
  <c r="E52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G51" i="5"/>
  <c r="E51" i="5"/>
  <c r="P46" i="5"/>
  <c r="O46" i="5"/>
  <c r="N46" i="5"/>
  <c r="M46" i="5"/>
  <c r="L46" i="5"/>
  <c r="K46" i="5"/>
  <c r="J46" i="5"/>
  <c r="I46" i="5"/>
  <c r="H46" i="5"/>
  <c r="G46" i="5"/>
  <c r="F46" i="5"/>
  <c r="E46" i="5"/>
  <c r="P45" i="5"/>
  <c r="O45" i="5"/>
  <c r="N45" i="5"/>
  <c r="M45" i="5"/>
  <c r="L45" i="5"/>
  <c r="K45" i="5"/>
  <c r="J45" i="5"/>
  <c r="I45" i="5"/>
  <c r="H45" i="5"/>
  <c r="G45" i="5"/>
  <c r="F45" i="5"/>
  <c r="E45" i="5"/>
  <c r="P44" i="5"/>
  <c r="O44" i="5"/>
  <c r="N44" i="5"/>
  <c r="M44" i="5"/>
  <c r="L44" i="5"/>
  <c r="K44" i="5"/>
  <c r="J44" i="5"/>
  <c r="I44" i="5"/>
  <c r="H44" i="5"/>
  <c r="G44" i="5"/>
  <c r="F44" i="5"/>
  <c r="E44" i="5"/>
  <c r="P43" i="5"/>
  <c r="O43" i="5"/>
  <c r="N43" i="5"/>
  <c r="M43" i="5"/>
  <c r="L43" i="5"/>
  <c r="K43" i="5"/>
  <c r="J43" i="5"/>
  <c r="I43" i="5"/>
  <c r="H43" i="5"/>
  <c r="G43" i="5"/>
  <c r="F43" i="5"/>
  <c r="E43" i="5"/>
  <c r="P42" i="5"/>
  <c r="O42" i="5"/>
  <c r="N42" i="5"/>
  <c r="M42" i="5"/>
  <c r="L42" i="5"/>
  <c r="K42" i="5"/>
  <c r="J42" i="5"/>
  <c r="I42" i="5"/>
  <c r="H42" i="5"/>
  <c r="G42" i="5"/>
  <c r="F42" i="5"/>
  <c r="E42" i="5"/>
  <c r="P41" i="5"/>
  <c r="O41" i="5"/>
  <c r="N41" i="5"/>
  <c r="M41" i="5"/>
  <c r="L41" i="5"/>
  <c r="K41" i="5"/>
  <c r="J41" i="5"/>
  <c r="I41" i="5"/>
  <c r="H41" i="5"/>
  <c r="G41" i="5"/>
  <c r="F41" i="5"/>
  <c r="E41" i="5"/>
  <c r="P40" i="5"/>
  <c r="O40" i="5"/>
  <c r="N40" i="5"/>
  <c r="M40" i="5"/>
  <c r="L40" i="5"/>
  <c r="K40" i="5"/>
  <c r="J40" i="5"/>
  <c r="I40" i="5"/>
  <c r="H40" i="5"/>
  <c r="G40" i="5"/>
  <c r="F40" i="5"/>
  <c r="E40" i="5"/>
  <c r="P39" i="5"/>
  <c r="O39" i="5"/>
  <c r="N39" i="5"/>
  <c r="M39" i="5"/>
  <c r="L39" i="5"/>
  <c r="K39" i="5"/>
  <c r="J39" i="5"/>
  <c r="I39" i="5"/>
  <c r="H39" i="5"/>
  <c r="G39" i="5"/>
  <c r="F39" i="5"/>
  <c r="E39" i="5"/>
  <c r="P38" i="5"/>
  <c r="O38" i="5"/>
  <c r="N38" i="5"/>
  <c r="M38" i="5"/>
  <c r="L38" i="5"/>
  <c r="K38" i="5"/>
  <c r="J38" i="5"/>
  <c r="I38" i="5"/>
  <c r="H38" i="5"/>
  <c r="G38" i="5"/>
  <c r="F38" i="5"/>
  <c r="E38" i="5"/>
  <c r="P37" i="5"/>
  <c r="O37" i="5"/>
  <c r="N37" i="5"/>
  <c r="M37" i="5"/>
  <c r="L37" i="5"/>
  <c r="T77" i="5" s="1"/>
  <c r="K37" i="5"/>
  <c r="J37" i="5"/>
  <c r="I37" i="5"/>
  <c r="H37" i="5"/>
  <c r="G37" i="5"/>
  <c r="F37" i="5"/>
  <c r="E37" i="5"/>
  <c r="P36" i="5"/>
  <c r="O36" i="5"/>
  <c r="N36" i="5"/>
  <c r="M36" i="5"/>
  <c r="L36" i="5"/>
  <c r="K36" i="5"/>
  <c r="J36" i="5"/>
  <c r="I36" i="5"/>
  <c r="H36" i="5"/>
  <c r="G36" i="5"/>
  <c r="F36" i="5"/>
  <c r="E36" i="5"/>
  <c r="P35" i="5"/>
  <c r="O35" i="5"/>
  <c r="N35" i="5"/>
  <c r="M35" i="5"/>
  <c r="L35" i="5"/>
  <c r="K35" i="5"/>
  <c r="J35" i="5"/>
  <c r="I35" i="5"/>
  <c r="H35" i="5"/>
  <c r="G35" i="5"/>
  <c r="F35" i="5"/>
  <c r="E35" i="5"/>
  <c r="P34" i="5"/>
  <c r="O34" i="5"/>
  <c r="N34" i="5"/>
  <c r="M34" i="5"/>
  <c r="L34" i="5"/>
  <c r="K34" i="5"/>
  <c r="J34" i="5"/>
  <c r="I34" i="5"/>
  <c r="H34" i="5"/>
  <c r="G34" i="5"/>
  <c r="F34" i="5"/>
  <c r="E34" i="5"/>
  <c r="P33" i="5"/>
  <c r="O33" i="5"/>
  <c r="N33" i="5"/>
  <c r="M33" i="5"/>
  <c r="L33" i="5"/>
  <c r="K33" i="5"/>
  <c r="J33" i="5"/>
  <c r="I33" i="5"/>
  <c r="H33" i="5"/>
  <c r="G33" i="5"/>
  <c r="F33" i="5"/>
  <c r="E33" i="5"/>
  <c r="P32" i="5"/>
  <c r="O32" i="5"/>
  <c r="N32" i="5"/>
  <c r="M32" i="5"/>
  <c r="L32" i="5"/>
  <c r="K32" i="5"/>
  <c r="J32" i="5"/>
  <c r="I32" i="5"/>
  <c r="H32" i="5"/>
  <c r="G32" i="5"/>
  <c r="F32" i="5"/>
  <c r="E32" i="5"/>
  <c r="P31" i="5"/>
  <c r="O31" i="5"/>
  <c r="N31" i="5"/>
  <c r="M31" i="5"/>
  <c r="L31" i="5"/>
  <c r="K31" i="5"/>
  <c r="J31" i="5"/>
  <c r="I31" i="5"/>
  <c r="H31" i="5"/>
  <c r="G31" i="5"/>
  <c r="F31" i="5"/>
  <c r="E31" i="5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E117" i="4"/>
  <c r="V116" i="4"/>
  <c r="T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E116" i="4"/>
  <c r="V115" i="4"/>
  <c r="U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E115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E114" i="4"/>
  <c r="U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E113" i="4"/>
  <c r="U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E112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E111" i="4"/>
  <c r="V110" i="4"/>
  <c r="S110" i="4"/>
  <c r="R110" i="4"/>
  <c r="Q110" i="4"/>
  <c r="P110" i="4"/>
  <c r="O110" i="4"/>
  <c r="N110" i="4"/>
  <c r="M110" i="4"/>
  <c r="L110" i="4"/>
  <c r="L147" i="4" s="1"/>
  <c r="K110" i="4"/>
  <c r="J110" i="4"/>
  <c r="I110" i="4"/>
  <c r="H110" i="4"/>
  <c r="G110" i="4"/>
  <c r="E110" i="4"/>
  <c r="V109" i="4"/>
  <c r="U109" i="4"/>
  <c r="T109" i="4"/>
  <c r="S109" i="4"/>
  <c r="R109" i="4"/>
  <c r="Q109" i="4"/>
  <c r="P109" i="4"/>
  <c r="O109" i="4"/>
  <c r="N109" i="4"/>
  <c r="M109" i="4"/>
  <c r="M146" i="4" s="1"/>
  <c r="L109" i="4"/>
  <c r="K109" i="4"/>
  <c r="J109" i="4"/>
  <c r="I109" i="4"/>
  <c r="H109" i="4"/>
  <c r="G109" i="4"/>
  <c r="E109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E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E107" i="4"/>
  <c r="V106" i="4"/>
  <c r="U106" i="4"/>
  <c r="T106" i="4"/>
  <c r="S106" i="4"/>
  <c r="R106" i="4"/>
  <c r="Q106" i="4"/>
  <c r="P106" i="4"/>
  <c r="O106" i="4"/>
  <c r="N106" i="4"/>
  <c r="M106" i="4"/>
  <c r="L106" i="4"/>
  <c r="L143" i="4" s="1"/>
  <c r="K106" i="4"/>
  <c r="J106" i="4"/>
  <c r="I106" i="4"/>
  <c r="H106" i="4"/>
  <c r="G106" i="4"/>
  <c r="E106" i="4"/>
  <c r="V105" i="4"/>
  <c r="U105" i="4"/>
  <c r="T105" i="4"/>
  <c r="S105" i="4"/>
  <c r="R105" i="4"/>
  <c r="Q105" i="4"/>
  <c r="P105" i="4"/>
  <c r="O105" i="4"/>
  <c r="N105" i="4"/>
  <c r="M105" i="4"/>
  <c r="M142" i="4" s="1"/>
  <c r="L105" i="4"/>
  <c r="K105" i="4"/>
  <c r="J105" i="4"/>
  <c r="I105" i="4"/>
  <c r="H105" i="4"/>
  <c r="G105" i="4"/>
  <c r="E105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E104" i="4"/>
  <c r="V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E103" i="4"/>
  <c r="V102" i="4"/>
  <c r="U102" i="4"/>
  <c r="T102" i="4"/>
  <c r="S102" i="4"/>
  <c r="R102" i="4"/>
  <c r="Q102" i="4"/>
  <c r="P102" i="4"/>
  <c r="O102" i="4"/>
  <c r="N102" i="4"/>
  <c r="M102" i="4"/>
  <c r="L102" i="4"/>
  <c r="L139" i="4" s="1"/>
  <c r="K102" i="4"/>
  <c r="J102" i="4"/>
  <c r="I102" i="4"/>
  <c r="H102" i="4"/>
  <c r="G102" i="4"/>
  <c r="E102" i="4"/>
  <c r="V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E101" i="4"/>
  <c r="V100" i="4"/>
  <c r="T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E100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G99" i="4"/>
  <c r="E99" i="4"/>
  <c r="V98" i="4"/>
  <c r="U98" i="4"/>
  <c r="T98" i="4"/>
  <c r="S98" i="4"/>
  <c r="R98" i="4"/>
  <c r="Q98" i="4"/>
  <c r="P98" i="4"/>
  <c r="P135" i="4" s="1"/>
  <c r="O98" i="4"/>
  <c r="N98" i="4"/>
  <c r="M98" i="4"/>
  <c r="L98" i="4"/>
  <c r="L135" i="4" s="1"/>
  <c r="K98" i="4"/>
  <c r="J98" i="4"/>
  <c r="I98" i="4"/>
  <c r="G98" i="4"/>
  <c r="E98" i="4"/>
  <c r="V97" i="4"/>
  <c r="T97" i="4"/>
  <c r="R97" i="4"/>
  <c r="Q97" i="4"/>
  <c r="Q134" i="4" s="1"/>
  <c r="P97" i="4"/>
  <c r="O97" i="4"/>
  <c r="N97" i="4"/>
  <c r="M97" i="4"/>
  <c r="M134" i="4" s="1"/>
  <c r="L97" i="4"/>
  <c r="K97" i="4"/>
  <c r="J97" i="4"/>
  <c r="I97" i="4"/>
  <c r="H97" i="4"/>
  <c r="G97" i="4"/>
  <c r="E97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E96" i="4"/>
  <c r="V95" i="4"/>
  <c r="T95" i="4"/>
  <c r="R95" i="4"/>
  <c r="Q95" i="4"/>
  <c r="P95" i="4"/>
  <c r="O95" i="4"/>
  <c r="N95" i="4"/>
  <c r="M95" i="4"/>
  <c r="L95" i="4"/>
  <c r="K95" i="4"/>
  <c r="J95" i="4"/>
  <c r="I95" i="4"/>
  <c r="H95" i="4"/>
  <c r="G95" i="4"/>
  <c r="E95" i="4"/>
  <c r="V94" i="4"/>
  <c r="U94" i="4"/>
  <c r="T94" i="4"/>
  <c r="S94" i="4"/>
  <c r="R94" i="4"/>
  <c r="Q94" i="4"/>
  <c r="P94" i="4"/>
  <c r="O94" i="4"/>
  <c r="N94" i="4"/>
  <c r="M94" i="4"/>
  <c r="L94" i="4"/>
  <c r="L131" i="4" s="1"/>
  <c r="K94" i="4"/>
  <c r="J94" i="4"/>
  <c r="I94" i="4"/>
  <c r="G94" i="4"/>
  <c r="E94" i="4"/>
  <c r="V93" i="4"/>
  <c r="U93" i="4"/>
  <c r="S93" i="4"/>
  <c r="R93" i="4"/>
  <c r="Q93" i="4"/>
  <c r="P93" i="4"/>
  <c r="O93" i="4"/>
  <c r="N93" i="4"/>
  <c r="M93" i="4"/>
  <c r="M130" i="4" s="1"/>
  <c r="L93" i="4"/>
  <c r="K93" i="4"/>
  <c r="J93" i="4"/>
  <c r="I93" i="4"/>
  <c r="G93" i="4"/>
  <c r="E93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E92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E91" i="4"/>
  <c r="V90" i="4"/>
  <c r="T90" i="4"/>
  <c r="S90" i="4"/>
  <c r="R90" i="4"/>
  <c r="Q90" i="4"/>
  <c r="P90" i="4"/>
  <c r="O90" i="4"/>
  <c r="N90" i="4"/>
  <c r="M90" i="4"/>
  <c r="L90" i="4"/>
  <c r="L127" i="4" s="1"/>
  <c r="K90" i="4"/>
  <c r="J90" i="4"/>
  <c r="I90" i="4"/>
  <c r="H90" i="4"/>
  <c r="G90" i="4"/>
  <c r="E90" i="4"/>
  <c r="V89" i="4"/>
  <c r="U89" i="4"/>
  <c r="T89" i="4"/>
  <c r="S89" i="4"/>
  <c r="R89" i="4"/>
  <c r="Q89" i="4"/>
  <c r="P89" i="4"/>
  <c r="O89" i="4"/>
  <c r="N89" i="4"/>
  <c r="M89" i="4"/>
  <c r="M126" i="4" s="1"/>
  <c r="L89" i="4"/>
  <c r="K89" i="4"/>
  <c r="J89" i="4"/>
  <c r="I89" i="4"/>
  <c r="H89" i="4"/>
  <c r="G89" i="4"/>
  <c r="E89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E88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E87" i="4"/>
  <c r="V86" i="4"/>
  <c r="U86" i="4"/>
  <c r="T86" i="4"/>
  <c r="T123" i="4" s="1"/>
  <c r="S86" i="4"/>
  <c r="R86" i="4"/>
  <c r="Q86" i="4"/>
  <c r="P86" i="4"/>
  <c r="O86" i="4"/>
  <c r="N86" i="4"/>
  <c r="M86" i="4"/>
  <c r="L86" i="4"/>
  <c r="L123" i="4" s="1"/>
  <c r="K86" i="4"/>
  <c r="J86" i="4"/>
  <c r="I86" i="4"/>
  <c r="H86" i="4"/>
  <c r="G86" i="4"/>
  <c r="E86" i="4"/>
  <c r="M81" i="4"/>
  <c r="L81" i="4"/>
  <c r="K81" i="4"/>
  <c r="R154" i="4" s="1"/>
  <c r="J81" i="4"/>
  <c r="I81" i="4"/>
  <c r="H81" i="4"/>
  <c r="G81" i="4"/>
  <c r="F81" i="4"/>
  <c r="E81" i="4"/>
  <c r="M80" i="4"/>
  <c r="L80" i="4"/>
  <c r="K80" i="4"/>
  <c r="J80" i="4"/>
  <c r="O153" i="4" s="1"/>
  <c r="I80" i="4"/>
  <c r="N153" i="4" s="1"/>
  <c r="H80" i="4"/>
  <c r="G80" i="4"/>
  <c r="F80" i="4"/>
  <c r="E80" i="4"/>
  <c r="M79" i="4"/>
  <c r="L79" i="4"/>
  <c r="K79" i="4"/>
  <c r="J79" i="4"/>
  <c r="I79" i="4"/>
  <c r="H79" i="4"/>
  <c r="G79" i="4"/>
  <c r="F79" i="4"/>
  <c r="E79" i="4"/>
  <c r="M78" i="4"/>
  <c r="L78" i="4"/>
  <c r="K78" i="4"/>
  <c r="Q151" i="4" s="1"/>
  <c r="J78" i="4"/>
  <c r="I78" i="4"/>
  <c r="H78" i="4"/>
  <c r="G78" i="4"/>
  <c r="F78" i="4"/>
  <c r="E78" i="4"/>
  <c r="M77" i="4"/>
  <c r="L77" i="4"/>
  <c r="K77" i="4"/>
  <c r="J77" i="4"/>
  <c r="I77" i="4"/>
  <c r="H77" i="4"/>
  <c r="G77" i="4"/>
  <c r="F77" i="4"/>
  <c r="E77" i="4"/>
  <c r="E150" i="4" s="1"/>
  <c r="M76" i="4"/>
  <c r="L76" i="4"/>
  <c r="K76" i="4"/>
  <c r="J76" i="4"/>
  <c r="I76" i="4"/>
  <c r="N149" i="4" s="1"/>
  <c r="H76" i="4"/>
  <c r="G76" i="4"/>
  <c r="F76" i="4"/>
  <c r="E76" i="4"/>
  <c r="M75" i="4"/>
  <c r="L75" i="4"/>
  <c r="K75" i="4"/>
  <c r="J75" i="4"/>
  <c r="O148" i="4" s="1"/>
  <c r="I75" i="4"/>
  <c r="H75" i="4"/>
  <c r="G75" i="4"/>
  <c r="F75" i="4"/>
  <c r="E75" i="4"/>
  <c r="M74" i="4"/>
  <c r="L74" i="4"/>
  <c r="K74" i="4"/>
  <c r="J74" i="4"/>
  <c r="I74" i="4"/>
  <c r="H74" i="4"/>
  <c r="G74" i="4"/>
  <c r="I147" i="4" s="1"/>
  <c r="F74" i="4"/>
  <c r="E74" i="4"/>
  <c r="M73" i="4"/>
  <c r="L73" i="4"/>
  <c r="K73" i="4"/>
  <c r="J73" i="4"/>
  <c r="I73" i="4"/>
  <c r="H73" i="4"/>
  <c r="G73" i="4"/>
  <c r="J146" i="4" s="1"/>
  <c r="F73" i="4"/>
  <c r="E73" i="4"/>
  <c r="E146" i="4" s="1"/>
  <c r="M72" i="4"/>
  <c r="V145" i="4" s="1"/>
  <c r="L72" i="4"/>
  <c r="K72" i="4"/>
  <c r="J72" i="4"/>
  <c r="I72" i="4"/>
  <c r="H72" i="4"/>
  <c r="K145" i="4" s="1"/>
  <c r="G72" i="4"/>
  <c r="F72" i="4"/>
  <c r="E72" i="4"/>
  <c r="M71" i="4"/>
  <c r="L71" i="4"/>
  <c r="K71" i="4"/>
  <c r="J71" i="4"/>
  <c r="I71" i="4"/>
  <c r="H71" i="4"/>
  <c r="L144" i="4" s="1"/>
  <c r="G71" i="4"/>
  <c r="F71" i="4"/>
  <c r="E71" i="4"/>
  <c r="M70" i="4"/>
  <c r="L70" i="4"/>
  <c r="K70" i="4"/>
  <c r="J70" i="4"/>
  <c r="I70" i="4"/>
  <c r="M143" i="4" s="1"/>
  <c r="H70" i="4"/>
  <c r="G70" i="4"/>
  <c r="I143" i="4" s="1"/>
  <c r="F70" i="4"/>
  <c r="E70" i="4"/>
  <c r="M69" i="4"/>
  <c r="L69" i="4"/>
  <c r="K69" i="4"/>
  <c r="J69" i="4"/>
  <c r="I69" i="4"/>
  <c r="H69" i="4"/>
  <c r="G69" i="4"/>
  <c r="J142" i="4" s="1"/>
  <c r="F69" i="4"/>
  <c r="E69" i="4"/>
  <c r="M68" i="4"/>
  <c r="V141" i="4" s="1"/>
  <c r="L68" i="4"/>
  <c r="K68" i="4"/>
  <c r="J68" i="4"/>
  <c r="O141" i="4" s="1"/>
  <c r="I68" i="4"/>
  <c r="H68" i="4"/>
  <c r="K141" i="4" s="1"/>
  <c r="G68" i="4"/>
  <c r="F68" i="4"/>
  <c r="E68" i="4"/>
  <c r="E141" i="4" s="1"/>
  <c r="M67" i="4"/>
  <c r="L67" i="4"/>
  <c r="K67" i="4"/>
  <c r="J67" i="4"/>
  <c r="P140" i="4" s="1"/>
  <c r="I67" i="4"/>
  <c r="H67" i="4"/>
  <c r="L140" i="4" s="1"/>
  <c r="G67" i="4"/>
  <c r="F67" i="4"/>
  <c r="E67" i="4"/>
  <c r="M66" i="4"/>
  <c r="L66" i="4"/>
  <c r="K66" i="4"/>
  <c r="Q139" i="4" s="1"/>
  <c r="J66" i="4"/>
  <c r="I66" i="4"/>
  <c r="M139" i="4" s="1"/>
  <c r="H66" i="4"/>
  <c r="G66" i="4"/>
  <c r="F66" i="4"/>
  <c r="E66" i="4"/>
  <c r="M65" i="4"/>
  <c r="L65" i="4"/>
  <c r="K65" i="4"/>
  <c r="J65" i="4"/>
  <c r="I65" i="4"/>
  <c r="N138" i="4" s="1"/>
  <c r="H65" i="4"/>
  <c r="G65" i="4"/>
  <c r="F65" i="4"/>
  <c r="E65" i="4"/>
  <c r="M64" i="4"/>
  <c r="L64" i="4"/>
  <c r="K64" i="4"/>
  <c r="J64" i="4"/>
  <c r="O137" i="4" s="1"/>
  <c r="I64" i="4"/>
  <c r="H64" i="4"/>
  <c r="G64" i="4"/>
  <c r="F64" i="4"/>
  <c r="E64" i="4"/>
  <c r="M63" i="4"/>
  <c r="L63" i="4"/>
  <c r="K63" i="4"/>
  <c r="J63" i="4"/>
  <c r="I63" i="4"/>
  <c r="H63" i="4"/>
  <c r="G63" i="4"/>
  <c r="F63" i="4"/>
  <c r="E63" i="4"/>
  <c r="M62" i="4"/>
  <c r="L62" i="4"/>
  <c r="K62" i="4"/>
  <c r="Q135" i="4" s="1"/>
  <c r="J62" i="4"/>
  <c r="I62" i="4"/>
  <c r="H62" i="4"/>
  <c r="G62" i="4"/>
  <c r="F62" i="4"/>
  <c r="E62" i="4"/>
  <c r="M61" i="4"/>
  <c r="L61" i="4"/>
  <c r="K61" i="4"/>
  <c r="J61" i="4"/>
  <c r="I61" i="4"/>
  <c r="H61" i="4"/>
  <c r="G61" i="4"/>
  <c r="F61" i="4"/>
  <c r="E61" i="4"/>
  <c r="E134" i="4" s="1"/>
  <c r="M60" i="4"/>
  <c r="L60" i="4"/>
  <c r="K60" i="4"/>
  <c r="J60" i="4"/>
  <c r="I60" i="4"/>
  <c r="H60" i="4"/>
  <c r="G60" i="4"/>
  <c r="F60" i="4"/>
  <c r="E60" i="4"/>
  <c r="M59" i="4"/>
  <c r="L59" i="4"/>
  <c r="K59" i="4"/>
  <c r="J59" i="4"/>
  <c r="I59" i="4"/>
  <c r="H59" i="4"/>
  <c r="G59" i="4"/>
  <c r="F59" i="4"/>
  <c r="E59" i="4"/>
  <c r="M58" i="4"/>
  <c r="L58" i="4"/>
  <c r="K58" i="4"/>
  <c r="J58" i="4"/>
  <c r="I58" i="4"/>
  <c r="H58" i="4"/>
  <c r="G58" i="4"/>
  <c r="F58" i="4"/>
  <c r="E58" i="4"/>
  <c r="M57" i="4"/>
  <c r="L57" i="4"/>
  <c r="K57" i="4"/>
  <c r="J57" i="4"/>
  <c r="I57" i="4"/>
  <c r="H57" i="4"/>
  <c r="G57" i="4"/>
  <c r="F57" i="4"/>
  <c r="E57" i="4"/>
  <c r="M56" i="4"/>
  <c r="L56" i="4"/>
  <c r="K56" i="4"/>
  <c r="J56" i="4"/>
  <c r="I56" i="4"/>
  <c r="H56" i="4"/>
  <c r="G56" i="4"/>
  <c r="F56" i="4"/>
  <c r="E56" i="4"/>
  <c r="M55" i="4"/>
  <c r="L55" i="4"/>
  <c r="K55" i="4"/>
  <c r="J55" i="4"/>
  <c r="I55" i="4"/>
  <c r="H55" i="4"/>
  <c r="G55" i="4"/>
  <c r="F55" i="4"/>
  <c r="E55" i="4"/>
  <c r="M54" i="4"/>
  <c r="L54" i="4"/>
  <c r="K54" i="4"/>
  <c r="J54" i="4"/>
  <c r="I54" i="4"/>
  <c r="H54" i="4"/>
  <c r="G54" i="4"/>
  <c r="F54" i="4"/>
  <c r="E54" i="4"/>
  <c r="M53" i="4"/>
  <c r="L53" i="4"/>
  <c r="K53" i="4"/>
  <c r="J53" i="4"/>
  <c r="I53" i="4"/>
  <c r="H53" i="4"/>
  <c r="G53" i="4"/>
  <c r="F53" i="4"/>
  <c r="E53" i="4"/>
  <c r="M52" i="4"/>
  <c r="L52" i="4"/>
  <c r="K52" i="4"/>
  <c r="J52" i="4"/>
  <c r="I52" i="4"/>
  <c r="H52" i="4"/>
  <c r="G52" i="4"/>
  <c r="F52" i="4"/>
  <c r="E52" i="4"/>
  <c r="M51" i="4"/>
  <c r="L51" i="4"/>
  <c r="K51" i="4"/>
  <c r="J51" i="4"/>
  <c r="I51" i="4"/>
  <c r="H51" i="4"/>
  <c r="G51" i="4"/>
  <c r="F51" i="4"/>
  <c r="E51" i="4"/>
  <c r="M50" i="4"/>
  <c r="L50" i="4"/>
  <c r="K50" i="4"/>
  <c r="J50" i="4"/>
  <c r="I50" i="4"/>
  <c r="H50" i="4"/>
  <c r="G50" i="4"/>
  <c r="F50" i="4"/>
  <c r="E50" i="4"/>
  <c r="L77" i="5" l="1"/>
  <c r="Q86" i="5"/>
  <c r="L73" i="5"/>
  <c r="O76" i="5"/>
  <c r="K84" i="5"/>
  <c r="U82" i="5"/>
  <c r="I74" i="5"/>
  <c r="X77" i="5"/>
  <c r="K134" i="5" s="1"/>
  <c r="S76" i="5"/>
  <c r="AA76" i="5"/>
  <c r="AB81" i="5"/>
  <c r="L81" i="5"/>
  <c r="L85" i="5"/>
  <c r="AA72" i="5"/>
  <c r="G85" i="5"/>
  <c r="AA71" i="5"/>
  <c r="O72" i="5"/>
  <c r="E76" i="5"/>
  <c r="E77" i="5"/>
  <c r="K80" i="5"/>
  <c r="Y82" i="5"/>
  <c r="O80" i="5"/>
  <c r="Y78" i="5"/>
  <c r="Q74" i="5"/>
  <c r="W76" i="5"/>
  <c r="AB73" i="5"/>
  <c r="S80" i="5"/>
  <c r="T85" i="5"/>
  <c r="U78" i="5"/>
  <c r="E80" i="5"/>
  <c r="Y86" i="5"/>
  <c r="I78" i="5"/>
  <c r="E84" i="5"/>
  <c r="M86" i="5"/>
  <c r="K72" i="5"/>
  <c r="X81" i="5"/>
  <c r="P85" i="5"/>
  <c r="U74" i="5"/>
  <c r="M78" i="5"/>
  <c r="AA84" i="5"/>
  <c r="AA80" i="5"/>
  <c r="AB85" i="5"/>
  <c r="X73" i="5"/>
  <c r="P77" i="5"/>
  <c r="G81" i="5"/>
  <c r="E72" i="5"/>
  <c r="M74" i="5"/>
  <c r="Q82" i="5"/>
  <c r="W84" i="5"/>
  <c r="I86" i="5"/>
  <c r="M82" i="5"/>
  <c r="P81" i="5"/>
  <c r="G138" i="5" s="1"/>
  <c r="W72" i="5"/>
  <c r="T73" i="5"/>
  <c r="I130" i="5" s="1"/>
  <c r="J71" i="5"/>
  <c r="G72" i="5"/>
  <c r="R72" i="5"/>
  <c r="P73" i="5"/>
  <c r="Z73" i="5"/>
  <c r="L130" i="5" s="1"/>
  <c r="N74" i="5"/>
  <c r="X74" i="5"/>
  <c r="V75" i="5"/>
  <c r="J76" i="5"/>
  <c r="G77" i="5"/>
  <c r="R77" i="5"/>
  <c r="H134" i="5" s="1"/>
  <c r="P78" i="5"/>
  <c r="Z78" i="5"/>
  <c r="N79" i="5"/>
  <c r="X79" i="5"/>
  <c r="V80" i="5"/>
  <c r="J81" i="5"/>
  <c r="G82" i="5"/>
  <c r="R82" i="5"/>
  <c r="P83" i="5"/>
  <c r="Z83" i="5"/>
  <c r="N84" i="5"/>
  <c r="X84" i="5"/>
  <c r="V85" i="5"/>
  <c r="J86" i="5"/>
  <c r="K71" i="5"/>
  <c r="U71" i="5"/>
  <c r="I72" i="5"/>
  <c r="E73" i="5"/>
  <c r="Q73" i="5"/>
  <c r="AA73" i="5"/>
  <c r="Y74" i="5"/>
  <c r="W75" i="5"/>
  <c r="U76" i="5"/>
  <c r="I77" i="5"/>
  <c r="S77" i="5"/>
  <c r="I114" i="5" s="1"/>
  <c r="E78" i="5"/>
  <c r="Q78" i="5"/>
  <c r="Y79" i="5"/>
  <c r="W80" i="5"/>
  <c r="K81" i="5"/>
  <c r="U81" i="5"/>
  <c r="I82" i="5"/>
  <c r="E83" i="5"/>
  <c r="Q83" i="5"/>
  <c r="AA83" i="5"/>
  <c r="O84" i="5"/>
  <c r="Y84" i="5"/>
  <c r="W85" i="5"/>
  <c r="U86" i="5"/>
  <c r="S84" i="5"/>
  <c r="G73" i="5"/>
  <c r="X85" i="5"/>
  <c r="I71" i="5"/>
  <c r="S71" i="5"/>
  <c r="Q72" i="5"/>
  <c r="O73" i="5"/>
  <c r="Y73" i="5"/>
  <c r="W74" i="5"/>
  <c r="K75" i="5"/>
  <c r="U75" i="5"/>
  <c r="I76" i="5"/>
  <c r="Q77" i="5"/>
  <c r="AA77" i="5"/>
  <c r="O78" i="5"/>
  <c r="M79" i="5"/>
  <c r="W79" i="5"/>
  <c r="U80" i="5"/>
  <c r="I81" i="5"/>
  <c r="S81" i="5"/>
  <c r="E82" i="5"/>
  <c r="O83" i="5"/>
  <c r="Y83" i="5"/>
  <c r="M84" i="5"/>
  <c r="K85" i="5"/>
  <c r="U85" i="5"/>
  <c r="M75" i="5"/>
  <c r="M80" i="5"/>
  <c r="M85" i="5"/>
  <c r="K76" i="5"/>
  <c r="AB77" i="5"/>
  <c r="M134" i="5" s="1"/>
  <c r="V71" i="5"/>
  <c r="J72" i="5"/>
  <c r="R73" i="5"/>
  <c r="H130" i="5" s="1"/>
  <c r="P74" i="5"/>
  <c r="Z74" i="5"/>
  <c r="N75" i="5"/>
  <c r="X75" i="5"/>
  <c r="V76" i="5"/>
  <c r="J77" i="5"/>
  <c r="G78" i="5"/>
  <c r="R78" i="5"/>
  <c r="P79" i="5"/>
  <c r="Z79" i="5"/>
  <c r="N80" i="5"/>
  <c r="X80" i="5"/>
  <c r="V81" i="5"/>
  <c r="J82" i="5"/>
  <c r="G83" i="5"/>
  <c r="R83" i="5"/>
  <c r="P84" i="5"/>
  <c r="Z84" i="5"/>
  <c r="N85" i="5"/>
  <c r="F142" i="5" s="1"/>
  <c r="V86" i="5"/>
  <c r="O74" i="5"/>
  <c r="O79" i="5"/>
  <c r="M71" i="5"/>
  <c r="W71" i="5"/>
  <c r="U72" i="5"/>
  <c r="I73" i="5"/>
  <c r="S73" i="5"/>
  <c r="E74" i="5"/>
  <c r="O75" i="5"/>
  <c r="Y75" i="5"/>
  <c r="M76" i="5"/>
  <c r="K77" i="5"/>
  <c r="U77" i="5"/>
  <c r="E79" i="5"/>
  <c r="Q79" i="5"/>
  <c r="AA79" i="5"/>
  <c r="Y80" i="5"/>
  <c r="M81" i="5"/>
  <c r="W81" i="5"/>
  <c r="I83" i="5"/>
  <c r="S83" i="5"/>
  <c r="Q84" i="5"/>
  <c r="O85" i="5"/>
  <c r="Y85" i="5"/>
  <c r="W86" i="5"/>
  <c r="N71" i="5"/>
  <c r="X71" i="5"/>
  <c r="V72" i="5"/>
  <c r="J73" i="5"/>
  <c r="G74" i="5"/>
  <c r="R74" i="5"/>
  <c r="P75" i="5"/>
  <c r="Z75" i="5"/>
  <c r="N76" i="5"/>
  <c r="X76" i="5"/>
  <c r="V77" i="5"/>
  <c r="J134" i="5" s="1"/>
  <c r="J78" i="5"/>
  <c r="G79" i="5"/>
  <c r="R79" i="5"/>
  <c r="P80" i="5"/>
  <c r="Z80" i="5"/>
  <c r="N81" i="5"/>
  <c r="V82" i="5"/>
  <c r="J83" i="5"/>
  <c r="G84" i="5"/>
  <c r="R84" i="5"/>
  <c r="Z85" i="5"/>
  <c r="N86" i="5"/>
  <c r="X86" i="5"/>
  <c r="O71" i="5"/>
  <c r="Y71" i="5"/>
  <c r="M72" i="5"/>
  <c r="K73" i="5"/>
  <c r="E92" i="5" s="1"/>
  <c r="U73" i="5"/>
  <c r="E75" i="5"/>
  <c r="Q75" i="5"/>
  <c r="AA75" i="5"/>
  <c r="Y76" i="5"/>
  <c r="M77" i="5"/>
  <c r="W77" i="5"/>
  <c r="I79" i="5"/>
  <c r="S79" i="5"/>
  <c r="Q80" i="5"/>
  <c r="O81" i="5"/>
  <c r="Y81" i="5"/>
  <c r="W82" i="5"/>
  <c r="K83" i="5"/>
  <c r="U83" i="5"/>
  <c r="I84" i="5"/>
  <c r="E85" i="5"/>
  <c r="Q85" i="5"/>
  <c r="AA85" i="5"/>
  <c r="O86" i="5"/>
  <c r="T81" i="5"/>
  <c r="P71" i="5"/>
  <c r="Z71" i="5"/>
  <c r="N72" i="5"/>
  <c r="X72" i="5"/>
  <c r="V73" i="5"/>
  <c r="J74" i="5"/>
  <c r="G75" i="5"/>
  <c r="R75" i="5"/>
  <c r="P76" i="5"/>
  <c r="Z76" i="5"/>
  <c r="N77" i="5"/>
  <c r="F134" i="5" s="1"/>
  <c r="V78" i="5"/>
  <c r="J79" i="5"/>
  <c r="G80" i="5"/>
  <c r="R80" i="5"/>
  <c r="Z81" i="5"/>
  <c r="N82" i="5"/>
  <c r="X82" i="5"/>
  <c r="V83" i="5"/>
  <c r="J84" i="5"/>
  <c r="R85" i="5"/>
  <c r="P86" i="5"/>
  <c r="Z86" i="5"/>
  <c r="E71" i="5"/>
  <c r="Q71" i="5"/>
  <c r="Y72" i="5"/>
  <c r="M73" i="5"/>
  <c r="W73" i="5"/>
  <c r="I75" i="5"/>
  <c r="S75" i="5"/>
  <c r="Q76" i="5"/>
  <c r="O77" i="5"/>
  <c r="Y77" i="5"/>
  <c r="W78" i="5"/>
  <c r="K79" i="5"/>
  <c r="U79" i="5"/>
  <c r="I80" i="5"/>
  <c r="E81" i="5"/>
  <c r="Q81" i="5"/>
  <c r="AA81" i="5"/>
  <c r="O82" i="5"/>
  <c r="M83" i="5"/>
  <c r="W83" i="5"/>
  <c r="U84" i="5"/>
  <c r="I85" i="5"/>
  <c r="S85" i="5"/>
  <c r="I122" i="5" s="1"/>
  <c r="E86" i="5"/>
  <c r="S72" i="5"/>
  <c r="G71" i="5"/>
  <c r="R71" i="5"/>
  <c r="P72" i="5"/>
  <c r="Z72" i="5"/>
  <c r="N73" i="5"/>
  <c r="V74" i="5"/>
  <c r="J75" i="5"/>
  <c r="G76" i="5"/>
  <c r="R76" i="5"/>
  <c r="Z77" i="5"/>
  <c r="N78" i="5"/>
  <c r="X78" i="5"/>
  <c r="V79" i="5"/>
  <c r="J80" i="5"/>
  <c r="R81" i="5"/>
  <c r="P82" i="5"/>
  <c r="Z82" i="5"/>
  <c r="N83" i="5"/>
  <c r="X83" i="5"/>
  <c r="V84" i="5"/>
  <c r="J85" i="5"/>
  <c r="G86" i="5"/>
  <c r="R86" i="5"/>
  <c r="K136" i="4"/>
  <c r="V134" i="4"/>
  <c r="M210" i="4" s="1"/>
  <c r="R138" i="4"/>
  <c r="N142" i="4"/>
  <c r="E145" i="4"/>
  <c r="N133" i="4"/>
  <c r="I170" i="4" s="1"/>
  <c r="O136" i="4"/>
  <c r="N137" i="4"/>
  <c r="R133" i="4"/>
  <c r="K170" i="4" s="1"/>
  <c r="J137" i="4"/>
  <c r="G174" i="4" s="1"/>
  <c r="J141" i="4"/>
  <c r="R145" i="4"/>
  <c r="K221" i="4" s="1"/>
  <c r="R149" i="4"/>
  <c r="K186" i="4" s="1"/>
  <c r="K152" i="4"/>
  <c r="J153" i="4"/>
  <c r="E123" i="4"/>
  <c r="J123" i="4"/>
  <c r="N123" i="4"/>
  <c r="R123" i="4"/>
  <c r="V123" i="4"/>
  <c r="I124" i="4"/>
  <c r="G200" i="4" s="1"/>
  <c r="M124" i="4"/>
  <c r="Q124" i="4"/>
  <c r="L125" i="4"/>
  <c r="P125" i="4"/>
  <c r="K126" i="4"/>
  <c r="O126" i="4"/>
  <c r="E127" i="4"/>
  <c r="J127" i="4"/>
  <c r="N127" i="4"/>
  <c r="R127" i="4"/>
  <c r="V127" i="4"/>
  <c r="I128" i="4"/>
  <c r="M128" i="4"/>
  <c r="Q128" i="4"/>
  <c r="L129" i="4"/>
  <c r="P129" i="4"/>
  <c r="L166" i="4"/>
  <c r="K130" i="4"/>
  <c r="O130" i="4"/>
  <c r="E131" i="4"/>
  <c r="O132" i="4"/>
  <c r="I138" i="4"/>
  <c r="L176" i="4"/>
  <c r="Q146" i="4"/>
  <c r="P147" i="4"/>
  <c r="P151" i="4"/>
  <c r="I154" i="4"/>
  <c r="G123" i="4"/>
  <c r="K123" i="4"/>
  <c r="O123" i="4"/>
  <c r="S123" i="4"/>
  <c r="E124" i="4"/>
  <c r="J124" i="4"/>
  <c r="N124" i="4"/>
  <c r="I200" i="4" s="1"/>
  <c r="R124" i="4"/>
  <c r="K200" i="4" s="1"/>
  <c r="V124" i="4"/>
  <c r="I125" i="4"/>
  <c r="M125" i="4"/>
  <c r="Q125" i="4"/>
  <c r="L126" i="4"/>
  <c r="P126" i="4"/>
  <c r="J202" i="4" s="1"/>
  <c r="K127" i="4"/>
  <c r="H203" i="4" s="1"/>
  <c r="O127" i="4"/>
  <c r="E128" i="4"/>
  <c r="J128" i="4"/>
  <c r="G204" i="4" s="1"/>
  <c r="M150" i="4"/>
  <c r="L151" i="4"/>
  <c r="H227" i="4" s="1"/>
  <c r="R134" i="4"/>
  <c r="P136" i="4"/>
  <c r="J212" i="4" s="1"/>
  <c r="J131" i="4"/>
  <c r="N131" i="4"/>
  <c r="R131" i="4"/>
  <c r="V131" i="4"/>
  <c r="I132" i="4"/>
  <c r="G208" i="4" s="1"/>
  <c r="M132" i="4"/>
  <c r="Q132" i="4"/>
  <c r="F170" i="4"/>
  <c r="L133" i="4"/>
  <c r="P133" i="4"/>
  <c r="K134" i="4"/>
  <c r="E135" i="4"/>
  <c r="J135" i="4"/>
  <c r="R135" i="4"/>
  <c r="V135" i="4"/>
  <c r="I136" i="4"/>
  <c r="G212" i="4" s="1"/>
  <c r="M136" i="4"/>
  <c r="Q136" i="4"/>
  <c r="I174" i="4"/>
  <c r="L137" i="4"/>
  <c r="H174" i="4" s="1"/>
  <c r="P137" i="4"/>
  <c r="K138" i="4"/>
  <c r="H214" i="4" s="1"/>
  <c r="E139" i="4"/>
  <c r="J139" i="4"/>
  <c r="G176" i="4" s="1"/>
  <c r="R139" i="4"/>
  <c r="K215" i="4" s="1"/>
  <c r="V139" i="4"/>
  <c r="I140" i="4"/>
  <c r="M140" i="4"/>
  <c r="Q140" i="4"/>
  <c r="K216" i="4" s="1"/>
  <c r="L141" i="4"/>
  <c r="P141" i="4"/>
  <c r="J217" i="4" s="1"/>
  <c r="K142" i="4"/>
  <c r="O142" i="4"/>
  <c r="J143" i="4"/>
  <c r="N143" i="4"/>
  <c r="R143" i="4"/>
  <c r="K180" i="4" s="1"/>
  <c r="I144" i="4"/>
  <c r="M144" i="4"/>
  <c r="Q144" i="4"/>
  <c r="J182" i="4"/>
  <c r="L145" i="4"/>
  <c r="P145" i="4"/>
  <c r="K146" i="4"/>
  <c r="J147" i="4"/>
  <c r="G223" i="4" s="1"/>
  <c r="R147" i="4"/>
  <c r="I148" i="4"/>
  <c r="M148" i="4"/>
  <c r="Q148" i="4"/>
  <c r="F186" i="4"/>
  <c r="L149" i="4"/>
  <c r="P149" i="4"/>
  <c r="L225" i="4"/>
  <c r="K150" i="4"/>
  <c r="J151" i="4"/>
  <c r="R151" i="4"/>
  <c r="K227" i="4" s="1"/>
  <c r="I152" i="4"/>
  <c r="G228" i="4" s="1"/>
  <c r="M152" i="4"/>
  <c r="Q152" i="4"/>
  <c r="G190" i="4"/>
  <c r="L153" i="4"/>
  <c r="P153" i="4"/>
  <c r="L229" i="4"/>
  <c r="K154" i="4"/>
  <c r="N128" i="4"/>
  <c r="R128" i="4"/>
  <c r="V128" i="4"/>
  <c r="I129" i="4"/>
  <c r="M129" i="4"/>
  <c r="Q129" i="4"/>
  <c r="L130" i="4"/>
  <c r="P130" i="4"/>
  <c r="K131" i="4"/>
  <c r="O131" i="4"/>
  <c r="E132" i="4"/>
  <c r="J132" i="4"/>
  <c r="R132" i="4"/>
  <c r="M133" i="4"/>
  <c r="L134" i="4"/>
  <c r="L210" i="4"/>
  <c r="K135" i="4"/>
  <c r="H211" i="4" s="1"/>
  <c r="J136" i="4"/>
  <c r="R136" i="4"/>
  <c r="M137" i="4"/>
  <c r="L138" i="4"/>
  <c r="K139" i="4"/>
  <c r="H215" i="4" s="1"/>
  <c r="J140" i="4"/>
  <c r="R140" i="4"/>
  <c r="K143" i="4"/>
  <c r="L219" i="4"/>
  <c r="J144" i="4"/>
  <c r="R144" i="4"/>
  <c r="K147" i="4"/>
  <c r="L223" i="4"/>
  <c r="J148" i="4"/>
  <c r="R148" i="4"/>
  <c r="K151" i="4"/>
  <c r="J152" i="4"/>
  <c r="R152" i="4"/>
  <c r="V241" i="2"/>
  <c r="N153" i="2"/>
  <c r="O153" i="2" s="1"/>
  <c r="V197" i="2" s="1"/>
  <c r="N155" i="2"/>
  <c r="N157" i="2"/>
  <c r="O157" i="2" s="1"/>
  <c r="N160" i="2"/>
  <c r="O160" i="2" s="1"/>
  <c r="N162" i="2"/>
  <c r="O162" i="2" s="1"/>
  <c r="N164" i="2"/>
  <c r="V206" i="2"/>
  <c r="N192" i="2"/>
  <c r="O192" i="2" s="1"/>
  <c r="V236" i="2" s="1"/>
  <c r="N230" i="2"/>
  <c r="O230" i="2" s="1"/>
  <c r="N266" i="2"/>
  <c r="O266" i="2" s="1"/>
  <c r="V235" i="2" s="1"/>
  <c r="N275" i="2"/>
  <c r="O197" i="2"/>
  <c r="O235" i="2"/>
  <c r="N196" i="2"/>
  <c r="O196" i="2" s="1"/>
  <c r="N233" i="2"/>
  <c r="O233" i="2" s="1"/>
  <c r="V202" i="2" s="1"/>
  <c r="N239" i="2"/>
  <c r="O239" i="2" s="1"/>
  <c r="N271" i="2"/>
  <c r="O271" i="2" s="1"/>
  <c r="N188" i="2"/>
  <c r="O188" i="2" s="1"/>
  <c r="V232" i="2" s="1"/>
  <c r="AC184" i="2" s="1"/>
  <c r="N200" i="2"/>
  <c r="O200" i="2" s="1"/>
  <c r="Q51" i="6"/>
  <c r="Q55" i="6"/>
  <c r="Q56" i="6"/>
  <c r="Q57" i="6"/>
  <c r="M25" i="6"/>
  <c r="M66" i="6"/>
  <c r="Q59" i="6" s="1"/>
  <c r="Q60" i="6"/>
  <c r="Q48" i="6"/>
  <c r="M70" i="6"/>
  <c r="Q63" i="6" s="1"/>
  <c r="Q64" i="6"/>
  <c r="K27" i="6"/>
  <c r="M27" i="6" s="1"/>
  <c r="Q49" i="6" s="1"/>
  <c r="K35" i="6"/>
  <c r="M35" i="6" s="1"/>
  <c r="K43" i="6"/>
  <c r="M43" i="6" s="1"/>
  <c r="Q65" i="6" s="1"/>
  <c r="K54" i="6"/>
  <c r="M54" i="6" s="1"/>
  <c r="K74" i="6"/>
  <c r="M74" i="6" s="1"/>
  <c r="Q67" i="6" s="1"/>
  <c r="Q70" i="6"/>
  <c r="Q66" i="6"/>
  <c r="K32" i="6"/>
  <c r="M32" i="6" s="1"/>
  <c r="K40" i="6"/>
  <c r="M40" i="6" s="1"/>
  <c r="K30" i="6"/>
  <c r="M30" i="6" s="1"/>
  <c r="Q52" i="6" s="1"/>
  <c r="K31" i="6"/>
  <c r="M31" i="6" s="1"/>
  <c r="Q53" i="6" s="1"/>
  <c r="K38" i="6"/>
  <c r="M38" i="6" s="1"/>
  <c r="K39" i="6"/>
  <c r="M39" i="6" s="1"/>
  <c r="Q61" i="6" s="1"/>
  <c r="K46" i="6"/>
  <c r="M46" i="6" s="1"/>
  <c r="K47" i="6"/>
  <c r="M47" i="6" s="1"/>
  <c r="Q69" i="6" s="1"/>
  <c r="K57" i="6"/>
  <c r="M57" i="6" s="1"/>
  <c r="Q50" i="6" s="1"/>
  <c r="K61" i="6"/>
  <c r="M61" i="6" s="1"/>
  <c r="K65" i="6"/>
  <c r="M65" i="6" s="1"/>
  <c r="Q58" i="6" s="1"/>
  <c r="K69" i="6"/>
  <c r="M69" i="6" s="1"/>
  <c r="Q62" i="6" s="1"/>
  <c r="K75" i="6"/>
  <c r="M75" i="6" s="1"/>
  <c r="N264" i="2"/>
  <c r="O264" i="2" s="1"/>
  <c r="V233" i="2" s="1"/>
  <c r="N270" i="2"/>
  <c r="O270" i="2" s="1"/>
  <c r="V239" i="2" s="1"/>
  <c r="N273" i="2"/>
  <c r="O273" i="2" s="1"/>
  <c r="V242" i="2" s="1"/>
  <c r="O275" i="2"/>
  <c r="V244" i="2" s="1"/>
  <c r="N265" i="2"/>
  <c r="O265" i="2" s="1"/>
  <c r="V234" i="2" s="1"/>
  <c r="N274" i="2"/>
  <c r="O274" i="2" s="1"/>
  <c r="O238" i="2"/>
  <c r="V207" i="2" s="1"/>
  <c r="N232" i="2"/>
  <c r="O232" i="2" s="1"/>
  <c r="V201" i="2" s="1"/>
  <c r="O191" i="2"/>
  <c r="N193" i="2"/>
  <c r="O193" i="2" s="1"/>
  <c r="V237" i="2" s="1"/>
  <c r="N199" i="2"/>
  <c r="O199" i="2" s="1"/>
  <c r="O155" i="2"/>
  <c r="O164" i="2"/>
  <c r="K74" i="5"/>
  <c r="S74" i="5"/>
  <c r="AA74" i="5"/>
  <c r="K78" i="5"/>
  <c r="S78" i="5"/>
  <c r="AA78" i="5"/>
  <c r="K82" i="5"/>
  <c r="S82" i="5"/>
  <c r="AA82" i="5"/>
  <c r="K86" i="5"/>
  <c r="S86" i="5"/>
  <c r="AA86" i="5"/>
  <c r="E130" i="5"/>
  <c r="E134" i="5"/>
  <c r="I134" i="5"/>
  <c r="E138" i="5"/>
  <c r="M138" i="5"/>
  <c r="E142" i="5"/>
  <c r="L72" i="5"/>
  <c r="T72" i="5"/>
  <c r="AB72" i="5"/>
  <c r="L74" i="5"/>
  <c r="T74" i="5"/>
  <c r="AB74" i="5"/>
  <c r="L76" i="5"/>
  <c r="T76" i="5"/>
  <c r="AB76" i="5"/>
  <c r="L78" i="5"/>
  <c r="T78" i="5"/>
  <c r="AB78" i="5"/>
  <c r="L80" i="5"/>
  <c r="T80" i="5"/>
  <c r="AB80" i="5"/>
  <c r="L82" i="5"/>
  <c r="T82" i="5"/>
  <c r="AB82" i="5"/>
  <c r="L84" i="5"/>
  <c r="T84" i="5"/>
  <c r="AB84" i="5"/>
  <c r="L86" i="5"/>
  <c r="T86" i="5"/>
  <c r="AB86" i="5"/>
  <c r="L71" i="5"/>
  <c r="T71" i="5"/>
  <c r="AB71" i="5"/>
  <c r="L75" i="5"/>
  <c r="T75" i="5"/>
  <c r="AB75" i="5"/>
  <c r="L79" i="5"/>
  <c r="T79" i="5"/>
  <c r="AB79" i="5"/>
  <c r="L83" i="5"/>
  <c r="T83" i="5"/>
  <c r="AB83" i="5"/>
  <c r="K130" i="5"/>
  <c r="M178" i="4"/>
  <c r="F181" i="4"/>
  <c r="I209" i="4"/>
  <c r="L180" i="4"/>
  <c r="L208" i="4"/>
  <c r="K210" i="4"/>
  <c r="G178" i="4"/>
  <c r="H181" i="4"/>
  <c r="F166" i="4"/>
  <c r="H166" i="4"/>
  <c r="J166" i="4"/>
  <c r="H170" i="4"/>
  <c r="M211" i="4"/>
  <c r="L213" i="4"/>
  <c r="L174" i="4"/>
  <c r="J178" i="4"/>
  <c r="L178" i="4"/>
  <c r="I219" i="4"/>
  <c r="I180" i="4"/>
  <c r="H221" i="4"/>
  <c r="F176" i="4"/>
  <c r="M200" i="4"/>
  <c r="F163" i="4"/>
  <c r="H202" i="4"/>
  <c r="H163" i="4"/>
  <c r="L202" i="4"/>
  <c r="L163" i="4"/>
  <c r="I204" i="4"/>
  <c r="K204" i="4"/>
  <c r="M204" i="4"/>
  <c r="H206" i="4"/>
  <c r="J206" i="4"/>
  <c r="L206" i="4"/>
  <c r="L209" i="4"/>
  <c r="L170" i="4"/>
  <c r="N139" i="4"/>
  <c r="F178" i="4"/>
  <c r="G180" i="4"/>
  <c r="G219" i="4"/>
  <c r="V147" i="4"/>
  <c r="M223" i="4" s="1"/>
  <c r="F190" i="4"/>
  <c r="O154" i="4"/>
  <c r="I213" i="4"/>
  <c r="F180" i="4"/>
  <c r="N132" i="4"/>
  <c r="K208" i="4"/>
  <c r="V132" i="4"/>
  <c r="I133" i="4"/>
  <c r="H210" i="4"/>
  <c r="P134" i="4"/>
  <c r="O135" i="4"/>
  <c r="J211" i="4" s="1"/>
  <c r="E136" i="4"/>
  <c r="N136" i="4"/>
  <c r="K212" i="4"/>
  <c r="V136" i="4"/>
  <c r="M212" i="4" s="1"/>
  <c r="I137" i="4"/>
  <c r="Q137" i="4"/>
  <c r="I175" i="4"/>
  <c r="P138" i="4"/>
  <c r="O139" i="4"/>
  <c r="E140" i="4"/>
  <c r="G216" i="4"/>
  <c r="N140" i="4"/>
  <c r="V140" i="4"/>
  <c r="I141" i="4"/>
  <c r="G217" i="4" s="1"/>
  <c r="M141" i="4"/>
  <c r="Q141" i="4"/>
  <c r="M217" i="4"/>
  <c r="I179" i="4"/>
  <c r="L142" i="4"/>
  <c r="P142" i="4"/>
  <c r="O143" i="4"/>
  <c r="E144" i="4"/>
  <c r="G181" i="4"/>
  <c r="G220" i="4"/>
  <c r="N144" i="4"/>
  <c r="K220" i="4"/>
  <c r="K181" i="4"/>
  <c r="V144" i="4"/>
  <c r="I145" i="4"/>
  <c r="M145" i="4"/>
  <c r="Q145" i="4"/>
  <c r="G183" i="4"/>
  <c r="L146" i="4"/>
  <c r="P146" i="4"/>
  <c r="O147" i="4"/>
  <c r="E148" i="4"/>
  <c r="G224" i="4"/>
  <c r="G185" i="4"/>
  <c r="N148" i="4"/>
  <c r="K224" i="4"/>
  <c r="K185" i="4"/>
  <c r="V148" i="4"/>
  <c r="I149" i="4"/>
  <c r="M149" i="4"/>
  <c r="I225" i="4" s="1"/>
  <c r="Q149" i="4"/>
  <c r="K225" i="4" s="1"/>
  <c r="L150" i="4"/>
  <c r="P150" i="4"/>
  <c r="O151" i="4"/>
  <c r="J227" i="4" s="1"/>
  <c r="E152" i="4"/>
  <c r="N152" i="4"/>
  <c r="K228" i="4"/>
  <c r="V152" i="4"/>
  <c r="I153" i="4"/>
  <c r="G229" i="4" s="1"/>
  <c r="M153" i="4"/>
  <c r="Q153" i="4"/>
  <c r="L154" i="4"/>
  <c r="P154" i="4"/>
  <c r="O134" i="4"/>
  <c r="N135" i="4"/>
  <c r="H217" i="4"/>
  <c r="H178" i="4"/>
  <c r="E143" i="4"/>
  <c r="V143" i="4"/>
  <c r="F182" i="4"/>
  <c r="O150" i="4"/>
  <c r="N151" i="4"/>
  <c r="V151" i="4"/>
  <c r="J229" i="4"/>
  <c r="J190" i="4"/>
  <c r="I218" i="4"/>
  <c r="J223" i="4"/>
  <c r="H123" i="4"/>
  <c r="H160" i="4" s="1"/>
  <c r="P123" i="4"/>
  <c r="N125" i="4"/>
  <c r="I201" i="4" s="1"/>
  <c r="V125" i="4"/>
  <c r="M201" i="4" s="1"/>
  <c r="Q126" i="4"/>
  <c r="L203" i="4"/>
  <c r="L164" i="4"/>
  <c r="O128" i="4"/>
  <c r="J129" i="4"/>
  <c r="R129" i="4"/>
  <c r="I130" i="4"/>
  <c r="Q130" i="4"/>
  <c r="H207" i="4"/>
  <c r="L207" i="4"/>
  <c r="K132" i="4"/>
  <c r="E133" i="4"/>
  <c r="J133" i="4"/>
  <c r="V133" i="4"/>
  <c r="I134" i="4"/>
  <c r="L211" i="4"/>
  <c r="L212" i="4"/>
  <c r="E137" i="4"/>
  <c r="R137" i="4"/>
  <c r="V137" i="4"/>
  <c r="Q138" i="4"/>
  <c r="K214" i="4" s="1"/>
  <c r="P139" i="4"/>
  <c r="L215" i="4"/>
  <c r="O140" i="4"/>
  <c r="J216" i="4" s="1"/>
  <c r="N141" i="4"/>
  <c r="R141" i="4"/>
  <c r="Q142" i="4"/>
  <c r="H219" i="4"/>
  <c r="H180" i="4"/>
  <c r="P143" i="4"/>
  <c r="K144" i="4"/>
  <c r="H220" i="4" s="1"/>
  <c r="O144" i="4"/>
  <c r="J145" i="4"/>
  <c r="N145" i="4"/>
  <c r="I146" i="4"/>
  <c r="G222" i="4" s="1"/>
  <c r="H223" i="4"/>
  <c r="K148" i="4"/>
  <c r="E149" i="4"/>
  <c r="J149" i="4"/>
  <c r="I150" i="4"/>
  <c r="L188" i="4"/>
  <c r="L227" i="4"/>
  <c r="L228" i="4"/>
  <c r="E153" i="4"/>
  <c r="R153" i="4"/>
  <c r="V153" i="4"/>
  <c r="Q154" i="4"/>
  <c r="M138" i="4"/>
  <c r="I214" i="4" s="1"/>
  <c r="K140" i="4"/>
  <c r="H216" i="4" s="1"/>
  <c r="I142" i="4"/>
  <c r="G218" i="4" s="1"/>
  <c r="K211" i="4"/>
  <c r="J174" i="4"/>
  <c r="J213" i="4"/>
  <c r="O138" i="4"/>
  <c r="L182" i="4"/>
  <c r="O146" i="4"/>
  <c r="E147" i="4"/>
  <c r="N147" i="4"/>
  <c r="E151" i="4"/>
  <c r="R150" i="4"/>
  <c r="Q150" i="4"/>
  <c r="K230" i="4"/>
  <c r="K191" i="4"/>
  <c r="Q133" i="4"/>
  <c r="K209" i="4" s="1"/>
  <c r="M221" i="4"/>
  <c r="F185" i="4"/>
  <c r="P152" i="4"/>
  <c r="O152" i="4"/>
  <c r="I229" i="4"/>
  <c r="L160" i="4"/>
  <c r="K124" i="4"/>
  <c r="O124" i="4"/>
  <c r="E125" i="4"/>
  <c r="J125" i="4"/>
  <c r="G201" i="4" s="1"/>
  <c r="R125" i="4"/>
  <c r="K201" i="4" s="1"/>
  <c r="I126" i="4"/>
  <c r="H164" i="4"/>
  <c r="P127" i="4"/>
  <c r="K128" i="4"/>
  <c r="E129" i="4"/>
  <c r="N129" i="4"/>
  <c r="V129" i="4"/>
  <c r="P131" i="4"/>
  <c r="J207" i="4" s="1"/>
  <c r="V146" i="4"/>
  <c r="M226" i="4"/>
  <c r="M187" i="4"/>
  <c r="N154" i="4"/>
  <c r="M154" i="4"/>
  <c r="I123" i="4"/>
  <c r="M123" i="4"/>
  <c r="Q123" i="4"/>
  <c r="U123" i="4"/>
  <c r="L124" i="4"/>
  <c r="P124" i="4"/>
  <c r="K125" i="4"/>
  <c r="H201" i="4" s="1"/>
  <c r="O125" i="4"/>
  <c r="J201" i="4" s="1"/>
  <c r="L201" i="4"/>
  <c r="E126" i="4"/>
  <c r="J126" i="4"/>
  <c r="N126" i="4"/>
  <c r="R126" i="4"/>
  <c r="V126" i="4"/>
  <c r="I127" i="4"/>
  <c r="G203" i="4" s="1"/>
  <c r="M127" i="4"/>
  <c r="I203" i="4" s="1"/>
  <c r="Q127" i="4"/>
  <c r="K203" i="4" s="1"/>
  <c r="L128" i="4"/>
  <c r="P128" i="4"/>
  <c r="K129" i="4"/>
  <c r="H205" i="4" s="1"/>
  <c r="O129" i="4"/>
  <c r="J205" i="4" s="1"/>
  <c r="E130" i="4"/>
  <c r="J130" i="4"/>
  <c r="N130" i="4"/>
  <c r="I206" i="4" s="1"/>
  <c r="R130" i="4"/>
  <c r="V130" i="4"/>
  <c r="M206" i="4" s="1"/>
  <c r="I131" i="4"/>
  <c r="M131" i="4"/>
  <c r="I207" i="4" s="1"/>
  <c r="Q131" i="4"/>
  <c r="K207" i="4" s="1"/>
  <c r="G169" i="4"/>
  <c r="L132" i="4"/>
  <c r="P132" i="4"/>
  <c r="K133" i="4"/>
  <c r="H209" i="4" s="1"/>
  <c r="O133" i="4"/>
  <c r="J209" i="4" s="1"/>
  <c r="J134" i="4"/>
  <c r="N134" i="4"/>
  <c r="I135" i="4"/>
  <c r="M135" i="4"/>
  <c r="L136" i="4"/>
  <c r="H212" i="4" s="1"/>
  <c r="K137" i="4"/>
  <c r="E138" i="4"/>
  <c r="J138" i="4"/>
  <c r="V138" i="4"/>
  <c r="I139" i="4"/>
  <c r="G215" i="4" s="1"/>
  <c r="M215" i="4"/>
  <c r="L217" i="4"/>
  <c r="E142" i="4"/>
  <c r="R142" i="4"/>
  <c r="V142" i="4"/>
  <c r="Q143" i="4"/>
  <c r="K219" i="4" s="1"/>
  <c r="P144" i="4"/>
  <c r="O145" i="4"/>
  <c r="J221" i="4" s="1"/>
  <c r="N146" i="4"/>
  <c r="R146" i="4"/>
  <c r="M147" i="4"/>
  <c r="Q147" i="4"/>
  <c r="L148" i="4"/>
  <c r="P148" i="4"/>
  <c r="K149" i="4"/>
  <c r="H225" i="4" s="1"/>
  <c r="O149" i="4"/>
  <c r="J225" i="4" s="1"/>
  <c r="J150" i="4"/>
  <c r="N150" i="4"/>
  <c r="I151" i="4"/>
  <c r="G227" i="4" s="1"/>
  <c r="M151" i="4"/>
  <c r="L152" i="4"/>
  <c r="K153" i="4"/>
  <c r="H229" i="4" s="1"/>
  <c r="E154" i="4"/>
  <c r="J154" i="4"/>
  <c r="V154" i="4"/>
  <c r="G134" i="5" l="1"/>
  <c r="F90" i="5"/>
  <c r="L135" i="5"/>
  <c r="K109" i="5"/>
  <c r="L115" i="5"/>
  <c r="I142" i="5"/>
  <c r="G113" i="5"/>
  <c r="K116" i="5"/>
  <c r="K138" i="5"/>
  <c r="J142" i="5"/>
  <c r="G91" i="5"/>
  <c r="F130" i="5"/>
  <c r="L142" i="5"/>
  <c r="K108" i="5"/>
  <c r="K128" i="5"/>
  <c r="E90" i="5"/>
  <c r="J130" i="5"/>
  <c r="G130" i="5"/>
  <c r="J95" i="5"/>
  <c r="H138" i="5"/>
  <c r="G117" i="5"/>
  <c r="F114" i="5"/>
  <c r="J129" i="5"/>
  <c r="F118" i="5"/>
  <c r="G90" i="5"/>
  <c r="H114" i="5"/>
  <c r="M118" i="5"/>
  <c r="I138" i="5"/>
  <c r="G118" i="5"/>
  <c r="K142" i="5"/>
  <c r="G142" i="5"/>
  <c r="F122" i="5"/>
  <c r="K141" i="5"/>
  <c r="K97" i="5"/>
  <c r="J133" i="5"/>
  <c r="J120" i="5"/>
  <c r="L139" i="5"/>
  <c r="H142" i="5"/>
  <c r="G116" i="5"/>
  <c r="L117" i="5"/>
  <c r="L119" i="5"/>
  <c r="L95" i="5"/>
  <c r="H120" i="5"/>
  <c r="L94" i="5"/>
  <c r="K114" i="5"/>
  <c r="L120" i="5"/>
  <c r="J143" i="5"/>
  <c r="L109" i="5"/>
  <c r="K143" i="5"/>
  <c r="H116" i="5"/>
  <c r="H143" i="5"/>
  <c r="G109" i="5"/>
  <c r="F139" i="5"/>
  <c r="J108" i="5"/>
  <c r="G110" i="5"/>
  <c r="G94" i="5"/>
  <c r="H139" i="5"/>
  <c r="G95" i="5"/>
  <c r="J122" i="5"/>
  <c r="F116" i="5"/>
  <c r="H109" i="5"/>
  <c r="J113" i="5"/>
  <c r="H141" i="5"/>
  <c r="L91" i="5"/>
  <c r="L110" i="5"/>
  <c r="H135" i="5"/>
  <c r="E122" i="5"/>
  <c r="L97" i="5"/>
  <c r="K123" i="5"/>
  <c r="H118" i="5"/>
  <c r="F133" i="5"/>
  <c r="K112" i="5"/>
  <c r="E118" i="5"/>
  <c r="F141" i="5"/>
  <c r="L96" i="5"/>
  <c r="G92" i="5"/>
  <c r="J123" i="5"/>
  <c r="F120" i="5"/>
  <c r="K110" i="5"/>
  <c r="J135" i="5"/>
  <c r="J139" i="5"/>
  <c r="F94" i="5"/>
  <c r="I110" i="5"/>
  <c r="J138" i="5"/>
  <c r="G96" i="5"/>
  <c r="K117" i="5"/>
  <c r="K121" i="5"/>
  <c r="H123" i="5"/>
  <c r="K93" i="5"/>
  <c r="G132" i="5"/>
  <c r="J112" i="5"/>
  <c r="K135" i="5"/>
  <c r="G121" i="5"/>
  <c r="F119" i="5"/>
  <c r="G93" i="5"/>
  <c r="F138" i="5"/>
  <c r="F93" i="5"/>
  <c r="G120" i="5"/>
  <c r="E110" i="5"/>
  <c r="J116" i="5"/>
  <c r="H111" i="5"/>
  <c r="F117" i="5"/>
  <c r="G111" i="5"/>
  <c r="K136" i="5"/>
  <c r="J90" i="5"/>
  <c r="AC73" i="5"/>
  <c r="F95" i="5"/>
  <c r="K91" i="5"/>
  <c r="H119" i="5"/>
  <c r="F121" i="5"/>
  <c r="L93" i="5"/>
  <c r="F137" i="5"/>
  <c r="J91" i="5"/>
  <c r="M110" i="5"/>
  <c r="L116" i="5"/>
  <c r="K90" i="5"/>
  <c r="H131" i="5"/>
  <c r="E93" i="5"/>
  <c r="J115" i="5"/>
  <c r="G112" i="5"/>
  <c r="E95" i="5"/>
  <c r="M130" i="5"/>
  <c r="F91" i="5"/>
  <c r="K139" i="5"/>
  <c r="H112" i="5"/>
  <c r="K111" i="5"/>
  <c r="J111" i="5"/>
  <c r="J92" i="5"/>
  <c r="M142" i="5"/>
  <c r="G128" i="5"/>
  <c r="J93" i="5"/>
  <c r="H129" i="5"/>
  <c r="E91" i="5"/>
  <c r="G123" i="5"/>
  <c r="F123" i="5"/>
  <c r="J109" i="5"/>
  <c r="L141" i="5"/>
  <c r="K95" i="5"/>
  <c r="F112" i="5"/>
  <c r="K122" i="5"/>
  <c r="J137" i="5"/>
  <c r="F131" i="5"/>
  <c r="G122" i="5"/>
  <c r="K94" i="5"/>
  <c r="L118" i="5"/>
  <c r="K92" i="5"/>
  <c r="AC85" i="5"/>
  <c r="F92" i="5"/>
  <c r="L113" i="5"/>
  <c r="J118" i="5"/>
  <c r="L122" i="5"/>
  <c r="K96" i="5"/>
  <c r="L133" i="5"/>
  <c r="AC77" i="5"/>
  <c r="F115" i="5"/>
  <c r="H117" i="5"/>
  <c r="L108" i="5"/>
  <c r="G115" i="5"/>
  <c r="J96" i="5"/>
  <c r="J119" i="5"/>
  <c r="F132" i="5"/>
  <c r="E94" i="5"/>
  <c r="G97" i="5"/>
  <c r="F113" i="5"/>
  <c r="L111" i="5"/>
  <c r="J94" i="5"/>
  <c r="L90" i="5"/>
  <c r="G143" i="5"/>
  <c r="J97" i="5"/>
  <c r="G135" i="5"/>
  <c r="E97" i="5"/>
  <c r="M114" i="5"/>
  <c r="J141" i="5"/>
  <c r="L134" i="5"/>
  <c r="F96" i="5"/>
  <c r="G108" i="5"/>
  <c r="K118" i="5"/>
  <c r="F97" i="5"/>
  <c r="L92" i="5"/>
  <c r="E114" i="5"/>
  <c r="E96" i="5"/>
  <c r="L138" i="5"/>
  <c r="M122" i="5"/>
  <c r="K140" i="5"/>
  <c r="H133" i="5"/>
  <c r="K129" i="5"/>
  <c r="H121" i="5"/>
  <c r="F128" i="5"/>
  <c r="F143" i="5"/>
  <c r="F111" i="5"/>
  <c r="K119" i="5"/>
  <c r="H110" i="5"/>
  <c r="L143" i="5"/>
  <c r="F109" i="5"/>
  <c r="K133" i="5"/>
  <c r="J117" i="5"/>
  <c r="L121" i="5"/>
  <c r="I118" i="5"/>
  <c r="G114" i="5"/>
  <c r="H115" i="5"/>
  <c r="K137" i="5"/>
  <c r="G139" i="5"/>
  <c r="J131" i="5"/>
  <c r="H122" i="5"/>
  <c r="L112" i="5"/>
  <c r="F135" i="5"/>
  <c r="L129" i="5"/>
  <c r="K115" i="5"/>
  <c r="H108" i="5"/>
  <c r="H140" i="5"/>
  <c r="L132" i="5"/>
  <c r="G131" i="5"/>
  <c r="H113" i="5"/>
  <c r="H132" i="5"/>
  <c r="K113" i="5"/>
  <c r="J110" i="5"/>
  <c r="AC81" i="5"/>
  <c r="K120" i="5"/>
  <c r="L114" i="5"/>
  <c r="G119" i="5"/>
  <c r="J114" i="5"/>
  <c r="K131" i="5"/>
  <c r="J121" i="5"/>
  <c r="G141" i="5"/>
  <c r="G133" i="5"/>
  <c r="F110" i="5"/>
  <c r="L131" i="5"/>
  <c r="L123" i="5"/>
  <c r="G140" i="5"/>
  <c r="K132" i="5"/>
  <c r="F108" i="5"/>
  <c r="H213" i="4"/>
  <c r="I190" i="4"/>
  <c r="J170" i="4"/>
  <c r="H186" i="4"/>
  <c r="H182" i="4"/>
  <c r="G211" i="4"/>
  <c r="M207" i="4"/>
  <c r="H188" i="4"/>
  <c r="M171" i="4"/>
  <c r="K188" i="4"/>
  <c r="J186" i="4"/>
  <c r="K164" i="4"/>
  <c r="I186" i="4"/>
  <c r="K182" i="4"/>
  <c r="H175" i="4"/>
  <c r="G213" i="4"/>
  <c r="L190" i="4"/>
  <c r="J163" i="4"/>
  <c r="K176" i="4"/>
  <c r="F174" i="4"/>
  <c r="G207" i="4"/>
  <c r="H190" i="4"/>
  <c r="H176" i="4"/>
  <c r="L186" i="4"/>
  <c r="I212" i="4"/>
  <c r="M176" i="4"/>
  <c r="K223" i="4"/>
  <c r="L221" i="4"/>
  <c r="L205" i="4"/>
  <c r="M203" i="4"/>
  <c r="M182" i="4"/>
  <c r="G179" i="4"/>
  <c r="K175" i="4"/>
  <c r="V240" i="2"/>
  <c r="V204" i="2"/>
  <c r="V199" i="2"/>
  <c r="AC179" i="2" s="1"/>
  <c r="V243" i="2"/>
  <c r="AC185" i="2"/>
  <c r="AD185" i="2"/>
  <c r="V208" i="2"/>
  <c r="V49" i="6"/>
  <c r="U53" i="6"/>
  <c r="V53" i="6"/>
  <c r="Q68" i="6"/>
  <c r="V48" i="6"/>
  <c r="U48" i="6"/>
  <c r="U52" i="6"/>
  <c r="V52" i="6"/>
  <c r="Q47" i="6"/>
  <c r="V50" i="6"/>
  <c r="U50" i="6"/>
  <c r="Q54" i="6"/>
  <c r="U49" i="6" s="1"/>
  <c r="V51" i="6"/>
  <c r="U51" i="6"/>
  <c r="E136" i="5"/>
  <c r="E116" i="5"/>
  <c r="I132" i="5"/>
  <c r="I112" i="5"/>
  <c r="M128" i="5"/>
  <c r="AC71" i="5"/>
  <c r="M108" i="5"/>
  <c r="I143" i="5"/>
  <c r="I123" i="5"/>
  <c r="M141" i="5"/>
  <c r="M121" i="5"/>
  <c r="AC84" i="5"/>
  <c r="L140" i="5"/>
  <c r="E137" i="5"/>
  <c r="E117" i="5"/>
  <c r="J136" i="5"/>
  <c r="F136" i="5"/>
  <c r="I135" i="5"/>
  <c r="I115" i="5"/>
  <c r="M133" i="5"/>
  <c r="M113" i="5"/>
  <c r="AC76" i="5"/>
  <c r="E129" i="5"/>
  <c r="E109" i="5"/>
  <c r="J128" i="5"/>
  <c r="E140" i="5"/>
  <c r="E120" i="5"/>
  <c r="I136" i="5"/>
  <c r="I116" i="5"/>
  <c r="M132" i="5"/>
  <c r="M112" i="5"/>
  <c r="AC75" i="5"/>
  <c r="M143" i="5"/>
  <c r="M123" i="5"/>
  <c r="AC86" i="5"/>
  <c r="E139" i="5"/>
  <c r="E119" i="5"/>
  <c r="I137" i="5"/>
  <c r="I117" i="5"/>
  <c r="M135" i="5"/>
  <c r="M115" i="5"/>
  <c r="AC78" i="5"/>
  <c r="E131" i="5"/>
  <c r="E111" i="5"/>
  <c r="I129" i="5"/>
  <c r="I109" i="5"/>
  <c r="I140" i="5"/>
  <c r="I120" i="5"/>
  <c r="M136" i="5"/>
  <c r="M116" i="5"/>
  <c r="AC79" i="5"/>
  <c r="E128" i="5"/>
  <c r="E108" i="5"/>
  <c r="E141" i="5"/>
  <c r="E121" i="5"/>
  <c r="J140" i="5"/>
  <c r="F140" i="5"/>
  <c r="I139" i="5"/>
  <c r="I119" i="5"/>
  <c r="M137" i="5"/>
  <c r="M117" i="5"/>
  <c r="AC80" i="5"/>
  <c r="L136" i="5"/>
  <c r="H136" i="5"/>
  <c r="E133" i="5"/>
  <c r="E113" i="5"/>
  <c r="J132" i="5"/>
  <c r="I131" i="5"/>
  <c r="I111" i="5"/>
  <c r="M129" i="5"/>
  <c r="M109" i="5"/>
  <c r="AC72" i="5"/>
  <c r="L128" i="5"/>
  <c r="H128" i="5"/>
  <c r="M140" i="5"/>
  <c r="M120" i="5"/>
  <c r="AC83" i="5"/>
  <c r="L137" i="5"/>
  <c r="H137" i="5"/>
  <c r="G136" i="5"/>
  <c r="E132" i="5"/>
  <c r="E112" i="5"/>
  <c r="F129" i="5"/>
  <c r="I128" i="5"/>
  <c r="I108" i="5"/>
  <c r="E143" i="5"/>
  <c r="E123" i="5"/>
  <c r="I141" i="5"/>
  <c r="I121" i="5"/>
  <c r="M139" i="5"/>
  <c r="M119" i="5"/>
  <c r="AC82" i="5"/>
  <c r="G137" i="5"/>
  <c r="E135" i="5"/>
  <c r="E115" i="5"/>
  <c r="I133" i="5"/>
  <c r="I113" i="5"/>
  <c r="M131" i="5"/>
  <c r="M111" i="5"/>
  <c r="AC74" i="5"/>
  <c r="G129" i="5"/>
  <c r="F189" i="4"/>
  <c r="H224" i="4"/>
  <c r="H185" i="4"/>
  <c r="J220" i="4"/>
  <c r="J181" i="4"/>
  <c r="L216" i="4"/>
  <c r="L177" i="4"/>
  <c r="F165" i="4"/>
  <c r="G163" i="4"/>
  <c r="G202" i="4"/>
  <c r="H200" i="4"/>
  <c r="H161" i="4"/>
  <c r="M205" i="4"/>
  <c r="M166" i="4"/>
  <c r="L224" i="4"/>
  <c r="L185" i="4"/>
  <c r="G225" i="4"/>
  <c r="G186" i="4"/>
  <c r="G221" i="4"/>
  <c r="G182" i="4"/>
  <c r="I217" i="4"/>
  <c r="I178" i="4"/>
  <c r="K213" i="4"/>
  <c r="K174" i="4"/>
  <c r="J160" i="4"/>
  <c r="M227" i="4"/>
  <c r="M188" i="4"/>
  <c r="F191" i="4"/>
  <c r="I228" i="4"/>
  <c r="I189" i="4"/>
  <c r="H226" i="4"/>
  <c r="H187" i="4"/>
  <c r="J222" i="4"/>
  <c r="J183" i="4"/>
  <c r="L218" i="4"/>
  <c r="L179" i="4"/>
  <c r="M216" i="4"/>
  <c r="M177" i="4"/>
  <c r="F171" i="4"/>
  <c r="L169" i="4"/>
  <c r="F177" i="4"/>
  <c r="G175" i="4"/>
  <c r="G214" i="4"/>
  <c r="I210" i="4"/>
  <c r="I171" i="4"/>
  <c r="J169" i="4"/>
  <c r="J208" i="4"/>
  <c r="K206" i="4"/>
  <c r="L204" i="4"/>
  <c r="L165" i="4"/>
  <c r="M202" i="4"/>
  <c r="M163" i="4"/>
  <c r="F161" i="4"/>
  <c r="I205" i="4"/>
  <c r="I166" i="4"/>
  <c r="I223" i="4"/>
  <c r="F188" i="4"/>
  <c r="J215" i="4"/>
  <c r="J176" i="4"/>
  <c r="K205" i="4"/>
  <c r="K166" i="4"/>
  <c r="F160" i="4"/>
  <c r="I227" i="4"/>
  <c r="I188" i="4"/>
  <c r="M219" i="4"/>
  <c r="M180" i="4"/>
  <c r="L230" i="4"/>
  <c r="L191" i="4"/>
  <c r="M228" i="4"/>
  <c r="M189" i="4"/>
  <c r="G189" i="4"/>
  <c r="F187" i="4"/>
  <c r="I224" i="4"/>
  <c r="I185" i="4"/>
  <c r="H222" i="4"/>
  <c r="H183" i="4"/>
  <c r="J218" i="4"/>
  <c r="J179" i="4"/>
  <c r="K177" i="4"/>
  <c r="G177" i="4"/>
  <c r="L214" i="4"/>
  <c r="L175" i="4"/>
  <c r="F175" i="4"/>
  <c r="J210" i="4"/>
  <c r="J171" i="4"/>
  <c r="I208" i="4"/>
  <c r="I169" i="4"/>
  <c r="J177" i="4"/>
  <c r="L189" i="4"/>
  <c r="K165" i="4"/>
  <c r="K161" i="4"/>
  <c r="K160" i="4"/>
  <c r="I222" i="4"/>
  <c r="I183" i="4"/>
  <c r="M214" i="4"/>
  <c r="M175" i="4"/>
  <c r="G170" i="4"/>
  <c r="G209" i="4"/>
  <c r="M230" i="4"/>
  <c r="M191" i="4"/>
  <c r="G171" i="4"/>
  <c r="G210" i="4"/>
  <c r="H208" i="4"/>
  <c r="H169" i="4"/>
  <c r="J165" i="4"/>
  <c r="J204" i="4"/>
  <c r="K202" i="4"/>
  <c r="K163" i="4"/>
  <c r="L200" i="4"/>
  <c r="L161" i="4"/>
  <c r="M222" i="4"/>
  <c r="M183" i="4"/>
  <c r="J203" i="4"/>
  <c r="J164" i="4"/>
  <c r="J228" i="4"/>
  <c r="J189" i="4"/>
  <c r="M229" i="4"/>
  <c r="M190" i="4"/>
  <c r="G166" i="4"/>
  <c r="G205" i="4"/>
  <c r="F164" i="4"/>
  <c r="J230" i="4"/>
  <c r="J191" i="4"/>
  <c r="K189" i="4"/>
  <c r="L226" i="4"/>
  <c r="L187" i="4"/>
  <c r="M224" i="4"/>
  <c r="M185" i="4"/>
  <c r="F183" i="4"/>
  <c r="I220" i="4"/>
  <c r="I181" i="4"/>
  <c r="H218" i="4"/>
  <c r="H179" i="4"/>
  <c r="J214" i="4"/>
  <c r="J175" i="4"/>
  <c r="H171" i="4"/>
  <c r="M208" i="4"/>
  <c r="M169" i="4"/>
  <c r="J188" i="4"/>
  <c r="I215" i="4"/>
  <c r="I176" i="4"/>
  <c r="G165" i="4"/>
  <c r="G161" i="4"/>
  <c r="G164" i="4"/>
  <c r="G160" i="4"/>
  <c r="K171" i="4"/>
  <c r="G226" i="4"/>
  <c r="G187" i="4"/>
  <c r="K218" i="4"/>
  <c r="K179" i="4"/>
  <c r="G230" i="4"/>
  <c r="G191" i="4"/>
  <c r="H228" i="4"/>
  <c r="H189" i="4"/>
  <c r="I226" i="4"/>
  <c r="I187" i="4"/>
  <c r="J224" i="4"/>
  <c r="J185" i="4"/>
  <c r="K222" i="4"/>
  <c r="K183" i="4"/>
  <c r="L220" i="4"/>
  <c r="L181" i="4"/>
  <c r="M218" i="4"/>
  <c r="M179" i="4"/>
  <c r="F169" i="4"/>
  <c r="G206" i="4"/>
  <c r="H204" i="4"/>
  <c r="H165" i="4"/>
  <c r="I202" i="4"/>
  <c r="I163" i="4"/>
  <c r="J200" i="4"/>
  <c r="J161" i="4"/>
  <c r="I230" i="4"/>
  <c r="I191" i="4"/>
  <c r="K226" i="4"/>
  <c r="K187" i="4"/>
  <c r="K229" i="4"/>
  <c r="K190" i="4"/>
  <c r="M225" i="4"/>
  <c r="M186" i="4"/>
  <c r="I221" i="4"/>
  <c r="I182" i="4"/>
  <c r="J219" i="4"/>
  <c r="J180" i="4"/>
  <c r="K217" i="4"/>
  <c r="K178" i="4"/>
  <c r="M213" i="4"/>
  <c r="M174" i="4"/>
  <c r="M209" i="4"/>
  <c r="M170" i="4"/>
  <c r="I211" i="4"/>
  <c r="H230" i="4"/>
  <c r="H191" i="4"/>
  <c r="J226" i="4"/>
  <c r="J187" i="4"/>
  <c r="L222" i="4"/>
  <c r="L183" i="4"/>
  <c r="M220" i="4"/>
  <c r="M181" i="4"/>
  <c r="F179" i="4"/>
  <c r="I216" i="4"/>
  <c r="I177" i="4"/>
  <c r="L171" i="4"/>
  <c r="K169" i="4"/>
  <c r="G188" i="4"/>
  <c r="M165" i="4"/>
  <c r="I165" i="4"/>
  <c r="M161" i="4"/>
  <c r="I161" i="4"/>
  <c r="M164" i="4"/>
  <c r="I164" i="4"/>
  <c r="M160" i="4"/>
  <c r="I160" i="4"/>
  <c r="H177" i="4"/>
  <c r="AC180" i="2" l="1"/>
  <c r="AD180" i="2"/>
  <c r="V47" i="6"/>
  <c r="U47" i="6"/>
  <c r="V54" i="6"/>
  <c r="U54" i="6"/>
  <c r="H118" i="2"/>
  <c r="J118" i="2" s="1"/>
  <c r="L118" i="2" s="1"/>
  <c r="E118" i="2"/>
  <c r="G118" i="2" s="1"/>
  <c r="H117" i="2"/>
  <c r="J117" i="2" s="1"/>
  <c r="L117" i="2" s="1"/>
  <c r="G117" i="2"/>
  <c r="E117" i="2"/>
  <c r="H116" i="2"/>
  <c r="J116" i="2" s="1"/>
  <c r="L116" i="2" s="1"/>
  <c r="E116" i="2"/>
  <c r="G116" i="2" s="1"/>
  <c r="M116" i="2" s="1"/>
  <c r="N116" i="2" s="1"/>
  <c r="J115" i="2"/>
  <c r="L115" i="2" s="1"/>
  <c r="H115" i="2"/>
  <c r="E115" i="2"/>
  <c r="G115" i="2" s="1"/>
  <c r="M115" i="2" s="1"/>
  <c r="N115" i="2" s="1"/>
  <c r="H114" i="2"/>
  <c r="J114" i="2" s="1"/>
  <c r="L114" i="2" s="1"/>
  <c r="E114" i="2"/>
  <c r="G114" i="2" s="1"/>
  <c r="H113" i="2"/>
  <c r="J113" i="2" s="1"/>
  <c r="L113" i="2" s="1"/>
  <c r="G113" i="2"/>
  <c r="E113" i="2"/>
  <c r="H111" i="2"/>
  <c r="J111" i="2" s="1"/>
  <c r="L111" i="2" s="1"/>
  <c r="E111" i="2"/>
  <c r="G111" i="2" s="1"/>
  <c r="M111" i="2" s="1"/>
  <c r="N111" i="2" s="1"/>
  <c r="U68" i="2" s="1"/>
  <c r="J110" i="2"/>
  <c r="L110" i="2" s="1"/>
  <c r="H110" i="2"/>
  <c r="E110" i="2"/>
  <c r="G110" i="2" s="1"/>
  <c r="M110" i="2" s="1"/>
  <c r="N110" i="2" s="1"/>
  <c r="U67" i="2" s="1"/>
  <c r="H109" i="2"/>
  <c r="J109" i="2" s="1"/>
  <c r="L109" i="2" s="1"/>
  <c r="E109" i="2"/>
  <c r="G109" i="2" s="1"/>
  <c r="H108" i="2"/>
  <c r="J108" i="2" s="1"/>
  <c r="L108" i="2" s="1"/>
  <c r="G108" i="2"/>
  <c r="E108" i="2"/>
  <c r="H107" i="2"/>
  <c r="J107" i="2" s="1"/>
  <c r="L107" i="2" s="1"/>
  <c r="E107" i="2"/>
  <c r="G107" i="2" s="1"/>
  <c r="M107" i="2" s="1"/>
  <c r="N107" i="2" s="1"/>
  <c r="J106" i="2"/>
  <c r="L106" i="2" s="1"/>
  <c r="H106" i="2"/>
  <c r="E106" i="2"/>
  <c r="G106" i="2" s="1"/>
  <c r="M106" i="2" s="1"/>
  <c r="N106" i="2" s="1"/>
  <c r="H104" i="2"/>
  <c r="J104" i="2" s="1"/>
  <c r="L104" i="2" s="1"/>
  <c r="E104" i="2"/>
  <c r="G104" i="2" s="1"/>
  <c r="H103" i="2"/>
  <c r="J103" i="2" s="1"/>
  <c r="L103" i="2" s="1"/>
  <c r="G103" i="2"/>
  <c r="E103" i="2"/>
  <c r="H102" i="2"/>
  <c r="J102" i="2" s="1"/>
  <c r="L102" i="2" s="1"/>
  <c r="E102" i="2"/>
  <c r="G102" i="2" s="1"/>
  <c r="M102" i="2" s="1"/>
  <c r="N102" i="2" s="1"/>
  <c r="U59" i="2" s="1"/>
  <c r="J101" i="2"/>
  <c r="L101" i="2" s="1"/>
  <c r="H101" i="2"/>
  <c r="E101" i="2"/>
  <c r="G101" i="2" s="1"/>
  <c r="M101" i="2" s="1"/>
  <c r="N101" i="2" s="1"/>
  <c r="U58" i="2" s="1"/>
  <c r="H100" i="2"/>
  <c r="J100" i="2" s="1"/>
  <c r="L100" i="2" s="1"/>
  <c r="E100" i="2"/>
  <c r="G100" i="2" s="1"/>
  <c r="H99" i="2"/>
  <c r="J99" i="2" s="1"/>
  <c r="L99" i="2" s="1"/>
  <c r="G99" i="2"/>
  <c r="E99" i="2"/>
  <c r="H97" i="2"/>
  <c r="J97" i="2" s="1"/>
  <c r="L97" i="2" s="1"/>
  <c r="E97" i="2"/>
  <c r="G97" i="2" s="1"/>
  <c r="M97" i="2" s="1"/>
  <c r="N97" i="2" s="1"/>
  <c r="J96" i="2"/>
  <c r="L96" i="2" s="1"/>
  <c r="H96" i="2"/>
  <c r="E96" i="2"/>
  <c r="G96" i="2" s="1"/>
  <c r="M96" i="2" s="1"/>
  <c r="N96" i="2" s="1"/>
  <c r="H95" i="2"/>
  <c r="J95" i="2" s="1"/>
  <c r="L95" i="2" s="1"/>
  <c r="E95" i="2"/>
  <c r="G95" i="2" s="1"/>
  <c r="H94" i="2"/>
  <c r="J94" i="2" s="1"/>
  <c r="L94" i="2" s="1"/>
  <c r="G94" i="2"/>
  <c r="E94" i="2"/>
  <c r="H93" i="2"/>
  <c r="J93" i="2" s="1"/>
  <c r="L93" i="2" s="1"/>
  <c r="E93" i="2"/>
  <c r="G93" i="2" s="1"/>
  <c r="M93" i="2" s="1"/>
  <c r="N93" i="2" s="1"/>
  <c r="U50" i="2" s="1"/>
  <c r="J92" i="2"/>
  <c r="L92" i="2" s="1"/>
  <c r="H92" i="2"/>
  <c r="E92" i="2"/>
  <c r="G92" i="2" s="1"/>
  <c r="M92" i="2" s="1"/>
  <c r="N92" i="2" s="1"/>
  <c r="U49" i="2" s="1"/>
  <c r="J60" i="2"/>
  <c r="L60" i="2" s="1"/>
  <c r="H60" i="2"/>
  <c r="E60" i="2"/>
  <c r="G60" i="2" s="1"/>
  <c r="H59" i="2"/>
  <c r="J59" i="2" s="1"/>
  <c r="L59" i="2" s="1"/>
  <c r="E59" i="2"/>
  <c r="G59" i="2" s="1"/>
  <c r="H58" i="2"/>
  <c r="J58" i="2" s="1"/>
  <c r="L58" i="2" s="1"/>
  <c r="E58" i="2"/>
  <c r="G58" i="2" s="1"/>
  <c r="M58" i="2" s="1"/>
  <c r="N58" i="2" s="1"/>
  <c r="H57" i="2"/>
  <c r="J57" i="2" s="1"/>
  <c r="L57" i="2" s="1"/>
  <c r="E57" i="2"/>
  <c r="G57" i="2" s="1"/>
  <c r="H56" i="2"/>
  <c r="J56" i="2" s="1"/>
  <c r="L56" i="2" s="1"/>
  <c r="E56" i="2"/>
  <c r="G56" i="2" s="1"/>
  <c r="H55" i="2"/>
  <c r="J55" i="2" s="1"/>
  <c r="L55" i="2" s="1"/>
  <c r="E55" i="2"/>
  <c r="G55" i="2" s="1"/>
  <c r="H53" i="2"/>
  <c r="J53" i="2" s="1"/>
  <c r="L53" i="2" s="1"/>
  <c r="G53" i="2"/>
  <c r="M53" i="2" s="1"/>
  <c r="N53" i="2" s="1"/>
  <c r="E53" i="2"/>
  <c r="H52" i="2"/>
  <c r="J52" i="2" s="1"/>
  <c r="L52" i="2" s="1"/>
  <c r="E52" i="2"/>
  <c r="G52" i="2" s="1"/>
  <c r="M52" i="2" s="1"/>
  <c r="N52" i="2" s="1"/>
  <c r="J51" i="2"/>
  <c r="L51" i="2" s="1"/>
  <c r="H51" i="2"/>
  <c r="E51" i="2"/>
  <c r="G51" i="2" s="1"/>
  <c r="H50" i="2"/>
  <c r="J50" i="2" s="1"/>
  <c r="L50" i="2" s="1"/>
  <c r="E50" i="2"/>
  <c r="G50" i="2" s="1"/>
  <c r="M50" i="2" s="1"/>
  <c r="N50" i="2" s="1"/>
  <c r="H49" i="2"/>
  <c r="J49" i="2" s="1"/>
  <c r="L49" i="2" s="1"/>
  <c r="E49" i="2"/>
  <c r="G49" i="2" s="1"/>
  <c r="M49" i="2" s="1"/>
  <c r="N49" i="2" s="1"/>
  <c r="H48" i="2"/>
  <c r="J48" i="2" s="1"/>
  <c r="L48" i="2" s="1"/>
  <c r="E48" i="2"/>
  <c r="G48" i="2" s="1"/>
  <c r="H46" i="2"/>
  <c r="J46" i="2" s="1"/>
  <c r="L46" i="2" s="1"/>
  <c r="E46" i="2"/>
  <c r="G46" i="2" s="1"/>
  <c r="H45" i="2"/>
  <c r="J45" i="2" s="1"/>
  <c r="L45" i="2" s="1"/>
  <c r="E45" i="2"/>
  <c r="G45" i="2" s="1"/>
  <c r="H44" i="2"/>
  <c r="J44" i="2" s="1"/>
  <c r="L44" i="2" s="1"/>
  <c r="G44" i="2"/>
  <c r="M44" i="2" s="1"/>
  <c r="N44" i="2" s="1"/>
  <c r="E44" i="2"/>
  <c r="H43" i="2"/>
  <c r="J43" i="2" s="1"/>
  <c r="L43" i="2" s="1"/>
  <c r="E43" i="2"/>
  <c r="G43" i="2" s="1"/>
  <c r="M43" i="2" s="1"/>
  <c r="N43" i="2" s="1"/>
  <c r="J42" i="2"/>
  <c r="L42" i="2" s="1"/>
  <c r="H42" i="2"/>
  <c r="E42" i="2"/>
  <c r="G42" i="2" s="1"/>
  <c r="H41" i="2"/>
  <c r="J41" i="2" s="1"/>
  <c r="L41" i="2" s="1"/>
  <c r="E41" i="2"/>
  <c r="G41" i="2" s="1"/>
  <c r="M41" i="2" s="1"/>
  <c r="N41" i="2" s="1"/>
  <c r="H39" i="2"/>
  <c r="J39" i="2" s="1"/>
  <c r="L39" i="2" s="1"/>
  <c r="E39" i="2"/>
  <c r="G39" i="2" s="1"/>
  <c r="M39" i="2" s="1"/>
  <c r="N39" i="2" s="1"/>
  <c r="H38" i="2"/>
  <c r="J38" i="2" s="1"/>
  <c r="L38" i="2" s="1"/>
  <c r="E38" i="2"/>
  <c r="G38" i="2" s="1"/>
  <c r="H37" i="2"/>
  <c r="J37" i="2" s="1"/>
  <c r="L37" i="2" s="1"/>
  <c r="E37" i="2"/>
  <c r="G37" i="2" s="1"/>
  <c r="H36" i="2"/>
  <c r="J36" i="2" s="1"/>
  <c r="L36" i="2" s="1"/>
  <c r="E36" i="2"/>
  <c r="G36" i="2" s="1"/>
  <c r="H35" i="2"/>
  <c r="J35" i="2" s="1"/>
  <c r="L35" i="2" s="1"/>
  <c r="G35" i="2"/>
  <c r="M35" i="2" s="1"/>
  <c r="N35" i="2" s="1"/>
  <c r="E35" i="2"/>
  <c r="H34" i="2"/>
  <c r="J34" i="2" s="1"/>
  <c r="L34" i="2" s="1"/>
  <c r="E34" i="2"/>
  <c r="G34" i="2" s="1"/>
  <c r="M34" i="2" s="1"/>
  <c r="N34" i="2" s="1"/>
  <c r="U54" i="2" l="1"/>
  <c r="U64" i="2"/>
  <c r="U73" i="2"/>
  <c r="M46" i="2"/>
  <c r="N46" i="2" s="1"/>
  <c r="M56" i="2"/>
  <c r="N56" i="2" s="1"/>
  <c r="M94" i="2"/>
  <c r="M99" i="2"/>
  <c r="N99" i="2" s="1"/>
  <c r="U56" i="2" s="1"/>
  <c r="M103" i="2"/>
  <c r="M108" i="2"/>
  <c r="M113" i="2"/>
  <c r="M117" i="2"/>
  <c r="N117" i="2" s="1"/>
  <c r="U74" i="2" s="1"/>
  <c r="M37" i="2"/>
  <c r="N37" i="2" s="1"/>
  <c r="M36" i="2"/>
  <c r="N36" i="2" s="1"/>
  <c r="M42" i="2"/>
  <c r="M45" i="2"/>
  <c r="N45" i="2" s="1"/>
  <c r="M51" i="2"/>
  <c r="M55" i="2"/>
  <c r="N55" i="2" s="1"/>
  <c r="M60" i="2"/>
  <c r="M95" i="2"/>
  <c r="N95" i="2" s="1"/>
  <c r="U52" i="2" s="1"/>
  <c r="M100" i="2"/>
  <c r="N100" i="2" s="1"/>
  <c r="M104" i="2"/>
  <c r="N104" i="2" s="1"/>
  <c r="U61" i="2" s="1"/>
  <c r="M109" i="2"/>
  <c r="N109" i="2" s="1"/>
  <c r="M114" i="2"/>
  <c r="N114" i="2" s="1"/>
  <c r="U71" i="2" s="1"/>
  <c r="M118" i="2"/>
  <c r="N118" i="2" s="1"/>
  <c r="N94" i="2"/>
  <c r="U51" i="2" s="1"/>
  <c r="N103" i="2"/>
  <c r="U60" i="2" s="1"/>
  <c r="N108" i="2"/>
  <c r="U65" i="2" s="1"/>
  <c r="N113" i="2"/>
  <c r="U70" i="2" s="1"/>
  <c r="N42" i="2"/>
  <c r="N51" i="2"/>
  <c r="N60" i="2"/>
  <c r="M38" i="2"/>
  <c r="N38" i="2" s="1"/>
  <c r="U53" i="2" s="1"/>
  <c r="M48" i="2"/>
  <c r="N48" i="2" s="1"/>
  <c r="U63" i="2" s="1"/>
  <c r="M57" i="2"/>
  <c r="N57" i="2" s="1"/>
  <c r="U72" i="2" s="1"/>
  <c r="M59" i="2"/>
  <c r="N59" i="2" s="1"/>
  <c r="U75" i="2" l="1"/>
  <c r="U57" i="2"/>
  <c r="U66" i="2"/>
  <c r="I157" i="3"/>
  <c r="K157" i="3" s="1"/>
  <c r="M157" i="3" s="1"/>
  <c r="E157" i="3"/>
  <c r="G157" i="3" s="1"/>
  <c r="I156" i="3"/>
  <c r="K156" i="3" s="1"/>
  <c r="M156" i="3" s="1"/>
  <c r="E156" i="3"/>
  <c r="G156" i="3" s="1"/>
  <c r="I155" i="3"/>
  <c r="K155" i="3" s="1"/>
  <c r="M155" i="3" s="1"/>
  <c r="E155" i="3"/>
  <c r="G155" i="3" s="1"/>
  <c r="I154" i="3"/>
  <c r="K154" i="3" s="1"/>
  <c r="M154" i="3" s="1"/>
  <c r="E154" i="3"/>
  <c r="G154" i="3" s="1"/>
  <c r="I153" i="3"/>
  <c r="K153" i="3" s="1"/>
  <c r="M153" i="3" s="1"/>
  <c r="E153" i="3"/>
  <c r="G153" i="3" s="1"/>
  <c r="I152" i="3"/>
  <c r="K152" i="3" s="1"/>
  <c r="M152" i="3" s="1"/>
  <c r="E152" i="3"/>
  <c r="G152" i="3" s="1"/>
  <c r="I150" i="3"/>
  <c r="K150" i="3" s="1"/>
  <c r="M150" i="3" s="1"/>
  <c r="E150" i="3"/>
  <c r="G150" i="3" s="1"/>
  <c r="I149" i="3"/>
  <c r="K149" i="3" s="1"/>
  <c r="M149" i="3" s="1"/>
  <c r="E149" i="3"/>
  <c r="G149" i="3" s="1"/>
  <c r="I148" i="3"/>
  <c r="K148" i="3" s="1"/>
  <c r="M148" i="3" s="1"/>
  <c r="E148" i="3"/>
  <c r="G148" i="3" s="1"/>
  <c r="I147" i="3"/>
  <c r="K147" i="3" s="1"/>
  <c r="M147" i="3" s="1"/>
  <c r="E147" i="3"/>
  <c r="G147" i="3" s="1"/>
  <c r="I146" i="3"/>
  <c r="K146" i="3" s="1"/>
  <c r="M146" i="3" s="1"/>
  <c r="E146" i="3"/>
  <c r="G146" i="3" s="1"/>
  <c r="I145" i="3"/>
  <c r="K145" i="3" s="1"/>
  <c r="M145" i="3" s="1"/>
  <c r="E145" i="3"/>
  <c r="G145" i="3" s="1"/>
  <c r="I143" i="3"/>
  <c r="K143" i="3" s="1"/>
  <c r="M143" i="3" s="1"/>
  <c r="E143" i="3"/>
  <c r="G143" i="3" s="1"/>
  <c r="I142" i="3"/>
  <c r="K142" i="3" s="1"/>
  <c r="M142" i="3" s="1"/>
  <c r="E142" i="3"/>
  <c r="G142" i="3" s="1"/>
  <c r="I141" i="3"/>
  <c r="K141" i="3" s="1"/>
  <c r="M141" i="3" s="1"/>
  <c r="E141" i="3"/>
  <c r="G141" i="3" s="1"/>
  <c r="I140" i="3"/>
  <c r="K140" i="3" s="1"/>
  <c r="M140" i="3" s="1"/>
  <c r="E140" i="3"/>
  <c r="G140" i="3" s="1"/>
  <c r="I139" i="3"/>
  <c r="K139" i="3" s="1"/>
  <c r="M139" i="3" s="1"/>
  <c r="E139" i="3"/>
  <c r="G139" i="3" s="1"/>
  <c r="I138" i="3"/>
  <c r="K138" i="3" s="1"/>
  <c r="M138" i="3" s="1"/>
  <c r="E138" i="3"/>
  <c r="G138" i="3" s="1"/>
  <c r="I136" i="3"/>
  <c r="K136" i="3" s="1"/>
  <c r="M136" i="3" s="1"/>
  <c r="E136" i="3"/>
  <c r="G136" i="3" s="1"/>
  <c r="I135" i="3"/>
  <c r="K135" i="3" s="1"/>
  <c r="M135" i="3" s="1"/>
  <c r="E135" i="3"/>
  <c r="G135" i="3" s="1"/>
  <c r="N135" i="3" s="1"/>
  <c r="I134" i="3"/>
  <c r="K134" i="3" s="1"/>
  <c r="M134" i="3" s="1"/>
  <c r="E134" i="3"/>
  <c r="G134" i="3" s="1"/>
  <c r="I133" i="3"/>
  <c r="K133" i="3" s="1"/>
  <c r="M133" i="3" s="1"/>
  <c r="E133" i="3"/>
  <c r="G133" i="3" s="1"/>
  <c r="K132" i="3"/>
  <c r="M132" i="3" s="1"/>
  <c r="I132" i="3"/>
  <c r="E132" i="3"/>
  <c r="G132" i="3" s="1"/>
  <c r="I131" i="3"/>
  <c r="K131" i="3" s="1"/>
  <c r="M131" i="3" s="1"/>
  <c r="E131" i="3"/>
  <c r="G131" i="3" s="1"/>
  <c r="I129" i="3"/>
  <c r="K129" i="3" s="1"/>
  <c r="M129" i="3" s="1"/>
  <c r="E129" i="3"/>
  <c r="G129" i="3" s="1"/>
  <c r="I128" i="3"/>
  <c r="K128" i="3" s="1"/>
  <c r="M128" i="3" s="1"/>
  <c r="E128" i="3"/>
  <c r="G128" i="3" s="1"/>
  <c r="I127" i="3"/>
  <c r="K127" i="3" s="1"/>
  <c r="M127" i="3" s="1"/>
  <c r="E127" i="3"/>
  <c r="G127" i="3" s="1"/>
  <c r="I126" i="3"/>
  <c r="K126" i="3" s="1"/>
  <c r="M126" i="3" s="1"/>
  <c r="E126" i="3"/>
  <c r="G126" i="3" s="1"/>
  <c r="I125" i="3"/>
  <c r="K125" i="3" s="1"/>
  <c r="M125" i="3" s="1"/>
  <c r="E125" i="3"/>
  <c r="G125" i="3" s="1"/>
  <c r="I124" i="3"/>
  <c r="K124" i="3" s="1"/>
  <c r="M124" i="3" s="1"/>
  <c r="E124" i="3"/>
  <c r="G124" i="3" s="1"/>
  <c r="I122" i="3"/>
  <c r="K122" i="3" s="1"/>
  <c r="M122" i="3" s="1"/>
  <c r="E122" i="3"/>
  <c r="G122" i="3" s="1"/>
  <c r="I121" i="3"/>
  <c r="K121" i="3" s="1"/>
  <c r="M121" i="3" s="1"/>
  <c r="E121" i="3"/>
  <c r="G121" i="3" s="1"/>
  <c r="I120" i="3"/>
  <c r="K120" i="3" s="1"/>
  <c r="M120" i="3" s="1"/>
  <c r="E120" i="3"/>
  <c r="G120" i="3" s="1"/>
  <c r="I119" i="3"/>
  <c r="K119" i="3" s="1"/>
  <c r="M119" i="3" s="1"/>
  <c r="E119" i="3"/>
  <c r="G119" i="3" s="1"/>
  <c r="I118" i="3"/>
  <c r="K118" i="3" s="1"/>
  <c r="M118" i="3" s="1"/>
  <c r="E118" i="3"/>
  <c r="G118" i="3" s="1"/>
  <c r="I117" i="3"/>
  <c r="K117" i="3" s="1"/>
  <c r="M117" i="3" s="1"/>
  <c r="E117" i="3"/>
  <c r="G117" i="3" s="1"/>
  <c r="I112" i="3"/>
  <c r="K112" i="3" s="1"/>
  <c r="M112" i="3" s="1"/>
  <c r="E112" i="3"/>
  <c r="G112" i="3" s="1"/>
  <c r="I111" i="3"/>
  <c r="K111" i="3" s="1"/>
  <c r="M111" i="3" s="1"/>
  <c r="E111" i="3"/>
  <c r="G111" i="3" s="1"/>
  <c r="I110" i="3"/>
  <c r="K110" i="3" s="1"/>
  <c r="M110" i="3" s="1"/>
  <c r="E110" i="3"/>
  <c r="G110" i="3" s="1"/>
  <c r="I109" i="3"/>
  <c r="K109" i="3" s="1"/>
  <c r="M109" i="3" s="1"/>
  <c r="E109" i="3"/>
  <c r="G109" i="3" s="1"/>
  <c r="I108" i="3"/>
  <c r="K108" i="3" s="1"/>
  <c r="M108" i="3" s="1"/>
  <c r="E108" i="3"/>
  <c r="G108" i="3" s="1"/>
  <c r="N108" i="3" s="1"/>
  <c r="I107" i="3"/>
  <c r="K107" i="3" s="1"/>
  <c r="M107" i="3" s="1"/>
  <c r="E107" i="3"/>
  <c r="G107" i="3" s="1"/>
  <c r="I105" i="3"/>
  <c r="K105" i="3" s="1"/>
  <c r="M105" i="3" s="1"/>
  <c r="E105" i="3"/>
  <c r="G105" i="3" s="1"/>
  <c r="I104" i="3"/>
  <c r="K104" i="3" s="1"/>
  <c r="M104" i="3" s="1"/>
  <c r="E104" i="3"/>
  <c r="G104" i="3" s="1"/>
  <c r="I103" i="3"/>
  <c r="K103" i="3" s="1"/>
  <c r="M103" i="3" s="1"/>
  <c r="E103" i="3"/>
  <c r="G103" i="3" s="1"/>
  <c r="N103" i="3" s="1"/>
  <c r="I102" i="3"/>
  <c r="K102" i="3" s="1"/>
  <c r="M102" i="3" s="1"/>
  <c r="E102" i="3"/>
  <c r="G102" i="3" s="1"/>
  <c r="I101" i="3"/>
  <c r="K101" i="3" s="1"/>
  <c r="M101" i="3" s="1"/>
  <c r="E101" i="3"/>
  <c r="G101" i="3" s="1"/>
  <c r="I100" i="3"/>
  <c r="K100" i="3" s="1"/>
  <c r="M100" i="3" s="1"/>
  <c r="E100" i="3"/>
  <c r="G100" i="3" s="1"/>
  <c r="I98" i="3"/>
  <c r="K98" i="3" s="1"/>
  <c r="M98" i="3" s="1"/>
  <c r="E98" i="3"/>
  <c r="G98" i="3" s="1"/>
  <c r="I97" i="3"/>
  <c r="K97" i="3" s="1"/>
  <c r="M97" i="3" s="1"/>
  <c r="E97" i="3"/>
  <c r="G97" i="3" s="1"/>
  <c r="N97" i="3" s="1"/>
  <c r="I96" i="3"/>
  <c r="K96" i="3" s="1"/>
  <c r="M96" i="3" s="1"/>
  <c r="E96" i="3"/>
  <c r="G96" i="3" s="1"/>
  <c r="I95" i="3"/>
  <c r="K95" i="3" s="1"/>
  <c r="M95" i="3" s="1"/>
  <c r="E95" i="3"/>
  <c r="G95" i="3" s="1"/>
  <c r="I94" i="3"/>
  <c r="K94" i="3" s="1"/>
  <c r="M94" i="3" s="1"/>
  <c r="E94" i="3"/>
  <c r="G94" i="3" s="1"/>
  <c r="I93" i="3"/>
  <c r="K93" i="3" s="1"/>
  <c r="M93" i="3" s="1"/>
  <c r="E93" i="3"/>
  <c r="G93" i="3" s="1"/>
  <c r="N93" i="3" s="1"/>
  <c r="O93" i="3" s="1"/>
  <c r="I91" i="3"/>
  <c r="K91" i="3" s="1"/>
  <c r="M91" i="3" s="1"/>
  <c r="E91" i="3"/>
  <c r="G91" i="3" s="1"/>
  <c r="I90" i="3"/>
  <c r="K90" i="3" s="1"/>
  <c r="M90" i="3" s="1"/>
  <c r="E90" i="3"/>
  <c r="G90" i="3" s="1"/>
  <c r="N90" i="3" s="1"/>
  <c r="O90" i="3" s="1"/>
  <c r="I89" i="3"/>
  <c r="K89" i="3" s="1"/>
  <c r="M89" i="3" s="1"/>
  <c r="E89" i="3"/>
  <c r="G89" i="3" s="1"/>
  <c r="I88" i="3"/>
  <c r="K88" i="3" s="1"/>
  <c r="M88" i="3" s="1"/>
  <c r="E88" i="3"/>
  <c r="G88" i="3" s="1"/>
  <c r="N88" i="3" s="1"/>
  <c r="O88" i="3" s="1"/>
  <c r="I87" i="3"/>
  <c r="K87" i="3" s="1"/>
  <c r="M87" i="3" s="1"/>
  <c r="E87" i="3"/>
  <c r="G87" i="3" s="1"/>
  <c r="I86" i="3"/>
  <c r="K86" i="3" s="1"/>
  <c r="M86" i="3" s="1"/>
  <c r="E86" i="3"/>
  <c r="G86" i="3" s="1"/>
  <c r="N86" i="3" s="1"/>
  <c r="O86" i="3" s="1"/>
  <c r="I84" i="3"/>
  <c r="K84" i="3" s="1"/>
  <c r="M84" i="3" s="1"/>
  <c r="E84" i="3"/>
  <c r="G84" i="3" s="1"/>
  <c r="I83" i="3"/>
  <c r="K83" i="3" s="1"/>
  <c r="M83" i="3" s="1"/>
  <c r="E83" i="3"/>
  <c r="G83" i="3" s="1"/>
  <c r="I82" i="3"/>
  <c r="K82" i="3" s="1"/>
  <c r="M82" i="3" s="1"/>
  <c r="E82" i="3"/>
  <c r="G82" i="3" s="1"/>
  <c r="I81" i="3"/>
  <c r="K81" i="3" s="1"/>
  <c r="M81" i="3" s="1"/>
  <c r="E81" i="3"/>
  <c r="G81" i="3" s="1"/>
  <c r="N81" i="3" s="1"/>
  <c r="O81" i="3" s="1"/>
  <c r="I80" i="3"/>
  <c r="K80" i="3" s="1"/>
  <c r="M80" i="3" s="1"/>
  <c r="E80" i="3"/>
  <c r="G80" i="3" s="1"/>
  <c r="N80" i="3" s="1"/>
  <c r="O80" i="3" s="1"/>
  <c r="I79" i="3"/>
  <c r="K79" i="3" s="1"/>
  <c r="M79" i="3" s="1"/>
  <c r="E79" i="3"/>
  <c r="G79" i="3" s="1"/>
  <c r="I77" i="3"/>
  <c r="K77" i="3" s="1"/>
  <c r="M77" i="3" s="1"/>
  <c r="E77" i="3"/>
  <c r="G77" i="3" s="1"/>
  <c r="I76" i="3"/>
  <c r="K76" i="3" s="1"/>
  <c r="M76" i="3" s="1"/>
  <c r="E76" i="3"/>
  <c r="G76" i="3" s="1"/>
  <c r="I75" i="3"/>
  <c r="K75" i="3" s="1"/>
  <c r="M75" i="3" s="1"/>
  <c r="E75" i="3"/>
  <c r="G75" i="3" s="1"/>
  <c r="N75" i="3" s="1"/>
  <c r="O75" i="3" s="1"/>
  <c r="I74" i="3"/>
  <c r="K74" i="3" s="1"/>
  <c r="M74" i="3" s="1"/>
  <c r="E74" i="3"/>
  <c r="G74" i="3" s="1"/>
  <c r="I73" i="3"/>
  <c r="K73" i="3" s="1"/>
  <c r="M73" i="3" s="1"/>
  <c r="E73" i="3"/>
  <c r="G73" i="3" s="1"/>
  <c r="I72" i="3"/>
  <c r="K72" i="3" s="1"/>
  <c r="M72" i="3" s="1"/>
  <c r="E72" i="3"/>
  <c r="G72" i="3" s="1"/>
  <c r="N118" i="3" l="1"/>
  <c r="O118" i="3" s="1"/>
  <c r="N120" i="3"/>
  <c r="O120" i="3" s="1"/>
  <c r="N122" i="3"/>
  <c r="O122" i="3" s="1"/>
  <c r="N125" i="3"/>
  <c r="O125" i="3" s="1"/>
  <c r="N127" i="3"/>
  <c r="O127" i="3" s="1"/>
  <c r="N129" i="3"/>
  <c r="O129" i="3" s="1"/>
  <c r="V98" i="3" s="1"/>
  <c r="N138" i="3"/>
  <c r="O138" i="3" s="1"/>
  <c r="V107" i="3" s="1"/>
  <c r="N132" i="3"/>
  <c r="O132" i="3" s="1"/>
  <c r="V101" i="3" s="1"/>
  <c r="N72" i="3"/>
  <c r="O72" i="3" s="1"/>
  <c r="N76" i="3"/>
  <c r="O76" i="3" s="1"/>
  <c r="N84" i="3"/>
  <c r="O84" i="3" s="1"/>
  <c r="N87" i="3"/>
  <c r="O87" i="3" s="1"/>
  <c r="N89" i="3"/>
  <c r="O89" i="3" s="1"/>
  <c r="N91" i="3"/>
  <c r="O91" i="3" s="1"/>
  <c r="N94" i="3"/>
  <c r="O94" i="3" s="1"/>
  <c r="N117" i="3"/>
  <c r="O117" i="3" s="1"/>
  <c r="V86" i="3" s="1"/>
  <c r="N119" i="3"/>
  <c r="O119" i="3" s="1"/>
  <c r="N124" i="3"/>
  <c r="O124" i="3" s="1"/>
  <c r="N126" i="3"/>
  <c r="O126" i="3" s="1"/>
  <c r="V95" i="3" s="1"/>
  <c r="N136" i="3"/>
  <c r="O136" i="3" s="1"/>
  <c r="V105" i="3" s="1"/>
  <c r="N143" i="3"/>
  <c r="O143" i="3" s="1"/>
  <c r="N148" i="3"/>
  <c r="O148" i="3" s="1"/>
  <c r="N150" i="3"/>
  <c r="N155" i="3"/>
  <c r="O155" i="3" s="1"/>
  <c r="N73" i="3"/>
  <c r="O73" i="3" s="1"/>
  <c r="V87" i="3" s="1"/>
  <c r="V89" i="3"/>
  <c r="N82" i="3"/>
  <c r="O82" i="3" s="1"/>
  <c r="V96" i="3" s="1"/>
  <c r="N112" i="3"/>
  <c r="N79" i="3"/>
  <c r="O79" i="3" s="1"/>
  <c r="N95" i="3"/>
  <c r="O95" i="3" s="1"/>
  <c r="N98" i="3"/>
  <c r="O98" i="3" s="1"/>
  <c r="V112" i="3" s="1"/>
  <c r="N109" i="3"/>
  <c r="N121" i="3"/>
  <c r="O121" i="3" s="1"/>
  <c r="N142" i="3"/>
  <c r="O142" i="3" s="1"/>
  <c r="N154" i="3"/>
  <c r="O154" i="3" s="1"/>
  <c r="N156" i="3"/>
  <c r="O156" i="3" s="1"/>
  <c r="N141" i="3"/>
  <c r="O141" i="3" s="1"/>
  <c r="N146" i="3"/>
  <c r="O146" i="3" s="1"/>
  <c r="N77" i="3"/>
  <c r="O77" i="3" s="1"/>
  <c r="N96" i="3"/>
  <c r="O96" i="3" s="1"/>
  <c r="V110" i="3" s="1"/>
  <c r="N104" i="3"/>
  <c r="N140" i="3"/>
  <c r="O140" i="3" s="1"/>
  <c r="N74" i="3"/>
  <c r="O74" i="3" s="1"/>
  <c r="N83" i="3"/>
  <c r="O83" i="3" s="1"/>
  <c r="V94" i="3"/>
  <c r="O103" i="3"/>
  <c r="V117" i="3" s="1"/>
  <c r="O108" i="3"/>
  <c r="O112" i="3"/>
  <c r="O135" i="3"/>
  <c r="V104" i="3" s="1"/>
  <c r="N139" i="3"/>
  <c r="O139" i="3" s="1"/>
  <c r="O150" i="3"/>
  <c r="N157" i="3"/>
  <c r="O157" i="3" s="1"/>
  <c r="N101" i="3"/>
  <c r="O101" i="3" s="1"/>
  <c r="N102" i="3"/>
  <c r="O102" i="3" s="1"/>
  <c r="N107" i="3"/>
  <c r="O107" i="3" s="1"/>
  <c r="N111" i="3"/>
  <c r="O111" i="3" s="1"/>
  <c r="N131" i="3"/>
  <c r="O131" i="3" s="1"/>
  <c r="V100" i="3" s="1"/>
  <c r="N133" i="3"/>
  <c r="O133" i="3" s="1"/>
  <c r="V102" i="3" s="1"/>
  <c r="N134" i="3"/>
  <c r="O134" i="3" s="1"/>
  <c r="V103" i="3" s="1"/>
  <c r="N149" i="3"/>
  <c r="O149" i="3" s="1"/>
  <c r="N152" i="3"/>
  <c r="O152" i="3" s="1"/>
  <c r="N153" i="3"/>
  <c r="O153" i="3" s="1"/>
  <c r="O104" i="3"/>
  <c r="O109" i="3"/>
  <c r="O97" i="3"/>
  <c r="N100" i="3"/>
  <c r="O100" i="3" s="1"/>
  <c r="N105" i="3"/>
  <c r="O105" i="3" s="1"/>
  <c r="N110" i="3"/>
  <c r="O110" i="3" s="1"/>
  <c r="N128" i="3"/>
  <c r="O128" i="3" s="1"/>
  <c r="N145" i="3"/>
  <c r="O145" i="3" s="1"/>
  <c r="N147" i="3"/>
  <c r="O147" i="3" s="1"/>
  <c r="V93" i="3" l="1"/>
  <c r="V124" i="3"/>
  <c r="V90" i="3"/>
  <c r="V109" i="3"/>
  <c r="V122" i="3"/>
  <c r="V88" i="3"/>
  <c r="AB86" i="3" s="1"/>
  <c r="V125" i="3"/>
  <c r="V111" i="3"/>
  <c r="AB89" i="3" s="1"/>
  <c r="V114" i="3"/>
  <c r="AA90" i="3" s="1"/>
  <c r="V121" i="3"/>
  <c r="V115" i="3"/>
  <c r="V108" i="3"/>
  <c r="V91" i="3"/>
  <c r="V126" i="3"/>
  <c r="V119" i="3"/>
  <c r="V118" i="3"/>
  <c r="AA89" i="3"/>
  <c r="AB88" i="3"/>
  <c r="AA88" i="3"/>
  <c r="V116" i="3"/>
  <c r="V97" i="3"/>
  <c r="AB87" i="3" s="1"/>
  <c r="V123" i="3"/>
  <c r="AA86" i="3" l="1"/>
  <c r="AB90" i="3"/>
  <c r="AB91" i="3"/>
  <c r="AA87" i="3"/>
  <c r="AA91" i="3"/>
  <c r="G62" i="3" l="1"/>
  <c r="I62" i="3" s="1"/>
  <c r="K62" i="3" s="1"/>
  <c r="C62" i="3"/>
  <c r="E62" i="3" s="1"/>
  <c r="G61" i="3"/>
  <c r="I61" i="3" s="1"/>
  <c r="K61" i="3" s="1"/>
  <c r="C61" i="3"/>
  <c r="E61" i="3" s="1"/>
  <c r="G60" i="3"/>
  <c r="I60" i="3" s="1"/>
  <c r="K60" i="3" s="1"/>
  <c r="C60" i="3"/>
  <c r="E60" i="3" s="1"/>
  <c r="G59" i="3"/>
  <c r="I59" i="3" s="1"/>
  <c r="K59" i="3" s="1"/>
  <c r="C59" i="3"/>
  <c r="E59" i="3" s="1"/>
  <c r="G58" i="3"/>
  <c r="I58" i="3" s="1"/>
  <c r="K58" i="3" s="1"/>
  <c r="C58" i="3"/>
  <c r="E58" i="3" s="1"/>
  <c r="G57" i="3"/>
  <c r="I57" i="3" s="1"/>
  <c r="K57" i="3" s="1"/>
  <c r="C57" i="3"/>
  <c r="E57" i="3" s="1"/>
  <c r="L57" i="3" s="1"/>
  <c r="M57" i="3" s="1"/>
  <c r="G56" i="3"/>
  <c r="I56" i="3" s="1"/>
  <c r="K56" i="3" s="1"/>
  <c r="C56" i="3"/>
  <c r="E56" i="3" s="1"/>
  <c r="L56" i="3" s="1"/>
  <c r="G55" i="3"/>
  <c r="I55" i="3" s="1"/>
  <c r="K55" i="3" s="1"/>
  <c r="C55" i="3"/>
  <c r="E55" i="3" s="1"/>
  <c r="G54" i="3"/>
  <c r="I54" i="3" s="1"/>
  <c r="K54" i="3" s="1"/>
  <c r="C54" i="3"/>
  <c r="E54" i="3" s="1"/>
  <c r="G53" i="3"/>
  <c r="I53" i="3" s="1"/>
  <c r="K53" i="3" s="1"/>
  <c r="C53" i="3"/>
  <c r="E53" i="3" s="1"/>
  <c r="G52" i="3"/>
  <c r="I52" i="3" s="1"/>
  <c r="K52" i="3" s="1"/>
  <c r="C52" i="3"/>
  <c r="E52" i="3" s="1"/>
  <c r="L52" i="3" s="1"/>
  <c r="G51" i="3"/>
  <c r="I51" i="3" s="1"/>
  <c r="K51" i="3" s="1"/>
  <c r="C51" i="3"/>
  <c r="E51" i="3" s="1"/>
  <c r="G49" i="3"/>
  <c r="I49" i="3" s="1"/>
  <c r="K49" i="3" s="1"/>
  <c r="C49" i="3"/>
  <c r="E49" i="3" s="1"/>
  <c r="G48" i="3"/>
  <c r="I48" i="3" s="1"/>
  <c r="K48" i="3" s="1"/>
  <c r="C48" i="3"/>
  <c r="E48" i="3" s="1"/>
  <c r="G47" i="3"/>
  <c r="I47" i="3" s="1"/>
  <c r="K47" i="3" s="1"/>
  <c r="C47" i="3"/>
  <c r="E47" i="3" s="1"/>
  <c r="G46" i="3"/>
  <c r="I46" i="3" s="1"/>
  <c r="K46" i="3" s="1"/>
  <c r="C46" i="3"/>
  <c r="E46" i="3" s="1"/>
  <c r="G45" i="3"/>
  <c r="I45" i="3" s="1"/>
  <c r="K45" i="3" s="1"/>
  <c r="C45" i="3"/>
  <c r="E45" i="3" s="1"/>
  <c r="L45" i="3" s="1"/>
  <c r="M45" i="3" s="1"/>
  <c r="G44" i="3"/>
  <c r="I44" i="3" s="1"/>
  <c r="K44" i="3" s="1"/>
  <c r="C44" i="3"/>
  <c r="E44" i="3" s="1"/>
  <c r="G43" i="3"/>
  <c r="I43" i="3" s="1"/>
  <c r="K43" i="3" s="1"/>
  <c r="C43" i="3"/>
  <c r="E43" i="3" s="1"/>
  <c r="L43" i="3" s="1"/>
  <c r="M43" i="3" s="1"/>
  <c r="G42" i="3"/>
  <c r="I42" i="3" s="1"/>
  <c r="K42" i="3" s="1"/>
  <c r="C42" i="3"/>
  <c r="E42" i="3" s="1"/>
  <c r="G41" i="3"/>
  <c r="I41" i="3" s="1"/>
  <c r="K41" i="3" s="1"/>
  <c r="C41" i="3"/>
  <c r="E41" i="3" s="1"/>
  <c r="G40" i="3"/>
  <c r="I40" i="3" s="1"/>
  <c r="K40" i="3" s="1"/>
  <c r="C40" i="3"/>
  <c r="E40" i="3" s="1"/>
  <c r="G39" i="3"/>
  <c r="I39" i="3" s="1"/>
  <c r="K39" i="3" s="1"/>
  <c r="C39" i="3"/>
  <c r="E39" i="3" s="1"/>
  <c r="G38" i="3"/>
  <c r="I38" i="3" s="1"/>
  <c r="K38" i="3" s="1"/>
  <c r="C38" i="3"/>
  <c r="E38" i="3" s="1"/>
  <c r="L38" i="3" s="1"/>
  <c r="M38" i="3" s="1"/>
  <c r="G31" i="3"/>
  <c r="I31" i="3" s="1"/>
  <c r="K31" i="3" s="1"/>
  <c r="C31" i="3"/>
  <c r="E31" i="3" s="1"/>
  <c r="G30" i="3"/>
  <c r="I30" i="3" s="1"/>
  <c r="K30" i="3" s="1"/>
  <c r="C30" i="3"/>
  <c r="E30" i="3" s="1"/>
  <c r="G29" i="3"/>
  <c r="I29" i="3" s="1"/>
  <c r="K29" i="3" s="1"/>
  <c r="C29" i="3"/>
  <c r="E29" i="3" s="1"/>
  <c r="G28" i="3"/>
  <c r="I28" i="3" s="1"/>
  <c r="K28" i="3" s="1"/>
  <c r="C28" i="3"/>
  <c r="E28" i="3" s="1"/>
  <c r="G27" i="3"/>
  <c r="I27" i="3" s="1"/>
  <c r="K27" i="3" s="1"/>
  <c r="C27" i="3"/>
  <c r="E27" i="3" s="1"/>
  <c r="G26" i="3"/>
  <c r="I26" i="3" s="1"/>
  <c r="K26" i="3" s="1"/>
  <c r="C26" i="3"/>
  <c r="E26" i="3" s="1"/>
  <c r="G25" i="3"/>
  <c r="I25" i="3" s="1"/>
  <c r="K25" i="3" s="1"/>
  <c r="C25" i="3"/>
  <c r="E25" i="3" s="1"/>
  <c r="G24" i="3"/>
  <c r="I24" i="3" s="1"/>
  <c r="K24" i="3" s="1"/>
  <c r="C24" i="3"/>
  <c r="E24" i="3" s="1"/>
  <c r="G23" i="3"/>
  <c r="I23" i="3" s="1"/>
  <c r="K23" i="3" s="1"/>
  <c r="C23" i="3"/>
  <c r="E23" i="3" s="1"/>
  <c r="G22" i="3"/>
  <c r="I22" i="3" s="1"/>
  <c r="K22" i="3" s="1"/>
  <c r="C22" i="3"/>
  <c r="E22" i="3" s="1"/>
  <c r="G21" i="3"/>
  <c r="I21" i="3" s="1"/>
  <c r="K21" i="3" s="1"/>
  <c r="C21" i="3"/>
  <c r="E21" i="3" s="1"/>
  <c r="L21" i="3" s="1"/>
  <c r="M21" i="3" s="1"/>
  <c r="G20" i="3"/>
  <c r="I20" i="3" s="1"/>
  <c r="K20" i="3" s="1"/>
  <c r="C20" i="3"/>
  <c r="E20" i="3" s="1"/>
  <c r="G18" i="3"/>
  <c r="I18" i="3" s="1"/>
  <c r="K18" i="3" s="1"/>
  <c r="C18" i="3"/>
  <c r="E18" i="3" s="1"/>
  <c r="G17" i="3"/>
  <c r="I17" i="3" s="1"/>
  <c r="K17" i="3" s="1"/>
  <c r="C17" i="3"/>
  <c r="E17" i="3" s="1"/>
  <c r="G16" i="3"/>
  <c r="I16" i="3" s="1"/>
  <c r="K16" i="3" s="1"/>
  <c r="C16" i="3"/>
  <c r="E16" i="3" s="1"/>
  <c r="G15" i="3"/>
  <c r="I15" i="3" s="1"/>
  <c r="K15" i="3" s="1"/>
  <c r="C15" i="3"/>
  <c r="E15" i="3" s="1"/>
  <c r="G14" i="3"/>
  <c r="I14" i="3" s="1"/>
  <c r="K14" i="3" s="1"/>
  <c r="C14" i="3"/>
  <c r="E14" i="3" s="1"/>
  <c r="G13" i="3"/>
  <c r="I13" i="3" s="1"/>
  <c r="K13" i="3" s="1"/>
  <c r="C13" i="3"/>
  <c r="E13" i="3" s="1"/>
  <c r="G12" i="3"/>
  <c r="I12" i="3" s="1"/>
  <c r="K12" i="3" s="1"/>
  <c r="C12" i="3"/>
  <c r="E12" i="3" s="1"/>
  <c r="G11" i="3"/>
  <c r="I11" i="3" s="1"/>
  <c r="K11" i="3" s="1"/>
  <c r="C11" i="3"/>
  <c r="E11" i="3" s="1"/>
  <c r="L11" i="3" s="1"/>
  <c r="G10" i="3"/>
  <c r="I10" i="3" s="1"/>
  <c r="K10" i="3" s="1"/>
  <c r="C10" i="3"/>
  <c r="E10" i="3" s="1"/>
  <c r="G9" i="3"/>
  <c r="I9" i="3" s="1"/>
  <c r="K9" i="3" s="1"/>
  <c r="C9" i="3"/>
  <c r="E9" i="3" s="1"/>
  <c r="G8" i="3"/>
  <c r="I8" i="3" s="1"/>
  <c r="K8" i="3" s="1"/>
  <c r="C8" i="3"/>
  <c r="E8" i="3" s="1"/>
  <c r="L8" i="3" s="1"/>
  <c r="M8" i="3" s="1"/>
  <c r="G7" i="3"/>
  <c r="I7" i="3" s="1"/>
  <c r="K7" i="3" s="1"/>
  <c r="C7" i="3"/>
  <c r="E7" i="3" s="1"/>
  <c r="L7" i="3" s="1"/>
  <c r="L27" i="3" l="1"/>
  <c r="M27" i="3" s="1"/>
  <c r="L42" i="3"/>
  <c r="M42" i="3" s="1"/>
  <c r="L47" i="3"/>
  <c r="M47" i="3" s="1"/>
  <c r="L15" i="3"/>
  <c r="M15" i="3" s="1"/>
  <c r="L20" i="3"/>
  <c r="M20" i="3" s="1"/>
  <c r="L46" i="3"/>
  <c r="M46" i="3" s="1"/>
  <c r="R31" i="3" s="1"/>
  <c r="L28" i="3"/>
  <c r="M28" i="3" s="1"/>
  <c r="L39" i="3"/>
  <c r="M39" i="3" s="1"/>
  <c r="R24" i="3" s="1"/>
  <c r="L41" i="3"/>
  <c r="M41" i="3" s="1"/>
  <c r="R26" i="3" s="1"/>
  <c r="L48" i="3"/>
  <c r="M48" i="3" s="1"/>
  <c r="L53" i="3"/>
  <c r="M53" i="3" s="1"/>
  <c r="L24" i="3"/>
  <c r="L29" i="3"/>
  <c r="L12" i="3"/>
  <c r="M12" i="3" s="1"/>
  <c r="R28" i="3" s="1"/>
  <c r="L16" i="3"/>
  <c r="M16" i="3" s="1"/>
  <c r="R32" i="3" s="1"/>
  <c r="L14" i="3"/>
  <c r="M14" i="3" s="1"/>
  <c r="R30" i="3" s="1"/>
  <c r="L59" i="3"/>
  <c r="M59" i="3" s="1"/>
  <c r="L62" i="3"/>
  <c r="M62" i="3" s="1"/>
  <c r="L23" i="3"/>
  <c r="M23" i="3" s="1"/>
  <c r="L54" i="3"/>
  <c r="M54" i="3" s="1"/>
  <c r="L58" i="3"/>
  <c r="M58" i="3" s="1"/>
  <c r="R43" i="3" s="1"/>
  <c r="M7" i="3"/>
  <c r="R23" i="3" s="1"/>
  <c r="M11" i="3"/>
  <c r="R27" i="3" s="1"/>
  <c r="L13" i="3"/>
  <c r="M13" i="3" s="1"/>
  <c r="M24" i="3"/>
  <c r="L40" i="3"/>
  <c r="M40" i="3" s="1"/>
  <c r="M52" i="3"/>
  <c r="R37" i="3" s="1"/>
  <c r="L9" i="3"/>
  <c r="M9" i="3" s="1"/>
  <c r="L17" i="3"/>
  <c r="M17" i="3" s="1"/>
  <c r="L18" i="3"/>
  <c r="M18" i="3" s="1"/>
  <c r="L25" i="3"/>
  <c r="M25" i="3" s="1"/>
  <c r="L30" i="3"/>
  <c r="M30" i="3" s="1"/>
  <c r="L51" i="3"/>
  <c r="M51" i="3" s="1"/>
  <c r="R36" i="3" s="1"/>
  <c r="M56" i="3"/>
  <c r="L22" i="3"/>
  <c r="M22" i="3" s="1"/>
  <c r="R38" i="3" s="1"/>
  <c r="M29" i="3"/>
  <c r="R44" i="3"/>
  <c r="L44" i="3"/>
  <c r="M44" i="3" s="1"/>
  <c r="L61" i="3"/>
  <c r="M61" i="3" s="1"/>
  <c r="L10" i="3"/>
  <c r="M10" i="3" s="1"/>
  <c r="L26" i="3"/>
  <c r="M26" i="3" s="1"/>
  <c r="R42" i="3" s="1"/>
  <c r="L31" i="3"/>
  <c r="M31" i="3" s="1"/>
  <c r="L49" i="3"/>
  <c r="M49" i="3" s="1"/>
  <c r="L55" i="3"/>
  <c r="M55" i="3" s="1"/>
  <c r="L60" i="3"/>
  <c r="M60" i="3" s="1"/>
  <c r="R40" i="3" l="1"/>
  <c r="X27" i="3"/>
  <c r="R45" i="3"/>
  <c r="X31" i="3"/>
  <c r="R33" i="3"/>
  <c r="R39" i="3"/>
  <c r="W34" i="3"/>
  <c r="X34" i="3"/>
  <c r="R34" i="3"/>
  <c r="W28" i="3" s="1"/>
  <c r="X28" i="3"/>
  <c r="R47" i="3"/>
  <c r="R29" i="3"/>
  <c r="X29" i="3" s="1"/>
  <c r="R41" i="3"/>
  <c r="R25" i="3"/>
  <c r="W26" i="3" s="1"/>
  <c r="W27" i="3"/>
  <c r="R46" i="3"/>
  <c r="W33" i="3" s="1"/>
  <c r="W31" i="3"/>
  <c r="I261" i="2"/>
  <c r="K261" i="2" s="1"/>
  <c r="E261" i="2"/>
  <c r="G261" i="2" s="1"/>
  <c r="I260" i="2"/>
  <c r="K260" i="2" s="1"/>
  <c r="M260" i="2" s="1"/>
  <c r="E260" i="2"/>
  <c r="G260" i="2" s="1"/>
  <c r="I259" i="2"/>
  <c r="K259" i="2" s="1"/>
  <c r="M259" i="2" s="1"/>
  <c r="E259" i="2"/>
  <c r="G259" i="2" s="1"/>
  <c r="I258" i="2"/>
  <c r="K258" i="2" s="1"/>
  <c r="M258" i="2" s="1"/>
  <c r="E258" i="2"/>
  <c r="G258" i="2" s="1"/>
  <c r="I257" i="2"/>
  <c r="K257" i="2" s="1"/>
  <c r="E257" i="2"/>
  <c r="G257" i="2" s="1"/>
  <c r="I256" i="2"/>
  <c r="K256" i="2" s="1"/>
  <c r="M256" i="2" s="1"/>
  <c r="E256" i="2"/>
  <c r="G256" i="2" s="1"/>
  <c r="I254" i="2"/>
  <c r="K254" i="2" s="1"/>
  <c r="M254" i="2" s="1"/>
  <c r="E254" i="2"/>
  <c r="G254" i="2" s="1"/>
  <c r="I253" i="2"/>
  <c r="K253" i="2" s="1"/>
  <c r="M253" i="2" s="1"/>
  <c r="E253" i="2"/>
  <c r="G253" i="2" s="1"/>
  <c r="I252" i="2"/>
  <c r="K252" i="2" s="1"/>
  <c r="M252" i="2" s="1"/>
  <c r="E252" i="2"/>
  <c r="G252" i="2" s="1"/>
  <c r="I251" i="2"/>
  <c r="K251" i="2" s="1"/>
  <c r="M251" i="2" s="1"/>
  <c r="E251" i="2"/>
  <c r="G251" i="2" s="1"/>
  <c r="I250" i="2"/>
  <c r="K250" i="2" s="1"/>
  <c r="M250" i="2" s="1"/>
  <c r="E250" i="2"/>
  <c r="G250" i="2" s="1"/>
  <c r="I249" i="2"/>
  <c r="K249" i="2" s="1"/>
  <c r="M249" i="2" s="1"/>
  <c r="E249" i="2"/>
  <c r="G249" i="2" s="1"/>
  <c r="I247" i="2"/>
  <c r="K247" i="2" s="1"/>
  <c r="M247" i="2" s="1"/>
  <c r="E247" i="2"/>
  <c r="G247" i="2" s="1"/>
  <c r="I246" i="2"/>
  <c r="K246" i="2" s="1"/>
  <c r="M246" i="2" s="1"/>
  <c r="E246" i="2"/>
  <c r="G246" i="2" s="1"/>
  <c r="I245" i="2"/>
  <c r="K245" i="2" s="1"/>
  <c r="M245" i="2" s="1"/>
  <c r="E245" i="2"/>
  <c r="G245" i="2" s="1"/>
  <c r="I244" i="2"/>
  <c r="K244" i="2" s="1"/>
  <c r="M244" i="2" s="1"/>
  <c r="E244" i="2"/>
  <c r="G244" i="2" s="1"/>
  <c r="I243" i="2"/>
  <c r="K243" i="2" s="1"/>
  <c r="M243" i="2" s="1"/>
  <c r="E243" i="2"/>
  <c r="G243" i="2" s="1"/>
  <c r="I242" i="2"/>
  <c r="K242" i="2" s="1"/>
  <c r="M242" i="2" s="1"/>
  <c r="G242" i="2"/>
  <c r="E242" i="2"/>
  <c r="I226" i="2"/>
  <c r="K226" i="2" s="1"/>
  <c r="M226" i="2" s="1"/>
  <c r="E226" i="2"/>
  <c r="G226" i="2" s="1"/>
  <c r="I225" i="2"/>
  <c r="K225" i="2" s="1"/>
  <c r="M225" i="2" s="1"/>
  <c r="E225" i="2"/>
  <c r="G225" i="2" s="1"/>
  <c r="I224" i="2"/>
  <c r="K224" i="2" s="1"/>
  <c r="M224" i="2" s="1"/>
  <c r="E224" i="2"/>
  <c r="G224" i="2" s="1"/>
  <c r="I223" i="2"/>
  <c r="K223" i="2" s="1"/>
  <c r="M223" i="2" s="1"/>
  <c r="G223" i="2"/>
  <c r="E223" i="2"/>
  <c r="I222" i="2"/>
  <c r="K222" i="2" s="1"/>
  <c r="M222" i="2" s="1"/>
  <c r="E222" i="2"/>
  <c r="G222" i="2" s="1"/>
  <c r="I221" i="2"/>
  <c r="K221" i="2" s="1"/>
  <c r="M221" i="2" s="1"/>
  <c r="E221" i="2"/>
  <c r="G221" i="2" s="1"/>
  <c r="I219" i="2"/>
  <c r="K219" i="2" s="1"/>
  <c r="M219" i="2" s="1"/>
  <c r="E219" i="2"/>
  <c r="G219" i="2" s="1"/>
  <c r="I218" i="2"/>
  <c r="K218" i="2" s="1"/>
  <c r="M218" i="2" s="1"/>
  <c r="E218" i="2"/>
  <c r="G218" i="2" s="1"/>
  <c r="I217" i="2"/>
  <c r="K217" i="2" s="1"/>
  <c r="M217" i="2" s="1"/>
  <c r="E217" i="2"/>
  <c r="G217" i="2" s="1"/>
  <c r="I216" i="2"/>
  <c r="K216" i="2" s="1"/>
  <c r="M216" i="2" s="1"/>
  <c r="E216" i="2"/>
  <c r="G216" i="2" s="1"/>
  <c r="I215" i="2"/>
  <c r="K215" i="2" s="1"/>
  <c r="M215" i="2" s="1"/>
  <c r="E215" i="2"/>
  <c r="G215" i="2" s="1"/>
  <c r="I214" i="2"/>
  <c r="K214" i="2" s="1"/>
  <c r="M214" i="2" s="1"/>
  <c r="E214" i="2"/>
  <c r="G214" i="2" s="1"/>
  <c r="K212" i="2"/>
  <c r="M212" i="2" s="1"/>
  <c r="I212" i="2"/>
  <c r="E212" i="2"/>
  <c r="G212" i="2" s="1"/>
  <c r="I211" i="2"/>
  <c r="K211" i="2" s="1"/>
  <c r="M211" i="2" s="1"/>
  <c r="G211" i="2"/>
  <c r="E211" i="2"/>
  <c r="I210" i="2"/>
  <c r="K210" i="2" s="1"/>
  <c r="M210" i="2" s="1"/>
  <c r="E210" i="2"/>
  <c r="G210" i="2" s="1"/>
  <c r="I209" i="2"/>
  <c r="K209" i="2" s="1"/>
  <c r="M209" i="2" s="1"/>
  <c r="E209" i="2"/>
  <c r="G209" i="2" s="1"/>
  <c r="I208" i="2"/>
  <c r="K208" i="2" s="1"/>
  <c r="M208" i="2" s="1"/>
  <c r="E208" i="2"/>
  <c r="G208" i="2" s="1"/>
  <c r="I207" i="2"/>
  <c r="K207" i="2" s="1"/>
  <c r="M207" i="2" s="1"/>
  <c r="E207" i="2"/>
  <c r="G207" i="2" s="1"/>
  <c r="I186" i="2"/>
  <c r="K186" i="2" s="1"/>
  <c r="M186" i="2" s="1"/>
  <c r="E186" i="2"/>
  <c r="G186" i="2" s="1"/>
  <c r="I185" i="2"/>
  <c r="K185" i="2" s="1"/>
  <c r="M185" i="2" s="1"/>
  <c r="E185" i="2"/>
  <c r="G185" i="2" s="1"/>
  <c r="I184" i="2"/>
  <c r="K184" i="2" s="1"/>
  <c r="M184" i="2" s="1"/>
  <c r="E184" i="2"/>
  <c r="G184" i="2" s="1"/>
  <c r="I183" i="2"/>
  <c r="K183" i="2" s="1"/>
  <c r="M183" i="2" s="1"/>
  <c r="E183" i="2"/>
  <c r="G183" i="2" s="1"/>
  <c r="I182" i="2"/>
  <c r="K182" i="2" s="1"/>
  <c r="M182" i="2" s="1"/>
  <c r="G182" i="2"/>
  <c r="E182" i="2"/>
  <c r="I181" i="2"/>
  <c r="K181" i="2" s="1"/>
  <c r="M181" i="2" s="1"/>
  <c r="E181" i="2"/>
  <c r="G181" i="2" s="1"/>
  <c r="I179" i="2"/>
  <c r="K179" i="2" s="1"/>
  <c r="M179" i="2" s="1"/>
  <c r="E179" i="2"/>
  <c r="G179" i="2" s="1"/>
  <c r="I178" i="2"/>
  <c r="K178" i="2" s="1"/>
  <c r="M178" i="2" s="1"/>
  <c r="E178" i="2"/>
  <c r="G178" i="2" s="1"/>
  <c r="I177" i="2"/>
  <c r="K177" i="2" s="1"/>
  <c r="M177" i="2" s="1"/>
  <c r="E177" i="2"/>
  <c r="G177" i="2" s="1"/>
  <c r="I176" i="2"/>
  <c r="K176" i="2" s="1"/>
  <c r="M176" i="2" s="1"/>
  <c r="E176" i="2"/>
  <c r="G176" i="2" s="1"/>
  <c r="I175" i="2"/>
  <c r="K175" i="2" s="1"/>
  <c r="M175" i="2" s="1"/>
  <c r="E175" i="2"/>
  <c r="G175" i="2" s="1"/>
  <c r="K174" i="2"/>
  <c r="M174" i="2" s="1"/>
  <c r="I174" i="2"/>
  <c r="E174" i="2"/>
  <c r="G174" i="2" s="1"/>
  <c r="N174" i="2" s="1"/>
  <c r="O174" i="2" s="1"/>
  <c r="I172" i="2"/>
  <c r="K172" i="2" s="1"/>
  <c r="M172" i="2" s="1"/>
  <c r="E172" i="2"/>
  <c r="G172" i="2" s="1"/>
  <c r="I171" i="2"/>
  <c r="K171" i="2" s="1"/>
  <c r="M171" i="2" s="1"/>
  <c r="G171" i="2"/>
  <c r="E171" i="2"/>
  <c r="I170" i="2"/>
  <c r="K170" i="2" s="1"/>
  <c r="M170" i="2" s="1"/>
  <c r="E170" i="2"/>
  <c r="G170" i="2" s="1"/>
  <c r="K169" i="2"/>
  <c r="M169" i="2" s="1"/>
  <c r="I169" i="2"/>
  <c r="E169" i="2"/>
  <c r="G169" i="2" s="1"/>
  <c r="I168" i="2"/>
  <c r="K168" i="2" s="1"/>
  <c r="M168" i="2" s="1"/>
  <c r="E168" i="2"/>
  <c r="G168" i="2" s="1"/>
  <c r="I167" i="2"/>
  <c r="K167" i="2" s="1"/>
  <c r="M167" i="2" s="1"/>
  <c r="E167" i="2"/>
  <c r="G167" i="2" s="1"/>
  <c r="M151" i="2"/>
  <c r="I151" i="2"/>
  <c r="K151" i="2" s="1"/>
  <c r="E151" i="2"/>
  <c r="G151" i="2" s="1"/>
  <c r="I150" i="2"/>
  <c r="K150" i="2" s="1"/>
  <c r="M150" i="2" s="1"/>
  <c r="E150" i="2"/>
  <c r="G150" i="2" s="1"/>
  <c r="M149" i="2"/>
  <c r="I149" i="2"/>
  <c r="K149" i="2" s="1"/>
  <c r="E149" i="2"/>
  <c r="G149" i="2" s="1"/>
  <c r="N149" i="2" s="1"/>
  <c r="O149" i="2" s="1"/>
  <c r="K148" i="2"/>
  <c r="M148" i="2" s="1"/>
  <c r="I148" i="2"/>
  <c r="E148" i="2"/>
  <c r="G148" i="2" s="1"/>
  <c r="N148" i="2" s="1"/>
  <c r="O148" i="2" s="1"/>
  <c r="I147" i="2"/>
  <c r="K147" i="2" s="1"/>
  <c r="M147" i="2" s="1"/>
  <c r="E147" i="2"/>
  <c r="G147" i="2" s="1"/>
  <c r="I146" i="2"/>
  <c r="K146" i="2" s="1"/>
  <c r="M146" i="2" s="1"/>
  <c r="G146" i="2"/>
  <c r="E146" i="2"/>
  <c r="I144" i="2"/>
  <c r="K144" i="2" s="1"/>
  <c r="M144" i="2" s="1"/>
  <c r="E144" i="2"/>
  <c r="G144" i="2" s="1"/>
  <c r="K143" i="2"/>
  <c r="M143" i="2" s="1"/>
  <c r="I143" i="2"/>
  <c r="E143" i="2"/>
  <c r="G143" i="2" s="1"/>
  <c r="I142" i="2"/>
  <c r="K142" i="2" s="1"/>
  <c r="M142" i="2" s="1"/>
  <c r="E142" i="2"/>
  <c r="G142" i="2" s="1"/>
  <c r="I141" i="2"/>
  <c r="K141" i="2" s="1"/>
  <c r="M141" i="2" s="1"/>
  <c r="E141" i="2"/>
  <c r="G141" i="2" s="1"/>
  <c r="N141" i="2" s="1"/>
  <c r="O141" i="2" s="1"/>
  <c r="I140" i="2"/>
  <c r="K140" i="2" s="1"/>
  <c r="M140" i="2" s="1"/>
  <c r="E140" i="2"/>
  <c r="G140" i="2" s="1"/>
  <c r="I139" i="2"/>
  <c r="K139" i="2" s="1"/>
  <c r="M139" i="2" s="1"/>
  <c r="E139" i="2"/>
  <c r="G139" i="2" s="1"/>
  <c r="I137" i="2"/>
  <c r="K137" i="2" s="1"/>
  <c r="M137" i="2" s="1"/>
  <c r="E137" i="2"/>
  <c r="G137" i="2" s="1"/>
  <c r="I136" i="2"/>
  <c r="K136" i="2" s="1"/>
  <c r="M136" i="2" s="1"/>
  <c r="E136" i="2"/>
  <c r="G136" i="2" s="1"/>
  <c r="N136" i="2" s="1"/>
  <c r="O136" i="2" s="1"/>
  <c r="K135" i="2"/>
  <c r="M135" i="2" s="1"/>
  <c r="I135" i="2"/>
  <c r="E135" i="2"/>
  <c r="G135" i="2" s="1"/>
  <c r="I134" i="2"/>
  <c r="K134" i="2" s="1"/>
  <c r="M134" i="2" s="1"/>
  <c r="E134" i="2"/>
  <c r="G134" i="2" s="1"/>
  <c r="I133" i="2"/>
  <c r="K133" i="2" s="1"/>
  <c r="M133" i="2" s="1"/>
  <c r="E133" i="2"/>
  <c r="G133" i="2" s="1"/>
  <c r="I132" i="2"/>
  <c r="K132" i="2" s="1"/>
  <c r="M132" i="2" s="1"/>
  <c r="G132" i="2"/>
  <c r="E132" i="2"/>
  <c r="AB40" i="2"/>
  <c r="AB39" i="2"/>
  <c r="AB38" i="2"/>
  <c r="AB37" i="2"/>
  <c r="AA40" i="2"/>
  <c r="AA39" i="2"/>
  <c r="AA38" i="2"/>
  <c r="AA37" i="2"/>
  <c r="H90" i="2"/>
  <c r="J90" i="2" s="1"/>
  <c r="L90" i="2" s="1"/>
  <c r="E90" i="2"/>
  <c r="G90" i="2" s="1"/>
  <c r="H89" i="2"/>
  <c r="J89" i="2" s="1"/>
  <c r="L89" i="2" s="1"/>
  <c r="E89" i="2"/>
  <c r="G89" i="2" s="1"/>
  <c r="H88" i="2"/>
  <c r="J88" i="2" s="1"/>
  <c r="L88" i="2" s="1"/>
  <c r="E88" i="2"/>
  <c r="G88" i="2" s="1"/>
  <c r="H87" i="2"/>
  <c r="J87" i="2" s="1"/>
  <c r="L87" i="2" s="1"/>
  <c r="E87" i="2"/>
  <c r="G87" i="2" s="1"/>
  <c r="H86" i="2"/>
  <c r="J86" i="2" s="1"/>
  <c r="L86" i="2" s="1"/>
  <c r="E86" i="2"/>
  <c r="G86" i="2" s="1"/>
  <c r="H85" i="2"/>
  <c r="J85" i="2" s="1"/>
  <c r="L85" i="2" s="1"/>
  <c r="E85" i="2"/>
  <c r="G85" i="2" s="1"/>
  <c r="H83" i="2"/>
  <c r="J83" i="2" s="1"/>
  <c r="L83" i="2" s="1"/>
  <c r="E83" i="2"/>
  <c r="G83" i="2" s="1"/>
  <c r="M83" i="2" s="1"/>
  <c r="N83" i="2" s="1"/>
  <c r="H82" i="2"/>
  <c r="J82" i="2" s="1"/>
  <c r="L82" i="2" s="1"/>
  <c r="E82" i="2"/>
  <c r="G82" i="2" s="1"/>
  <c r="H81" i="2"/>
  <c r="J81" i="2" s="1"/>
  <c r="L81" i="2" s="1"/>
  <c r="E81" i="2"/>
  <c r="G81" i="2" s="1"/>
  <c r="H80" i="2"/>
  <c r="J80" i="2" s="1"/>
  <c r="L80" i="2" s="1"/>
  <c r="E80" i="2"/>
  <c r="G80" i="2" s="1"/>
  <c r="H79" i="2"/>
  <c r="J79" i="2" s="1"/>
  <c r="L79" i="2" s="1"/>
  <c r="E79" i="2"/>
  <c r="G79" i="2" s="1"/>
  <c r="H78" i="2"/>
  <c r="J78" i="2" s="1"/>
  <c r="L78" i="2" s="1"/>
  <c r="E78" i="2"/>
  <c r="G78" i="2" s="1"/>
  <c r="H76" i="2"/>
  <c r="J76" i="2" s="1"/>
  <c r="L76" i="2" s="1"/>
  <c r="E76" i="2"/>
  <c r="G76" i="2" s="1"/>
  <c r="H75" i="2"/>
  <c r="J75" i="2" s="1"/>
  <c r="L75" i="2" s="1"/>
  <c r="E75" i="2"/>
  <c r="G75" i="2" s="1"/>
  <c r="H74" i="2"/>
  <c r="J74" i="2" s="1"/>
  <c r="L74" i="2" s="1"/>
  <c r="E74" i="2"/>
  <c r="G74" i="2" s="1"/>
  <c r="H73" i="2"/>
  <c r="J73" i="2" s="1"/>
  <c r="L73" i="2" s="1"/>
  <c r="E73" i="2"/>
  <c r="G73" i="2" s="1"/>
  <c r="H72" i="2"/>
  <c r="J72" i="2" s="1"/>
  <c r="L72" i="2" s="1"/>
  <c r="E72" i="2"/>
  <c r="G72" i="2" s="1"/>
  <c r="H71" i="2"/>
  <c r="J71" i="2" s="1"/>
  <c r="L71" i="2" s="1"/>
  <c r="E71" i="2"/>
  <c r="G71" i="2" s="1"/>
  <c r="H69" i="2"/>
  <c r="J69" i="2" s="1"/>
  <c r="L69" i="2" s="1"/>
  <c r="E69" i="2"/>
  <c r="G69" i="2" s="1"/>
  <c r="M69" i="2" s="1"/>
  <c r="N69" i="2" s="1"/>
  <c r="H68" i="2"/>
  <c r="J68" i="2" s="1"/>
  <c r="L68" i="2" s="1"/>
  <c r="E68" i="2"/>
  <c r="G68" i="2" s="1"/>
  <c r="H67" i="2"/>
  <c r="J67" i="2" s="1"/>
  <c r="L67" i="2" s="1"/>
  <c r="E67" i="2"/>
  <c r="G67" i="2" s="1"/>
  <c r="H66" i="2"/>
  <c r="J66" i="2" s="1"/>
  <c r="L66" i="2" s="1"/>
  <c r="E66" i="2"/>
  <c r="G66" i="2" s="1"/>
  <c r="H65" i="2"/>
  <c r="J65" i="2" s="1"/>
  <c r="L65" i="2" s="1"/>
  <c r="E65" i="2"/>
  <c r="G65" i="2" s="1"/>
  <c r="M65" i="2" s="1"/>
  <c r="N65" i="2" s="1"/>
  <c r="H64" i="2"/>
  <c r="J64" i="2" s="1"/>
  <c r="L64" i="2" s="1"/>
  <c r="E64" i="2"/>
  <c r="G64" i="2" s="1"/>
  <c r="H31" i="2"/>
  <c r="J31" i="2" s="1"/>
  <c r="L31" i="2" s="1"/>
  <c r="E31" i="2"/>
  <c r="G31" i="2" s="1"/>
  <c r="H30" i="2"/>
  <c r="J30" i="2" s="1"/>
  <c r="L30" i="2" s="1"/>
  <c r="E30" i="2"/>
  <c r="G30" i="2" s="1"/>
  <c r="H29" i="2"/>
  <c r="J29" i="2" s="1"/>
  <c r="L29" i="2" s="1"/>
  <c r="E29" i="2"/>
  <c r="G29" i="2" s="1"/>
  <c r="M29" i="2" s="1"/>
  <c r="N29" i="2" s="1"/>
  <c r="H28" i="2"/>
  <c r="J28" i="2" s="1"/>
  <c r="L28" i="2" s="1"/>
  <c r="E28" i="2"/>
  <c r="G28" i="2" s="1"/>
  <c r="H27" i="2"/>
  <c r="J27" i="2" s="1"/>
  <c r="L27" i="2" s="1"/>
  <c r="E27" i="2"/>
  <c r="G27" i="2" s="1"/>
  <c r="H26" i="2"/>
  <c r="J26" i="2" s="1"/>
  <c r="L26" i="2" s="1"/>
  <c r="E26" i="2"/>
  <c r="G26" i="2" s="1"/>
  <c r="H24" i="2"/>
  <c r="J24" i="2" s="1"/>
  <c r="L24" i="2" s="1"/>
  <c r="E24" i="2"/>
  <c r="G24" i="2" s="1"/>
  <c r="M24" i="2" s="1"/>
  <c r="N24" i="2" s="1"/>
  <c r="H23" i="2"/>
  <c r="J23" i="2" s="1"/>
  <c r="L23" i="2" s="1"/>
  <c r="E23" i="2"/>
  <c r="G23" i="2" s="1"/>
  <c r="H22" i="2"/>
  <c r="J22" i="2" s="1"/>
  <c r="L22" i="2" s="1"/>
  <c r="E22" i="2"/>
  <c r="G22" i="2" s="1"/>
  <c r="H21" i="2"/>
  <c r="J21" i="2" s="1"/>
  <c r="L21" i="2" s="1"/>
  <c r="E21" i="2"/>
  <c r="G21" i="2" s="1"/>
  <c r="H20" i="2"/>
  <c r="J20" i="2" s="1"/>
  <c r="L20" i="2" s="1"/>
  <c r="E20" i="2"/>
  <c r="G20" i="2" s="1"/>
  <c r="M20" i="2" s="1"/>
  <c r="N20" i="2" s="1"/>
  <c r="H19" i="2"/>
  <c r="J19" i="2" s="1"/>
  <c r="L19" i="2" s="1"/>
  <c r="E19" i="2"/>
  <c r="G19" i="2" s="1"/>
  <c r="H17" i="2"/>
  <c r="J17" i="2" s="1"/>
  <c r="L17" i="2" s="1"/>
  <c r="E17" i="2"/>
  <c r="G17" i="2" s="1"/>
  <c r="H16" i="2"/>
  <c r="J16" i="2" s="1"/>
  <c r="L16" i="2" s="1"/>
  <c r="E16" i="2"/>
  <c r="G16" i="2" s="1"/>
  <c r="H15" i="2"/>
  <c r="J15" i="2" s="1"/>
  <c r="L15" i="2" s="1"/>
  <c r="E15" i="2"/>
  <c r="G15" i="2" s="1"/>
  <c r="M15" i="2" s="1"/>
  <c r="H14" i="2"/>
  <c r="J14" i="2" s="1"/>
  <c r="L14" i="2" s="1"/>
  <c r="E14" i="2"/>
  <c r="G14" i="2" s="1"/>
  <c r="H13" i="2"/>
  <c r="J13" i="2" s="1"/>
  <c r="L13" i="2" s="1"/>
  <c r="E13" i="2"/>
  <c r="G13" i="2" s="1"/>
  <c r="H12" i="2"/>
  <c r="J12" i="2" s="1"/>
  <c r="E12" i="2"/>
  <c r="G12" i="2" s="1"/>
  <c r="H10" i="2"/>
  <c r="J10" i="2" s="1"/>
  <c r="L10" i="2" s="1"/>
  <c r="E10" i="2"/>
  <c r="G10" i="2" s="1"/>
  <c r="H9" i="2"/>
  <c r="J9" i="2" s="1"/>
  <c r="L9" i="2" s="1"/>
  <c r="E9" i="2"/>
  <c r="G9" i="2" s="1"/>
  <c r="H8" i="2"/>
  <c r="J8" i="2" s="1"/>
  <c r="L8" i="2" s="1"/>
  <c r="E8" i="2"/>
  <c r="G8" i="2" s="1"/>
  <c r="H7" i="2"/>
  <c r="J7" i="2" s="1"/>
  <c r="L7" i="2" s="1"/>
  <c r="E7" i="2"/>
  <c r="G7" i="2" s="1"/>
  <c r="H6" i="2"/>
  <c r="J6" i="2" s="1"/>
  <c r="L6" i="2" s="1"/>
  <c r="E6" i="2"/>
  <c r="G6" i="2" s="1"/>
  <c r="H5" i="2"/>
  <c r="J5" i="2" s="1"/>
  <c r="L5" i="2" s="1"/>
  <c r="E5" i="2"/>
  <c r="G5" i="2" s="1"/>
  <c r="X32" i="3" l="1"/>
  <c r="N179" i="2"/>
  <c r="N249" i="2"/>
  <c r="O249" i="2" s="1"/>
  <c r="V218" i="2" s="1"/>
  <c r="N253" i="2"/>
  <c r="O253" i="2" s="1"/>
  <c r="V222" i="2" s="1"/>
  <c r="U39" i="2"/>
  <c r="N146" i="2"/>
  <c r="O146" i="2" s="1"/>
  <c r="N181" i="2"/>
  <c r="O181" i="2" s="1"/>
  <c r="N142" i="2"/>
  <c r="O142" i="2" s="1"/>
  <c r="N258" i="2"/>
  <c r="O258" i="2" s="1"/>
  <c r="V227" i="2" s="1"/>
  <c r="N216" i="2"/>
  <c r="O216" i="2" s="1"/>
  <c r="V185" i="2" s="1"/>
  <c r="N169" i="2"/>
  <c r="O169" i="2" s="1"/>
  <c r="N215" i="2"/>
  <c r="O215" i="2" s="1"/>
  <c r="N252" i="2"/>
  <c r="O252" i="2" s="1"/>
  <c r="N139" i="2"/>
  <c r="O139" i="2" s="1"/>
  <c r="N171" i="2"/>
  <c r="O171" i="2" s="1"/>
  <c r="N176" i="2"/>
  <c r="N184" i="2"/>
  <c r="O184" i="2" s="1"/>
  <c r="N256" i="2"/>
  <c r="O256" i="2" s="1"/>
  <c r="N135" i="2"/>
  <c r="O135" i="2" s="1"/>
  <c r="N212" i="2"/>
  <c r="N247" i="2"/>
  <c r="O247" i="2" s="1"/>
  <c r="V216" i="2" s="1"/>
  <c r="N254" i="2"/>
  <c r="O254" i="2" s="1"/>
  <c r="N134" i="2"/>
  <c r="O134" i="2" s="1"/>
  <c r="N140" i="2"/>
  <c r="O140" i="2" s="1"/>
  <c r="N147" i="2"/>
  <c r="O147" i="2" s="1"/>
  <c r="N172" i="2"/>
  <c r="O172" i="2" s="1"/>
  <c r="N182" i="2"/>
  <c r="O182" i="2" s="1"/>
  <c r="N186" i="2"/>
  <c r="O186" i="2" s="1"/>
  <c r="N260" i="2"/>
  <c r="O260" i="2" s="1"/>
  <c r="V229" i="2" s="1"/>
  <c r="X33" i="3"/>
  <c r="W32" i="3"/>
  <c r="W29" i="3"/>
  <c r="X26" i="3"/>
  <c r="N133" i="2"/>
  <c r="O133" i="2" s="1"/>
  <c r="N132" i="2"/>
  <c r="O132" i="2" s="1"/>
  <c r="N137" i="2"/>
  <c r="O137" i="2" s="1"/>
  <c r="N167" i="2"/>
  <c r="O167" i="2" s="1"/>
  <c r="N151" i="2"/>
  <c r="O151" i="2" s="1"/>
  <c r="N168" i="2"/>
  <c r="O168" i="2" s="1"/>
  <c r="O176" i="2"/>
  <c r="N217" i="2"/>
  <c r="O217" i="2" s="1"/>
  <c r="V186" i="2" s="1"/>
  <c r="N219" i="2"/>
  <c r="O219" i="2" s="1"/>
  <c r="N250" i="2"/>
  <c r="O250" i="2" s="1"/>
  <c r="M261" i="2"/>
  <c r="N261" i="2"/>
  <c r="N143" i="2"/>
  <c r="O143" i="2" s="1"/>
  <c r="N150" i="2"/>
  <c r="O150" i="2" s="1"/>
  <c r="M257" i="2"/>
  <c r="N257" i="2"/>
  <c r="N144" i="2"/>
  <c r="O144" i="2" s="1"/>
  <c r="N170" i="2"/>
  <c r="O170" i="2" s="1"/>
  <c r="N175" i="2"/>
  <c r="O175" i="2" s="1"/>
  <c r="N177" i="2"/>
  <c r="O177" i="2" s="1"/>
  <c r="N214" i="2"/>
  <c r="O214" i="2" s="1"/>
  <c r="V183" i="2" s="1"/>
  <c r="N218" i="2"/>
  <c r="O218" i="2" s="1"/>
  <c r="V187" i="2" s="1"/>
  <c r="N251" i="2"/>
  <c r="O251" i="2" s="1"/>
  <c r="V220" i="2" s="1"/>
  <c r="N259" i="2"/>
  <c r="O259" i="2" s="1"/>
  <c r="V228" i="2" s="1"/>
  <c r="N178" i="2"/>
  <c r="O178" i="2" s="1"/>
  <c r="O179" i="2"/>
  <c r="N183" i="2"/>
  <c r="O183" i="2" s="1"/>
  <c r="N207" i="2"/>
  <c r="O207" i="2" s="1"/>
  <c r="V176" i="2" s="1"/>
  <c r="N209" i="2"/>
  <c r="O209" i="2" s="1"/>
  <c r="V178" i="2" s="1"/>
  <c r="N211" i="2"/>
  <c r="O211" i="2" s="1"/>
  <c r="V180" i="2" s="1"/>
  <c r="O212" i="2"/>
  <c r="V181" i="2" s="1"/>
  <c r="N222" i="2"/>
  <c r="O222" i="2" s="1"/>
  <c r="V191" i="2" s="1"/>
  <c r="N224" i="2"/>
  <c r="O224" i="2" s="1"/>
  <c r="V193" i="2" s="1"/>
  <c r="N242" i="2"/>
  <c r="O242" i="2" s="1"/>
  <c r="N244" i="2"/>
  <c r="O244" i="2" s="1"/>
  <c r="V213" i="2" s="1"/>
  <c r="N246" i="2"/>
  <c r="O246" i="2" s="1"/>
  <c r="V215" i="2" s="1"/>
  <c r="N185" i="2"/>
  <c r="O185" i="2" s="1"/>
  <c r="N208" i="2"/>
  <c r="O208" i="2" s="1"/>
  <c r="V177" i="2" s="1"/>
  <c r="N210" i="2"/>
  <c r="O210" i="2" s="1"/>
  <c r="V179" i="2" s="1"/>
  <c r="N221" i="2"/>
  <c r="O221" i="2" s="1"/>
  <c r="V190" i="2" s="1"/>
  <c r="AC178" i="2" s="1"/>
  <c r="N223" i="2"/>
  <c r="O223" i="2" s="1"/>
  <c r="V192" i="2" s="1"/>
  <c r="N225" i="2"/>
  <c r="O225" i="2" s="1"/>
  <c r="V194" i="2" s="1"/>
  <c r="N226" i="2"/>
  <c r="O226" i="2" s="1"/>
  <c r="V195" i="2" s="1"/>
  <c r="N243" i="2"/>
  <c r="O243" i="2" s="1"/>
  <c r="V212" i="2" s="1"/>
  <c r="N245" i="2"/>
  <c r="O245" i="2" s="1"/>
  <c r="V214" i="2" s="1"/>
  <c r="M6" i="2"/>
  <c r="N6" i="2" s="1"/>
  <c r="U21" i="2" s="1"/>
  <c r="M23" i="2"/>
  <c r="N23" i="2" s="1"/>
  <c r="M19" i="2"/>
  <c r="M71" i="2"/>
  <c r="N71" i="2" s="1"/>
  <c r="M76" i="2"/>
  <c r="N76" i="2" s="1"/>
  <c r="M80" i="2"/>
  <c r="N80" i="2" s="1"/>
  <c r="M82" i="2"/>
  <c r="N15" i="2"/>
  <c r="M14" i="2"/>
  <c r="N14" i="2" s="1"/>
  <c r="M16" i="2"/>
  <c r="N16" i="2" s="1"/>
  <c r="M88" i="2"/>
  <c r="N88" i="2" s="1"/>
  <c r="U44" i="2" s="1"/>
  <c r="M79" i="2"/>
  <c r="N79" i="2" s="1"/>
  <c r="U35" i="2" s="1"/>
  <c r="M89" i="2"/>
  <c r="N89" i="2" s="1"/>
  <c r="M64" i="2"/>
  <c r="N64" i="2" s="1"/>
  <c r="N19" i="2"/>
  <c r="M27" i="2"/>
  <c r="N27" i="2" s="1"/>
  <c r="M81" i="2"/>
  <c r="N81" i="2" s="1"/>
  <c r="U37" i="2" s="1"/>
  <c r="M87" i="2"/>
  <c r="N87" i="2" s="1"/>
  <c r="N82" i="2"/>
  <c r="U38" i="2" s="1"/>
  <c r="M22" i="2"/>
  <c r="N22" i="2" s="1"/>
  <c r="M28" i="2"/>
  <c r="N28" i="2" s="1"/>
  <c r="M73" i="2"/>
  <c r="N73" i="2" s="1"/>
  <c r="M5" i="2"/>
  <c r="N5" i="2" s="1"/>
  <c r="M7" i="2"/>
  <c r="N7" i="2" s="1"/>
  <c r="M9" i="2"/>
  <c r="N9" i="2" s="1"/>
  <c r="M10" i="2"/>
  <c r="N10" i="2" s="1"/>
  <c r="U25" i="2" s="1"/>
  <c r="M17" i="2"/>
  <c r="N17" i="2" s="1"/>
  <c r="M68" i="2"/>
  <c r="N68" i="2" s="1"/>
  <c r="M78" i="2"/>
  <c r="N78" i="2" s="1"/>
  <c r="L12" i="2"/>
  <c r="M12" i="2"/>
  <c r="M21" i="2"/>
  <c r="N21" i="2" s="1"/>
  <c r="M26" i="2"/>
  <c r="N26" i="2" s="1"/>
  <c r="M30" i="2"/>
  <c r="N30" i="2" s="1"/>
  <c r="M31" i="2"/>
  <c r="N31" i="2" s="1"/>
  <c r="M66" i="2"/>
  <c r="N66" i="2" s="1"/>
  <c r="M67" i="2"/>
  <c r="N67" i="2" s="1"/>
  <c r="M72" i="2"/>
  <c r="N72" i="2" s="1"/>
  <c r="U28" i="2" s="1"/>
  <c r="M75" i="2"/>
  <c r="N75" i="2" s="1"/>
  <c r="M90" i="2"/>
  <c r="N90" i="2" s="1"/>
  <c r="M13" i="2"/>
  <c r="N13" i="2" s="1"/>
  <c r="M86" i="2"/>
  <c r="N86" i="2" s="1"/>
  <c r="M8" i="2"/>
  <c r="N8" i="2" s="1"/>
  <c r="M74" i="2"/>
  <c r="N74" i="2" s="1"/>
  <c r="U30" i="2" s="1"/>
  <c r="M85" i="2"/>
  <c r="N85" i="2" s="1"/>
  <c r="U41" i="2" s="1"/>
  <c r="U20" i="2" l="1"/>
  <c r="U34" i="2"/>
  <c r="V211" i="2"/>
  <c r="AC181" i="2" s="1"/>
  <c r="V219" i="2"/>
  <c r="AB191" i="2"/>
  <c r="AC176" i="2"/>
  <c r="AB190" i="2"/>
  <c r="AB192" i="2"/>
  <c r="V221" i="2"/>
  <c r="V184" i="2"/>
  <c r="AC177" i="2" s="1"/>
  <c r="U31" i="2"/>
  <c r="V188" i="2"/>
  <c r="V223" i="2"/>
  <c r="V225" i="2"/>
  <c r="O257" i="2"/>
  <c r="V226" i="2" s="1"/>
  <c r="AB34" i="2"/>
  <c r="U23" i="2"/>
  <c r="N12" i="2"/>
  <c r="U46" i="2"/>
  <c r="U22" i="2"/>
  <c r="U29" i="2"/>
  <c r="U43" i="2"/>
  <c r="U36" i="2"/>
  <c r="U45" i="2"/>
  <c r="U32" i="2"/>
  <c r="U42" i="2"/>
  <c r="U24" i="2"/>
  <c r="U27" i="2"/>
  <c r="AD182" i="2"/>
  <c r="AD178" i="2"/>
  <c r="O261" i="2"/>
  <c r="V230" i="2" s="1"/>
  <c r="AD181" i="2"/>
  <c r="AD179" i="2"/>
  <c r="AD176" i="2"/>
  <c r="AB35" i="2" l="1"/>
  <c r="AB189" i="2"/>
  <c r="AD177" i="2"/>
  <c r="AA34" i="2"/>
  <c r="AC183" i="2"/>
  <c r="AC182" i="2"/>
  <c r="AA35" i="2"/>
  <c r="AD183" i="2"/>
  <c r="AB32" i="2"/>
  <c r="AA32" i="2"/>
  <c r="AB33" i="2"/>
  <c r="AA33" i="2"/>
  <c r="AD184" i="2"/>
  <c r="AO12" i="1"/>
  <c r="AN12" i="1"/>
  <c r="AL12" i="1"/>
  <c r="AK12" i="1"/>
  <c r="AH12" i="1"/>
  <c r="AJ12" i="1" s="1"/>
  <c r="AF12" i="1"/>
  <c r="AE12" i="1"/>
  <c r="AB12" i="1"/>
  <c r="AD12" i="1" s="1"/>
  <c r="Y12" i="1"/>
  <c r="AA12" i="1" s="1"/>
  <c r="V12" i="1"/>
  <c r="X12" i="1" s="1"/>
  <c r="S12" i="1"/>
  <c r="U12" i="1" s="1"/>
  <c r="M12" i="1"/>
  <c r="O12" i="1" s="1"/>
  <c r="H12" i="1"/>
  <c r="L12" i="1" s="1"/>
  <c r="C12" i="1"/>
  <c r="G12" i="1" s="1"/>
  <c r="AO11" i="1"/>
  <c r="AN11" i="1"/>
  <c r="AL11" i="1"/>
  <c r="AK11" i="1"/>
  <c r="AI11" i="1"/>
  <c r="AH11" i="1"/>
  <c r="AE11" i="1"/>
  <c r="AG11" i="1" s="1"/>
  <c r="AB11" i="1"/>
  <c r="AD11" i="1" s="1"/>
  <c r="Y11" i="1"/>
  <c r="AA11" i="1" s="1"/>
  <c r="V11" i="1"/>
  <c r="X11" i="1" s="1"/>
  <c r="S11" i="1"/>
  <c r="U11" i="1" s="1"/>
  <c r="N11" i="1"/>
  <c r="M11" i="1"/>
  <c r="Q11" i="1" s="1"/>
  <c r="H11" i="1"/>
  <c r="L11" i="1" s="1"/>
  <c r="C11" i="1"/>
  <c r="G11" i="1" s="1"/>
  <c r="AO10" i="1"/>
  <c r="AN10" i="1"/>
  <c r="AL10" i="1"/>
  <c r="AK10" i="1"/>
  <c r="AH10" i="1"/>
  <c r="AJ10" i="1" s="1"/>
  <c r="AE10" i="1"/>
  <c r="AG10" i="1" s="1"/>
  <c r="AB10" i="1"/>
  <c r="AD10" i="1" s="1"/>
  <c r="Y10" i="1"/>
  <c r="AA10" i="1" s="1"/>
  <c r="V10" i="1"/>
  <c r="X10" i="1" s="1"/>
  <c r="T10" i="1"/>
  <c r="S10" i="1"/>
  <c r="N10" i="1"/>
  <c r="M10" i="1"/>
  <c r="Q10" i="1" s="1"/>
  <c r="H10" i="1"/>
  <c r="L10" i="1" s="1"/>
  <c r="C10" i="1"/>
  <c r="G10" i="1" s="1"/>
  <c r="AO9" i="1"/>
  <c r="AN9" i="1"/>
  <c r="AK9" i="1"/>
  <c r="AM9" i="1" s="1"/>
  <c r="AH9" i="1"/>
  <c r="AJ9" i="1" s="1"/>
  <c r="AE9" i="1"/>
  <c r="AG9" i="1" s="1"/>
  <c r="AB9" i="1"/>
  <c r="AD9" i="1" s="1"/>
  <c r="Y9" i="1"/>
  <c r="AA9" i="1" s="1"/>
  <c r="V9" i="1"/>
  <c r="X9" i="1" s="1"/>
  <c r="T9" i="1"/>
  <c r="S9" i="1"/>
  <c r="M9" i="1"/>
  <c r="Q9" i="1" s="1"/>
  <c r="H9" i="1"/>
  <c r="J9" i="1" s="1"/>
  <c r="C9" i="1"/>
  <c r="E9" i="1" s="1"/>
  <c r="AO8" i="1"/>
  <c r="AN8" i="1"/>
  <c r="AL8" i="1"/>
  <c r="AK8" i="1"/>
  <c r="AH8" i="1"/>
  <c r="AJ8" i="1" s="1"/>
  <c r="AE8" i="1"/>
  <c r="AG8" i="1" s="1"/>
  <c r="AB8" i="1"/>
  <c r="AD8" i="1" s="1"/>
  <c r="Y8" i="1"/>
  <c r="AA8" i="1" s="1"/>
  <c r="V8" i="1"/>
  <c r="X8" i="1" s="1"/>
  <c r="T8" i="1"/>
  <c r="S8" i="1"/>
  <c r="P8" i="1"/>
  <c r="N8" i="1"/>
  <c r="M8" i="1"/>
  <c r="H8" i="1"/>
  <c r="L8" i="1" s="1"/>
  <c r="C8" i="1"/>
  <c r="E8" i="1" s="1"/>
  <c r="AO7" i="1"/>
  <c r="AN7" i="1"/>
  <c r="AK7" i="1"/>
  <c r="AM7" i="1" s="1"/>
  <c r="AH7" i="1"/>
  <c r="AJ7" i="1" s="1"/>
  <c r="AF7" i="1"/>
  <c r="AE7" i="1"/>
  <c r="AC7" i="1"/>
  <c r="AB7" i="1"/>
  <c r="AD7" i="1" s="1"/>
  <c r="Z7" i="1"/>
  <c r="Y7" i="1"/>
  <c r="V7" i="1"/>
  <c r="X7" i="1" s="1"/>
  <c r="T7" i="1"/>
  <c r="S7" i="1"/>
  <c r="M7" i="1"/>
  <c r="O7" i="1" s="1"/>
  <c r="H7" i="1"/>
  <c r="L7" i="1" s="1"/>
  <c r="C7" i="1"/>
  <c r="G7" i="1" s="1"/>
  <c r="AO6" i="1"/>
  <c r="AN6" i="1"/>
  <c r="AK6" i="1"/>
  <c r="AM6" i="1" s="1"/>
  <c r="AH6" i="1"/>
  <c r="AJ6" i="1" s="1"/>
  <c r="AE6" i="1"/>
  <c r="AG6" i="1" s="1"/>
  <c r="AB6" i="1"/>
  <c r="AD6" i="1" s="1"/>
  <c r="Y6" i="1"/>
  <c r="AA6" i="1" s="1"/>
  <c r="V6" i="1"/>
  <c r="X6" i="1" s="1"/>
  <c r="T6" i="1"/>
  <c r="S6" i="1"/>
  <c r="M6" i="1"/>
  <c r="Q6" i="1" s="1"/>
  <c r="H6" i="1"/>
  <c r="J6" i="1" s="1"/>
  <c r="C6" i="1"/>
  <c r="G6" i="1" s="1"/>
  <c r="AO5" i="1"/>
  <c r="AN5" i="1"/>
  <c r="AK5" i="1"/>
  <c r="AM5" i="1" s="1"/>
  <c r="AH5" i="1"/>
  <c r="AJ5" i="1" s="1"/>
  <c r="AE5" i="1"/>
  <c r="AG5" i="1" s="1"/>
  <c r="AB5" i="1"/>
  <c r="AD5" i="1" s="1"/>
  <c r="Y5" i="1"/>
  <c r="AA5" i="1" s="1"/>
  <c r="V5" i="1"/>
  <c r="X5" i="1" s="1"/>
  <c r="T5" i="1"/>
  <c r="S5" i="1"/>
  <c r="P5" i="1"/>
  <c r="N5" i="1"/>
  <c r="M5" i="1"/>
  <c r="H5" i="1"/>
  <c r="J5" i="1" s="1"/>
  <c r="C5" i="1"/>
  <c r="Q7" i="1" l="1"/>
  <c r="AP5" i="1"/>
  <c r="U7" i="1"/>
  <c r="AP10" i="1"/>
  <c r="O11" i="1"/>
  <c r="AG12" i="1"/>
  <c r="U5" i="1"/>
  <c r="U6" i="1"/>
  <c r="G8" i="1"/>
  <c r="AP9" i="1"/>
  <c r="O10" i="1"/>
  <c r="O5" i="1"/>
  <c r="L6" i="1"/>
  <c r="O8" i="1"/>
  <c r="AP8" i="1"/>
  <c r="AM12" i="1"/>
  <c r="AM8" i="1"/>
  <c r="G9" i="1"/>
  <c r="U9" i="1"/>
  <c r="AM11" i="1"/>
  <c r="AP12" i="1"/>
  <c r="Q12" i="1"/>
  <c r="Q5" i="1"/>
  <c r="E6" i="1"/>
  <c r="AA7" i="1"/>
  <c r="L9" i="1"/>
  <c r="AM10" i="1"/>
  <c r="G5" i="1"/>
  <c r="L5" i="1"/>
  <c r="AP6" i="1"/>
  <c r="AG7" i="1"/>
  <c r="AP7" i="1"/>
  <c r="Q8" i="1"/>
  <c r="U8" i="1"/>
  <c r="U10" i="1"/>
  <c r="AJ11" i="1"/>
  <c r="AP11" i="1"/>
  <c r="J7" i="1"/>
  <c r="J10" i="1"/>
  <c r="J11" i="1"/>
  <c r="J12" i="1"/>
  <c r="O6" i="1"/>
  <c r="E7" i="1"/>
  <c r="J8" i="1"/>
  <c r="O9" i="1"/>
  <c r="E10" i="1"/>
  <c r="E11" i="1"/>
  <c r="E12" i="1"/>
</calcChain>
</file>

<file path=xl/sharedStrings.xml><?xml version="1.0" encoding="utf-8"?>
<sst xmlns="http://schemas.openxmlformats.org/spreadsheetml/2006/main" count="2949" uniqueCount="747">
  <si>
    <t>D1</t>
  </si>
  <si>
    <t>D2</t>
  </si>
  <si>
    <t>D4</t>
  </si>
  <si>
    <t>D6</t>
  </si>
  <si>
    <t>D8</t>
  </si>
  <si>
    <t>M1</t>
  </si>
  <si>
    <t>M2</t>
  </si>
  <si>
    <t>M3</t>
  </si>
  <si>
    <t>M4</t>
  </si>
  <si>
    <t>M5</t>
  </si>
  <si>
    <t>M6</t>
  </si>
  <si>
    <t>M7</t>
  </si>
  <si>
    <t>M8</t>
  </si>
  <si>
    <t>Days post-infection</t>
  </si>
  <si>
    <t>CFU per gram feces</t>
  </si>
  <si>
    <t>D -5 CFU/g</t>
  </si>
  <si>
    <t>D -2 CC LA</t>
  </si>
  <si>
    <t>D -2 CFU/g</t>
  </si>
  <si>
    <t>D -2 CC MC</t>
  </si>
  <si>
    <t>D0 CC LA</t>
  </si>
  <si>
    <t>CFU/g</t>
  </si>
  <si>
    <t>D0 CC MC</t>
  </si>
  <si>
    <t>D1 CC</t>
  </si>
  <si>
    <t>D1 CFU/g</t>
  </si>
  <si>
    <t>D2 CC</t>
  </si>
  <si>
    <t>D2 CFU/g</t>
  </si>
  <si>
    <t>D3 CC</t>
  </si>
  <si>
    <t>D3 CFU/g</t>
  </si>
  <si>
    <t>D4 CC</t>
  </si>
  <si>
    <t>D4 CFU/g</t>
  </si>
  <si>
    <t>D5 CC</t>
  </si>
  <si>
    <t>D5 CFU/g</t>
  </si>
  <si>
    <t>D6 CC</t>
  </si>
  <si>
    <t>D6 CFU/g</t>
  </si>
  <si>
    <t>D7 CC</t>
  </si>
  <si>
    <t>D7 CFU/g</t>
  </si>
  <si>
    <t>D8 CC</t>
  </si>
  <si>
    <t>D8 CFU/g</t>
  </si>
  <si>
    <t>D-5 colony count LA</t>
  </si>
  <si>
    <t>D -5 colony count MacConkey</t>
  </si>
  <si>
    <t>Colony counts (CC) MacConkey</t>
  </si>
  <si>
    <t>D1 weight</t>
  </si>
  <si>
    <t>D2 weight</t>
  </si>
  <si>
    <t>D3 weight</t>
  </si>
  <si>
    <t>D4 weight</t>
  </si>
  <si>
    <t>D5 weight</t>
  </si>
  <si>
    <t>D6 weight</t>
  </si>
  <si>
    <t>D7 weight</t>
  </si>
  <si>
    <t>D8 weight</t>
  </si>
  <si>
    <t>D -5 weight</t>
  </si>
  <si>
    <t>D-2 weight</t>
  </si>
  <si>
    <t>D0 weight</t>
  </si>
  <si>
    <t>Mouse</t>
  </si>
  <si>
    <t>For making the figure</t>
  </si>
  <si>
    <t>Figure 3A</t>
  </si>
  <si>
    <t>LA</t>
  </si>
  <si>
    <t>LA+Kan</t>
  </si>
  <si>
    <t>T0</t>
  </si>
  <si>
    <t>Inhibitor</t>
  </si>
  <si>
    <t>Target</t>
  </si>
  <si>
    <t>Dilution</t>
  </si>
  <si>
    <t># colonies</t>
  </si>
  <si>
    <t>CFU/ml</t>
  </si>
  <si>
    <t># Targets</t>
  </si>
  <si>
    <t># Inhibitors</t>
  </si>
  <si>
    <t>Ratio Inhibitor/Target</t>
  </si>
  <si>
    <t>SK3573</t>
  </si>
  <si>
    <t>SK4576 BR1</t>
  </si>
  <si>
    <t>SK4576 BR2</t>
  </si>
  <si>
    <t>SK4576 BR3</t>
  </si>
  <si>
    <t>SK4576 BR4</t>
  </si>
  <si>
    <t>SK4576 BR5</t>
  </si>
  <si>
    <t>SK4576 BR6</t>
  </si>
  <si>
    <t>SK4868 BR1</t>
  </si>
  <si>
    <t>SK4868 BR2</t>
  </si>
  <si>
    <t>SK4868 BR3</t>
  </si>
  <si>
    <t>SK4868 BR4</t>
  </si>
  <si>
    <t>SK4868 BR5</t>
  </si>
  <si>
    <t>SK4868 BR6</t>
  </si>
  <si>
    <t>SK4524</t>
  </si>
  <si>
    <t>T24</t>
  </si>
  <si>
    <t xml:space="preserve">SK4395 </t>
  </si>
  <si>
    <t>BR1</t>
  </si>
  <si>
    <t>BR2</t>
  </si>
  <si>
    <t>BR3</t>
  </si>
  <si>
    <t>BR4</t>
  </si>
  <si>
    <t>BR5</t>
  </si>
  <si>
    <t>BR6</t>
  </si>
  <si>
    <t>Replicate</t>
  </si>
  <si>
    <t xml:space="preserve">SK4576 </t>
  </si>
  <si>
    <t xml:space="preserve">SK4868 </t>
  </si>
  <si>
    <t>SK6982</t>
  </si>
  <si>
    <t>SK4352</t>
  </si>
  <si>
    <t>Competitive index</t>
  </si>
  <si>
    <t>Average CI</t>
  </si>
  <si>
    <t>SK3573 vs SK4576</t>
  </si>
  <si>
    <t>SK3573 vs SK4868</t>
  </si>
  <si>
    <t>SK4524 vs SK4576</t>
  </si>
  <si>
    <t>SK4524 vs SK4868</t>
  </si>
  <si>
    <t>SEM</t>
  </si>
  <si>
    <t>SK3572 vs SK4395</t>
  </si>
  <si>
    <t>SK3573 vs SK6982</t>
  </si>
  <si>
    <t>SK4352 vs SK4395</t>
  </si>
  <si>
    <t>SK4352 vs SK6982</t>
  </si>
  <si>
    <t>LA+Strep</t>
  </si>
  <si>
    <t># targets</t>
  </si>
  <si>
    <t># inhibitors</t>
  </si>
  <si>
    <t>Ratio inhibitors/targets</t>
  </si>
  <si>
    <t>∆colicins</t>
  </si>
  <si>
    <t>WT</t>
  </si>
  <si>
    <t>SK5664 vs SK3935 BR1</t>
  </si>
  <si>
    <t>SK5664 vs SK3935 BR2</t>
  </si>
  <si>
    <t>SK5664 vs SK3935 BR3</t>
  </si>
  <si>
    <t>SK5664 vs SK3935 BR4</t>
  </si>
  <si>
    <t>SK5664 vs SK3935 BR5</t>
  </si>
  <si>
    <t>SK5664 vs SK3935 BR6</t>
  </si>
  <si>
    <t>ompC::kan</t>
  </si>
  <si>
    <t>SK5654 vs SK6623 BR1</t>
  </si>
  <si>
    <t>SK5654 vs SK6623 BR2</t>
  </si>
  <si>
    <t>SK5654 vs SK6623 BR3</t>
  </si>
  <si>
    <t>SK5654 vs SK6623 BR4</t>
  </si>
  <si>
    <t>SK5654 vs SK6623 BR5</t>
  </si>
  <si>
    <t>SK5654 vs SK6623 BR6</t>
  </si>
  <si>
    <t>∆complete</t>
  </si>
  <si>
    <t>cdiI_1</t>
  </si>
  <si>
    <t>SK5664 vs SK6624 BR1</t>
  </si>
  <si>
    <t>SK5664 vs SK6624 BR2</t>
  </si>
  <si>
    <t>SK5664 vs SK6624 BR3</t>
  </si>
  <si>
    <t>SK5664 vs SK6624 BR4</t>
  </si>
  <si>
    <t>SK5664 vs SK6624 BR5</t>
  </si>
  <si>
    <t>SK5664 vs SK6624 BR6</t>
  </si>
  <si>
    <t>cdiI_2</t>
  </si>
  <si>
    <t>SK5920 vs SK3935 BR1</t>
  </si>
  <si>
    <t>SK5920 vs SK3935 BR2</t>
  </si>
  <si>
    <t>SK5920 vs SK3935 BR3</t>
  </si>
  <si>
    <t>SK5920 vs SK3935 BR4</t>
  </si>
  <si>
    <t>SK5920 vs SK3935 BR5</t>
  </si>
  <si>
    <t>SK5920 vs SK3935 BR6</t>
  </si>
  <si>
    <t>SK5920 vs SK6623 BR1</t>
  </si>
  <si>
    <t>SK5920 vs SK6623 BR2</t>
  </si>
  <si>
    <t>SK5920 vs SK6623 BR3</t>
  </si>
  <si>
    <t>SK5920 vs SK6623 BR4</t>
  </si>
  <si>
    <t>SK5920 vs SK6623 BR5</t>
  </si>
  <si>
    <t>SK5920 vs SK6623 BR6</t>
  </si>
  <si>
    <t>SK5920 vs SK6624 BR1</t>
  </si>
  <si>
    <t>SK5920 vs SK6624 BR2</t>
  </si>
  <si>
    <t>Average</t>
  </si>
  <si>
    <t>SK5920 vs SK6624 BR3</t>
  </si>
  <si>
    <t xml:space="preserve">SK5664 vs SK3935 </t>
  </si>
  <si>
    <t>SK5920 vs SK6624 BR4</t>
  </si>
  <si>
    <t xml:space="preserve">SK5654 vs SK6623 </t>
  </si>
  <si>
    <t>SK5920 vs SK6624 BR5</t>
  </si>
  <si>
    <t xml:space="preserve">SK5664 vs SK6624 </t>
  </si>
  <si>
    <t>SK5920 vs SK6624 BR6</t>
  </si>
  <si>
    <t xml:space="preserve">SK5920 vs SK3935 </t>
  </si>
  <si>
    <t xml:space="preserve">SK5920 vs SK6623 </t>
  </si>
  <si>
    <t xml:space="preserve">SK5920 vs SK6624 </t>
  </si>
  <si>
    <t>LA+Rif</t>
  </si>
  <si>
    <t>Ratio inhibitor/target</t>
  </si>
  <si>
    <t>SK3573 vs SK5233 BR1</t>
  </si>
  <si>
    <t>SK3573 vs SK5233 BR2</t>
  </si>
  <si>
    <t>SK3573 vs SK5233 BR3</t>
  </si>
  <si>
    <t>SK3573 vs SK5654 BR1</t>
  </si>
  <si>
    <t>SK3573 vs SK5654 BR2</t>
  </si>
  <si>
    <t>SK3573 vs SK5654 BR3</t>
  </si>
  <si>
    <t>SK3573 vs SK5699 BR1</t>
  </si>
  <si>
    <t>SK3573 vs SK5699 BR2</t>
  </si>
  <si>
    <t xml:space="preserve"> </t>
  </si>
  <si>
    <t>SK3573 vs SK5699 BR3</t>
  </si>
  <si>
    <t>SK3573 vs SK5700 BR1</t>
  </si>
  <si>
    <t>SK3573 vs SK5700 BR2</t>
  </si>
  <si>
    <t>SK3573 vs SK5700 BR3</t>
  </si>
  <si>
    <t>SK5596 vs SK5233 BR1</t>
  </si>
  <si>
    <t>SK5596 vs SK5233 BR2</t>
  </si>
  <si>
    <t>SK5596 vs SK5233 BR3</t>
  </si>
  <si>
    <t>SK5596 vs SK5654 BR1</t>
  </si>
  <si>
    <t>SK5596 vs SK5654 BR2</t>
  </si>
  <si>
    <t>SK5596 vs SK5654 BR3</t>
  </si>
  <si>
    <t>SK5596 vs SK5699 BR1</t>
  </si>
  <si>
    <t xml:space="preserve">SK3573 vs SK5233 </t>
  </si>
  <si>
    <t>SK5596 vs SK5699 BR2</t>
  </si>
  <si>
    <t>SK3573 vs SK5654</t>
  </si>
  <si>
    <t>SK5596 vs SK5699 BR3</t>
  </si>
  <si>
    <t>SK3573 vs SK5699</t>
  </si>
  <si>
    <t>SK5596 vs SK5700 BR1</t>
  </si>
  <si>
    <t>SK3573 vs SK5700</t>
  </si>
  <si>
    <t>SK5596 vs SK5700 BR2</t>
  </si>
  <si>
    <t>SK5596 vs SK5700 BR3</t>
  </si>
  <si>
    <t>SK5596 vs SK5233</t>
  </si>
  <si>
    <t xml:space="preserve">SK5596 vs SK5654 </t>
  </si>
  <si>
    <t>SK5596 vs SK5699</t>
  </si>
  <si>
    <t xml:space="preserve">SK5596 vs SK5700 </t>
  </si>
  <si>
    <t>Competition M9 solid 1% glycerol, 0.2% CAA. 24 h</t>
  </si>
  <si>
    <t>LA+Cam</t>
  </si>
  <si>
    <t>#targets</t>
  </si>
  <si>
    <t>#inhbitiors</t>
  </si>
  <si>
    <t>SK6557</t>
  </si>
  <si>
    <t>SK620</t>
  </si>
  <si>
    <t>R12∆cdi</t>
  </si>
  <si>
    <t>wt</t>
  </si>
  <si>
    <t>SK6620</t>
  </si>
  <si>
    <t>∆fepA</t>
  </si>
  <si>
    <t>SK6621</t>
  </si>
  <si>
    <t>∆fhuA</t>
  </si>
  <si>
    <t>SK6622</t>
  </si>
  <si>
    <t>SK6864</t>
  </si>
  <si>
    <t>SK6865</t>
  </si>
  <si>
    <t>∆ompA</t>
  </si>
  <si>
    <t>∆ompA fepA::kan</t>
  </si>
  <si>
    <t>∆ompA fhuA::kan</t>
  </si>
  <si>
    <t>Challenged with R12 strains RifR</t>
  </si>
  <si>
    <t>M1-8</t>
  </si>
  <si>
    <t>SK6555</t>
  </si>
  <si>
    <t>M9-16</t>
  </si>
  <si>
    <t>M17-24</t>
  </si>
  <si>
    <t>SK5664</t>
  </si>
  <si>
    <t>M25-32</t>
  </si>
  <si>
    <t>SK5920</t>
  </si>
  <si>
    <t>D0</t>
  </si>
  <si>
    <t>D0 med bajs</t>
  </si>
  <si>
    <t>D1 med bajs</t>
  </si>
  <si>
    <t>D2 med bajs</t>
  </si>
  <si>
    <t>D3</t>
  </si>
  <si>
    <t>D3 med bajs</t>
  </si>
  <si>
    <t>D4 med bajs</t>
  </si>
  <si>
    <t>D5</t>
  </si>
  <si>
    <t>D5 med bajs</t>
  </si>
  <si>
    <t>D6 med bajs</t>
  </si>
  <si>
    <t>D7</t>
  </si>
  <si>
    <t>D7 med bajs</t>
  </si>
  <si>
    <t>D8 med bajs</t>
  </si>
  <si>
    <t>D9</t>
  </si>
  <si>
    <t>D9 med bajs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</si>
  <si>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</si>
  <si>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</si>
  <si>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</si>
  <si>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</si>
  <si>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</si>
  <si>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</si>
  <si>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</si>
  <si>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</si>
  <si>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</si>
  <si>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</si>
  <si>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</si>
  <si>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</si>
  <si>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</si>
  <si>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</si>
  <si>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</si>
  <si>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</si>
  <si>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</si>
  <si>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</si>
  <si>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</si>
  <si>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</si>
  <si>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</si>
  <si>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</si>
  <si>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</si>
  <si>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</si>
  <si>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CFU (#colonies x Dilution/0,1)</t>
  </si>
  <si>
    <t>CFU Strep</t>
  </si>
  <si>
    <t>CFU Rif</t>
  </si>
  <si>
    <t>∆CDI</t>
  </si>
  <si>
    <t>Weight – Eppendorfs (g)</t>
  </si>
  <si>
    <t>Weight – Feces (g)</t>
  </si>
  <si>
    <t>ND</t>
  </si>
  <si>
    <t>CFU Strep E. coli</t>
  </si>
  <si>
    <t>Had very little or 0 R12 at day2</t>
  </si>
  <si>
    <t>Keep</t>
  </si>
  <si>
    <t>Had &gt;100 colonies on Strep at D0</t>
  </si>
  <si>
    <t>Remove from analysis</t>
  </si>
  <si>
    <t>% retained R12 in relation to R12 level D2</t>
  </si>
  <si>
    <t>% R12 to total Eco (R12+MG1655)</t>
  </si>
  <si>
    <t>Excluded</t>
  </si>
  <si>
    <t>Untreated mice</t>
  </si>
  <si>
    <t>SK6646</t>
  </si>
  <si>
    <t>SK6791</t>
  </si>
  <si>
    <t>D-5</t>
  </si>
  <si>
    <t>D-5 med bajs</t>
  </si>
  <si>
    <t>D-2</t>
  </si>
  <si>
    <t>D-2 med bajs</t>
  </si>
  <si>
    <t>MacConkey</t>
  </si>
  <si>
    <t>Note</t>
  </si>
  <si>
    <t>MacConkey Rif</t>
  </si>
  <si>
    <t>%R12 of total E. coli (MacConkey)</t>
  </si>
  <si>
    <t>C</t>
  </si>
  <si>
    <t>CFU/ml R12 relative to Day 1</t>
  </si>
  <si>
    <t>cdiI_1 cdiI_2</t>
  </si>
  <si>
    <t>SK5664 vs SK6993 BR1</t>
  </si>
  <si>
    <t>SK5664 vs SK6993 BR2</t>
  </si>
  <si>
    <t>SK5664 vs SK6993 BR3</t>
  </si>
  <si>
    <t>SK5664 vs SK6993 BR4</t>
  </si>
  <si>
    <t>SK5664 vs SK6993 BR5</t>
  </si>
  <si>
    <t>SK5664 vs SK6993 BR6</t>
  </si>
  <si>
    <t>SK5664 vs SK6995 BR1</t>
  </si>
  <si>
    <t>SK5664 vs SK6995 BR2</t>
  </si>
  <si>
    <t>SK5664 vs SK6995 BR3</t>
  </si>
  <si>
    <t>SK5664 vs SK6995 BR4</t>
  </si>
  <si>
    <t>SK5664 vs SK6995 BR5</t>
  </si>
  <si>
    <t>SK5664 vs SK6995 BR6</t>
  </si>
  <si>
    <t>SK5920 vs SK6993 BR1</t>
  </si>
  <si>
    <t>SK5920 vs SK6993 BR2</t>
  </si>
  <si>
    <t>SK5920 vs SK6993 BR3</t>
  </si>
  <si>
    <t>SK5920 vs SK6993 BR4</t>
  </si>
  <si>
    <t>SK5920 vs SK6993 BR5</t>
  </si>
  <si>
    <t>SK5920 vs SK6993 BR6</t>
  </si>
  <si>
    <t>cdi_1+cdi_2</t>
  </si>
  <si>
    <t>SK5920 vs SK6995 BR1</t>
  </si>
  <si>
    <t>SK5920 vs SK6995 BR2</t>
  </si>
  <si>
    <t>SK5920 vs SK6995 BR3</t>
  </si>
  <si>
    <t>SK5920 vs SK6995 BR4</t>
  </si>
  <si>
    <t>SK5920 vs SK6995 BR5</t>
  </si>
  <si>
    <t>SK5920 vs SK6995 BR6</t>
  </si>
  <si>
    <t>SK5664 vs SK6693 BR6</t>
  </si>
  <si>
    <t xml:space="preserve">SK5920 vs SK6993 </t>
  </si>
  <si>
    <t>SK5920 vs SK6995</t>
  </si>
  <si>
    <t xml:space="preserve">SK5664 vs SK6993 </t>
  </si>
  <si>
    <t>SK5664 vs SK6995</t>
  </si>
  <si>
    <t>T test</t>
  </si>
  <si>
    <t>WT vs ompC::kan</t>
  </si>
  <si>
    <t>WT vs cdiI1</t>
  </si>
  <si>
    <t>WT vs cdiI2</t>
  </si>
  <si>
    <t>WT vs cdiI1 cdiI2</t>
  </si>
  <si>
    <t>*</t>
  </si>
  <si>
    <t>* &lt;0,05</t>
  </si>
  <si>
    <t>ns</t>
  </si>
  <si>
    <t>OD600 4h</t>
  </si>
  <si>
    <t>colY+I</t>
  </si>
  <si>
    <t>SK5654 + SK5596 supernatant</t>
  </si>
  <si>
    <t>colM+I</t>
  </si>
  <si>
    <t>SK5699 + SK5596 supernatant</t>
  </si>
  <si>
    <t>colB+I</t>
  </si>
  <si>
    <t>SK5700 + SK5596 supernatant</t>
  </si>
  <si>
    <t>SK6555 + SK5596 supernatant</t>
  </si>
  <si>
    <t>SK5654 + SK3573 supernatant</t>
  </si>
  <si>
    <t>SK5699 + SK3573 supernatant</t>
  </si>
  <si>
    <t>SK5700 + SK3573 supernatant</t>
  </si>
  <si>
    <t>SK6555 + SK3573 supernatant</t>
  </si>
  <si>
    <t>t test</t>
  </si>
  <si>
    <t>∆colYI + 5596 vs ∆colYI +3573</t>
  </si>
  <si>
    <t>colM+I  + 5596 vs ∆colMI +3573</t>
  </si>
  <si>
    <t>colB+I  + 5596 vs ∆colBI +3573</t>
  </si>
  <si>
    <t>WT  + 5596 vs WT +3573</t>
  </si>
  <si>
    <t>Significans</t>
  </si>
  <si>
    <t>Diluted o/n 1:100 in 5 ml media, added 200 µl supernatant and incubated for 4h at 37°C before measuring OD600</t>
  </si>
  <si>
    <t>Supernatant made from</t>
  </si>
  <si>
    <t>SK3573 (WT)</t>
  </si>
  <si>
    <t>SK5594 (∆colY)</t>
  </si>
  <si>
    <t>SK5596 (∆colicins)</t>
  </si>
  <si>
    <t>Spent media assay made in M9+1%glycerol+casAA</t>
  </si>
  <si>
    <t>D-1</t>
  </si>
  <si>
    <t>D-1 med bajs</t>
  </si>
  <si>
    <t>Figure 5A</t>
  </si>
  <si>
    <t>Competitions on solid M9 + 1% glycerol + cas-AA</t>
  </si>
  <si>
    <t>#Inhibitors</t>
  </si>
  <si>
    <t>#Targets</t>
  </si>
  <si>
    <t>Ratio Inhibitior/Target</t>
  </si>
  <si>
    <t>SK3573 vs SK3525 BR1</t>
  </si>
  <si>
    <t>SK3573 vs SK3525 BR2</t>
  </si>
  <si>
    <t>SK3573 vs SK3525 BR3</t>
  </si>
  <si>
    <t>SK3573 vs SK6619 BR1</t>
  </si>
  <si>
    <t>SK3573 vs SK6619 BR2</t>
  </si>
  <si>
    <t>SK3573 vs SK6619 BR3</t>
  </si>
  <si>
    <t>SK5664 vs SK3525 BR1</t>
  </si>
  <si>
    <t>SK5664 vs SK3525 BR2</t>
  </si>
  <si>
    <t>SK5664 vs SK3525 BR3</t>
  </si>
  <si>
    <t>SK5664 vs SK6619 BR1</t>
  </si>
  <si>
    <t>SK5664 vs SK6619 BR2</t>
  </si>
  <si>
    <t>SK5664 vs SK6619 BR3</t>
  </si>
  <si>
    <t>SK6557 vs SK3525 BR1</t>
  </si>
  <si>
    <t>SK6557 vs SK3525 BR2</t>
  </si>
  <si>
    <t>SK6557 vs SK3525 BR3</t>
  </si>
  <si>
    <t>SK6557 vs SK6619 BR1</t>
  </si>
  <si>
    <t>SK6557 vs SK6619 BR2</t>
  </si>
  <si>
    <t>SK6557 vs SK6619 BR3</t>
  </si>
  <si>
    <t>SK5920 vs SK3525 BR1</t>
  </si>
  <si>
    <t>SK5920 vs SK3525 BR2</t>
  </si>
  <si>
    <t>SK5920 vs SK3525 BR3</t>
  </si>
  <si>
    <t>SK5920 vs SK6619 BR1</t>
  </si>
  <si>
    <t>SK5920 vs SK6619 BR2</t>
  </si>
  <si>
    <t xml:space="preserve">SK3573 vs SK3525 </t>
  </si>
  <si>
    <t>SK5920 vs SK6619 BR3</t>
  </si>
  <si>
    <t xml:space="preserve">SK3573 vs SK6619 </t>
  </si>
  <si>
    <t xml:space="preserve">SK5664 vs SK3525 </t>
  </si>
  <si>
    <t xml:space="preserve">SK5664 vs SK6619 </t>
  </si>
  <si>
    <t xml:space="preserve">SK6557 vs SK3525 </t>
  </si>
  <si>
    <t xml:space="preserve">SK6557 vs SK6619 </t>
  </si>
  <si>
    <t xml:space="preserve">SK5920 vs SK3525 </t>
  </si>
  <si>
    <t xml:space="preserve">SK5920 vs SK6619 </t>
  </si>
  <si>
    <t>*counted 0 colonies, added 1 for calculations</t>
  </si>
  <si>
    <t>Spent media assay in M9 + 1%glycerol + cas-AA, 1:100 + 200 µl supernatant, 4h at 37°C</t>
  </si>
  <si>
    <t>Figure 5B</t>
  </si>
  <si>
    <t>SK3525 +∆colicins</t>
  </si>
  <si>
    <t>SK3525 +WT</t>
  </si>
  <si>
    <t>SK6619 +∆colicins</t>
  </si>
  <si>
    <t>SK6619 +WT</t>
  </si>
  <si>
    <t>Compare column means (main column effect)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</si>
  <si>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</si>
  <si>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</si>
  <si>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</si>
  <si>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</si>
  <si>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</si>
  <si>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</si>
  <si>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</si>
  <si>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</si>
  <si>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</si>
  <si>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SK3573 vs SK4576 vs. SK3573 vs SK4868</t>
  </si>
  <si>
    <t>5,540 to 8,889</t>
  </si>
  <si>
    <t>Yes</t>
  </si>
  <si>
    <t>****</t>
  </si>
  <si>
    <t>&lt;0,0001</t>
  </si>
  <si>
    <t>SK3573 vs SK4576 vs. SK4524 vs SK4576</t>
  </si>
  <si>
    <t>5,956 to 9,305</t>
  </si>
  <si>
    <t>SK3573 vs SK4868 vs. SK4524 vs SK4576</t>
  </si>
  <si>
    <t>-1,258 to 2,090</t>
  </si>
  <si>
    <t>No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</si>
  <si>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</si>
  <si>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</si>
  <si>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</si>
  <si>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</si>
  <si>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</si>
  <si>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</si>
  <si>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</si>
  <si>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</si>
  <si>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Two-way ANOVA</t>
  </si>
  <si>
    <t>Table Analyzed</t>
  </si>
  <si>
    <t>Data 2</t>
  </si>
  <si>
    <t>Ordinary</t>
  </si>
  <si>
    <t>Source of Variation</t>
  </si>
  <si>
    <t>% of total variation</t>
  </si>
  <si>
    <t>P value</t>
  </si>
  <si>
    <t>P value summary</t>
  </si>
  <si>
    <t>Significant?</t>
  </si>
  <si>
    <t>Row Factor</t>
  </si>
  <si>
    <t>Column Factor</t>
  </si>
  <si>
    <t>ANOVA table</t>
  </si>
  <si>
    <t>SS (Type III)</t>
  </si>
  <si>
    <t>MS</t>
  </si>
  <si>
    <t>F (DFn, DFd)</t>
  </si>
  <si>
    <t>F (5, 10) = 0,8439</t>
  </si>
  <si>
    <t>P=0,5485</t>
  </si>
  <si>
    <t>F (2, 10) = 98,69</t>
  </si>
  <si>
    <t>P&lt;0,0001</t>
  </si>
  <si>
    <t>Residual</t>
  </si>
  <si>
    <t>Data summary</t>
  </si>
  <si>
    <t>Number of columns (Column Factor)</t>
  </si>
  <si>
    <t>Number of rows (Row Factor)</t>
  </si>
  <si>
    <t>Number of values</t>
  </si>
  <si>
    <t>F (5, 10) = 0,8542</t>
  </si>
  <si>
    <t>P=0,5426</t>
  </si>
  <si>
    <t>F (2, 10) = 41,44</t>
  </si>
  <si>
    <t>SK3573 vs SK4395 vs. SK3573 vs SK6982</t>
  </si>
  <si>
    <t>8,135 to 16,81</t>
  </si>
  <si>
    <t>SK3573 vs SK4395 vs. SK4352 vs SK4395</t>
  </si>
  <si>
    <t>8,148 to 16,83</t>
  </si>
  <si>
    <t>SK3573 vs SK6982 vs. SK4352 vs SK4395</t>
  </si>
  <si>
    <t>-4,327 to 4,353</t>
  </si>
  <si>
    <t>&gt;0,9999</t>
  </si>
  <si>
    <t>Data 1</t>
  </si>
  <si>
    <t>Two-way RM ANOVA</t>
  </si>
  <si>
    <t>Matching: Stacked</t>
  </si>
  <si>
    <t>Assume sphericity?</t>
  </si>
  <si>
    <t>Time x Column Factor</t>
  </si>
  <si>
    <t>Time</t>
  </si>
  <si>
    <t>Subject</t>
  </si>
  <si>
    <t>SS</t>
  </si>
  <si>
    <t>F (3, 8) = 71,50</t>
  </si>
  <si>
    <t>F (1, 8) = 77,98</t>
  </si>
  <si>
    <t>F (3, 8) = 55,53</t>
  </si>
  <si>
    <t>F (8, 8) = 1,144</t>
  </si>
  <si>
    <t>P=0,4268</t>
  </si>
  <si>
    <t>Difference between row means</t>
  </si>
  <si>
    <t>Mean of SK3573</t>
  </si>
  <si>
    <t>Mean of SK5596</t>
  </si>
  <si>
    <t>Difference between means</t>
  </si>
  <si>
    <t>SE of difference</t>
  </si>
  <si>
    <t>95% CI of difference</t>
  </si>
  <si>
    <t>1,849 to 3,157</t>
  </si>
  <si>
    <t>Number of rows (Time)</t>
  </si>
  <si>
    <t>Number of subjects (Subject)</t>
  </si>
  <si>
    <t>Number of missing values</t>
  </si>
  <si>
    <t>Within each row, compare columns (simple effects within rows)</t>
  </si>
  <si>
    <t>SK5233 vs. SK5654</t>
  </si>
  <si>
    <t>-11,21 to -7,850</t>
  </si>
  <si>
    <t>SK5233 vs. SK5700</t>
  </si>
  <si>
    <t>-2,414 to 0,9444</t>
  </si>
  <si>
    <t>SK5233 vs. SK5699</t>
  </si>
  <si>
    <t>-1,743 to 1,616</t>
  </si>
  <si>
    <t>SK5654 vs. SK5700</t>
  </si>
  <si>
    <t>7,115 to 10,47</t>
  </si>
  <si>
    <t>SK5654 vs. SK5699</t>
  </si>
  <si>
    <t>7,786 to 11,15</t>
  </si>
  <si>
    <t>SK5700 vs. SK5699</t>
  </si>
  <si>
    <t>-1,008 to 2,351</t>
  </si>
  <si>
    <t>SK5596</t>
  </si>
  <si>
    <t>-1,586 to 1,772</t>
  </si>
  <si>
    <t>-2,384 to 0,9746</t>
  </si>
  <si>
    <t>-1,668 to 1,691</t>
  </si>
  <si>
    <t>-2,477 to 0,8816</t>
  </si>
  <si>
    <t>-1,761 to 1,598</t>
  </si>
  <si>
    <t>-0,9632 to 2,396</t>
  </si>
  <si>
    <t>Brown-Forsythe ANOVA test</t>
  </si>
  <si>
    <t>F* (DFn, DFd)</t>
  </si>
  <si>
    <t>9,123 (5,000, 8,824)</t>
  </si>
  <si>
    <t>**</t>
  </si>
  <si>
    <t>Significant diff. among means (P &lt; 0.05)?</t>
  </si>
  <si>
    <t>Welch's ANOVA test</t>
  </si>
  <si>
    <t>W (DFn, DFd)</t>
  </si>
  <si>
    <t>31,77 (5,000, 11,70)</t>
  </si>
  <si>
    <t>Number of treatments (columns)</t>
  </si>
  <si>
    <t>Number of values (total)</t>
  </si>
  <si>
    <t>Dunnett's T3 multiple comparisons test</t>
  </si>
  <si>
    <t>SK620 vs. SK6620</t>
  </si>
  <si>
    <t>A-B</t>
  </si>
  <si>
    <t>SK620 vs. SK6621</t>
  </si>
  <si>
    <t>-9991 to 18322</t>
  </si>
  <si>
    <t>A-C</t>
  </si>
  <si>
    <t>SK620 vs. SK6622</t>
  </si>
  <si>
    <t>5520 to 33445</t>
  </si>
  <si>
    <t>A-D</t>
  </si>
  <si>
    <t>SK620 vs. SK6864</t>
  </si>
  <si>
    <t>7076 to 34883</t>
  </si>
  <si>
    <t>A-E</t>
  </si>
  <si>
    <t>SK620 vs. SK6865</t>
  </si>
  <si>
    <t>-43803 to 29274</t>
  </si>
  <si>
    <t>A-F</t>
  </si>
  <si>
    <t>SK6620 vs. SK6621</t>
  </si>
  <si>
    <t>-9217 to 17969</t>
  </si>
  <si>
    <t>B-C</t>
  </si>
  <si>
    <t>SK6620 vs. SK6622</t>
  </si>
  <si>
    <t>6641 to 32745</t>
  </si>
  <si>
    <t>B-D</t>
  </si>
  <si>
    <t>SK6620 vs. SK6864</t>
  </si>
  <si>
    <t>8200 to 34178</t>
  </si>
  <si>
    <t>B-E</t>
  </si>
  <si>
    <t>SK6620 vs. SK6865</t>
  </si>
  <si>
    <t>-43303 to 29193</t>
  </si>
  <si>
    <t>B-F</t>
  </si>
  <si>
    <t>SK6621 vs. SK6622</t>
  </si>
  <si>
    <t>4204 to 26430</t>
  </si>
  <si>
    <t>C-D</t>
  </si>
  <si>
    <t>SK6621 vs. SK6864</t>
  </si>
  <si>
    <t>5775 to 27852</t>
  </si>
  <si>
    <t>C-E</t>
  </si>
  <si>
    <t>SK6621 vs. SK6865</t>
  </si>
  <si>
    <t>-47119 to 24257</t>
  </si>
  <si>
    <t>C-F</t>
  </si>
  <si>
    <t>SK6622 vs. SK6864</t>
  </si>
  <si>
    <t>204,5 to 2788</t>
  </si>
  <si>
    <t>D-E</t>
  </si>
  <si>
    <t>SK6622 vs. SK6865</t>
  </si>
  <si>
    <t>-63641 to 10145</t>
  </si>
  <si>
    <t>D-F</t>
  </si>
  <si>
    <t>SK6864 vs. SK6865</t>
  </si>
  <si>
    <t>-65115 to 8627</t>
  </si>
  <si>
    <t>E-F</t>
  </si>
  <si>
    <t>n1</t>
  </si>
  <si>
    <t>n2</t>
  </si>
  <si>
    <t>t</t>
  </si>
  <si>
    <t>***</t>
  </si>
  <si>
    <t>Statistical test</t>
  </si>
  <si>
    <t>Column A</t>
  </si>
  <si>
    <t>vs.</t>
  </si>
  <si>
    <t>vs,</t>
  </si>
  <si>
    <t>Column B</t>
  </si>
  <si>
    <t>Mann-Whitney U</t>
  </si>
  <si>
    <t>Mann Whitney test</t>
  </si>
  <si>
    <t>Exact or approximate P value?</t>
  </si>
  <si>
    <t>Exact</t>
  </si>
  <si>
    <t>Significantly different (P &lt; 0.05)?</t>
  </si>
  <si>
    <t>One- or two-tailed P value?</t>
  </si>
  <si>
    <t>Two-tailed</t>
  </si>
  <si>
    <t>Sum of ranks in column A,B</t>
  </si>
  <si>
    <t>47 , 44</t>
  </si>
  <si>
    <t>Difference between medians</t>
  </si>
  <si>
    <t>Median of column A</t>
  </si>
  <si>
    <t>97,01, n=5</t>
  </si>
  <si>
    <t>Median of column B</t>
  </si>
  <si>
    <t>75,87, n=8</t>
  </si>
  <si>
    <t>Difference: Actual</t>
  </si>
  <si>
    <t>Difference: Hodges-Lehmann</t>
  </si>
  <si>
    <t>Column C</t>
  </si>
  <si>
    <t>Sum of ranks in column A,C</t>
  </si>
  <si>
    <t>47 , 31</t>
  </si>
  <si>
    <t>Median of column C</t>
  </si>
  <si>
    <t>0,000, n=7</t>
  </si>
  <si>
    <t>Column D</t>
  </si>
  <si>
    <t>Sum of ranks in column A,D</t>
  </si>
  <si>
    <t>43 , 23</t>
  </si>
  <si>
    <t>Median of column D</t>
  </si>
  <si>
    <t>36,78, n=6</t>
  </si>
  <si>
    <t>50 , 41</t>
  </si>
  <si>
    <t>100,0, n=5</t>
  </si>
  <si>
    <t>59,34, n=8</t>
  </si>
  <si>
    <t>48 , 30</t>
  </si>
  <si>
    <t>0,01000, n=7</t>
  </si>
  <si>
    <t>40 , 26</t>
  </si>
  <si>
    <t>83,49, n=6</t>
  </si>
  <si>
    <t>88,64, n=8</t>
  </si>
  <si>
    <t>46,50 , 31,50</t>
  </si>
  <si>
    <t>1,450, n=7</t>
  </si>
  <si>
    <t>39,50 , 26,50</t>
  </si>
  <si>
    <t>97,77, n=6</t>
  </si>
  <si>
    <t>Day 2</t>
  </si>
  <si>
    <t>46 , 74</t>
  </si>
  <si>
    <t>0,03289, n=7</t>
  </si>
  <si>
    <t>0,1403, n=8</t>
  </si>
  <si>
    <t>Day 4</t>
  </si>
  <si>
    <t>41 , 79</t>
  </si>
  <si>
    <t>0,001137, n=7</t>
  </si>
  <si>
    <t>0,03652, n=8</t>
  </si>
  <si>
    <t>Day 6</t>
  </si>
  <si>
    <t>64 , 56</t>
  </si>
  <si>
    <t>0,02418, n=7</t>
  </si>
  <si>
    <t>0,01608, n=8</t>
  </si>
  <si>
    <t>Day 7</t>
  </si>
  <si>
    <t>80 , 40</t>
  </si>
  <si>
    <t>0,1607, n=7</t>
  </si>
  <si>
    <t>0,004181, n=8</t>
  </si>
  <si>
    <t>Day 8</t>
  </si>
  <si>
    <t>0,2529, n=7</t>
  </si>
  <si>
    <t>0,003996, n=8</t>
  </si>
  <si>
    <t>Day 9</t>
  </si>
  <si>
    <t>75 , 45</t>
  </si>
  <si>
    <t>0,6852, n=7</t>
  </si>
  <si>
    <t>0,008429, n=8</t>
  </si>
  <si>
    <t>CFU Kan</t>
  </si>
  <si>
    <t>CFU kan</t>
  </si>
  <si>
    <t>CFU/G</t>
  </si>
  <si>
    <t>D1 kan</t>
  </si>
  <si>
    <t>D2 kan</t>
  </si>
  <si>
    <t>D3 kan</t>
  </si>
  <si>
    <t xml:space="preserve">D4 kan </t>
  </si>
  <si>
    <t>D5 kan</t>
  </si>
  <si>
    <t>D6 kan</t>
  </si>
  <si>
    <t>D1 cam</t>
  </si>
  <si>
    <t>D2 cam</t>
  </si>
  <si>
    <t>D3 cam</t>
  </si>
  <si>
    <t>D4 cam</t>
  </si>
  <si>
    <t>D5 cam</t>
  </si>
  <si>
    <t>D6 cam</t>
  </si>
  <si>
    <t>Weight feces</t>
  </si>
  <si>
    <t xml:space="preserve">DO </t>
  </si>
  <si>
    <t xml:space="preserve">D1 </t>
  </si>
  <si>
    <t xml:space="preserve">D2 </t>
  </si>
  <si>
    <t xml:space="preserve">D3 </t>
  </si>
  <si>
    <t xml:space="preserve">D4 </t>
  </si>
  <si>
    <t xml:space="preserve">D6 </t>
  </si>
  <si>
    <t>CFU</t>
  </si>
  <si>
    <t>CFU cam</t>
  </si>
  <si>
    <t>Controlled Eco K12 normal flora StrepR (SK2743)</t>
  </si>
  <si>
    <t>Precolonized with SK2827 (kanR), challenged with SK620 (camR)</t>
  </si>
  <si>
    <t>Figure 2B</t>
  </si>
  <si>
    <t>Figure 2C</t>
  </si>
  <si>
    <t>Figure 2A</t>
  </si>
  <si>
    <t>Figure 2D</t>
  </si>
  <si>
    <t>Figure 2E</t>
  </si>
  <si>
    <t xml:space="preserve">Figure X </t>
  </si>
  <si>
    <t>LA+Cam/Rif</t>
  </si>
  <si>
    <t>NF</t>
  </si>
  <si>
    <t>R12</t>
  </si>
  <si>
    <t>Ratio R12/NF</t>
  </si>
  <si>
    <t>Ratio NF/R12</t>
  </si>
  <si>
    <t>SK6555 vs SK6988 1:10 ratio BR1</t>
  </si>
  <si>
    <t>SK6555 vs SK6988 1:10 ratio BR2</t>
  </si>
  <si>
    <t>SK6555 vs SK6988 1:10 ratio BR3</t>
  </si>
  <si>
    <t>SK6555 vs SK6988 1:10 ratio BR4</t>
  </si>
  <si>
    <t>R12 vs NF</t>
  </si>
  <si>
    <t>SK6555 vs SK6988 1:1 ratio BR1</t>
  </si>
  <si>
    <t xml:space="preserve">SK6555 vs SK6988 1:10 </t>
  </si>
  <si>
    <t>SK6555 vs SK6988 1:1 ratio BR2</t>
  </si>
  <si>
    <t xml:space="preserve">SK6555 vs SK6988 1:1 ratio </t>
  </si>
  <si>
    <t>SK6555 vs SK6988 1:1 ratio BR3</t>
  </si>
  <si>
    <t xml:space="preserve">SK3573 vs SK7046 10:1 </t>
  </si>
  <si>
    <t>SK6555 vs SK6988 1:1 ratio BR4</t>
  </si>
  <si>
    <t>SK5920 vs SK6988 1:1 ratio</t>
  </si>
  <si>
    <t>SK3573 vs SK7046 10:1  BR1</t>
  </si>
  <si>
    <t>SK3573 vs SK7046 10:1  BR2</t>
  </si>
  <si>
    <t>SK3573 vs SK7046 10:1  BR3</t>
  </si>
  <si>
    <t>SK3573 vs SK7046 10:1  BR4</t>
  </si>
  <si>
    <t>SK5920 vs SK6988 1:1 ratio BR1</t>
  </si>
  <si>
    <t>SK5920 vs SK6988 1:1 ratio BR2</t>
  </si>
  <si>
    <t>SK5920 vs SK6988 1:1 ratio BR3</t>
  </si>
  <si>
    <t>SK5920 vs SK6988 1:1 ratio BR4</t>
  </si>
  <si>
    <t>Ratio Target/Inhibitor</t>
  </si>
  <si>
    <t>SK6988 vs SK6555 10:1 BR1</t>
  </si>
  <si>
    <t>SK6988 vs SK6555 10:1 BR2</t>
  </si>
  <si>
    <t>SK6988 vs SK6555 10:1 BR3</t>
  </si>
  <si>
    <t>SK6988 vs SK6555 10:1 BR4</t>
  </si>
  <si>
    <t>m9</t>
  </si>
  <si>
    <t>m13</t>
  </si>
  <si>
    <t>m14</t>
  </si>
  <si>
    <t>m15</t>
  </si>
  <si>
    <t>m16</t>
  </si>
  <si>
    <t>m10</t>
  </si>
  <si>
    <t>m11</t>
  </si>
  <si>
    <t>m12</t>
  </si>
  <si>
    <t>m17</t>
  </si>
  <si>
    <t>m18</t>
  </si>
  <si>
    <t>m19</t>
  </si>
  <si>
    <t>m20</t>
  </si>
  <si>
    <t>m21</t>
  </si>
  <si>
    <t>m22</t>
  </si>
  <si>
    <t>m23</t>
  </si>
  <si>
    <t>m24</t>
  </si>
  <si>
    <t>biorep A</t>
  </si>
  <si>
    <t>biorep B</t>
  </si>
  <si>
    <t>biorep C</t>
  </si>
  <si>
    <t>biorep D</t>
  </si>
  <si>
    <t>average</t>
  </si>
  <si>
    <t>sem</t>
  </si>
  <si>
    <t>t.test</t>
  </si>
  <si>
    <t>MG1655 wt</t>
  </si>
  <si>
    <t>SK620+SK5233</t>
  </si>
  <si>
    <r>
      <t>MG1655</t>
    </r>
    <r>
      <rPr>
        <sz val="11"/>
        <color theme="1"/>
        <rFont val="Symbol"/>
        <charset val="2"/>
      </rPr>
      <t xml:space="preserve"> D</t>
    </r>
    <r>
      <rPr>
        <sz val="12"/>
        <color theme="1"/>
        <rFont val="Calibri"/>
        <family val="2"/>
        <scheme val="minor"/>
      </rPr>
      <t>fepA</t>
    </r>
  </si>
  <si>
    <t>SK6620+SK5233</t>
  </si>
  <si>
    <r>
      <t>MG1655</t>
    </r>
    <r>
      <rPr>
        <sz val="11"/>
        <color theme="1"/>
        <rFont val="Symbol"/>
        <charset val="2"/>
      </rPr>
      <t xml:space="preserve"> D</t>
    </r>
    <r>
      <rPr>
        <sz val="12"/>
        <color theme="1"/>
        <rFont val="Calibri"/>
        <family val="2"/>
        <scheme val="minor"/>
      </rPr>
      <t>fhuA</t>
    </r>
  </si>
  <si>
    <t>SK6621+SK5233</t>
  </si>
  <si>
    <r>
      <t>MG1655</t>
    </r>
    <r>
      <rPr>
        <sz val="11"/>
        <color theme="1"/>
        <rFont val="Symbol"/>
        <charset val="2"/>
      </rPr>
      <t xml:space="preserve"> D</t>
    </r>
    <r>
      <rPr>
        <sz val="12"/>
        <color theme="1"/>
        <rFont val="Calibri"/>
        <family val="2"/>
        <scheme val="minor"/>
      </rPr>
      <t>ompA</t>
    </r>
  </si>
  <si>
    <t>SK6622+SK5233</t>
  </si>
  <si>
    <t>SK620+SK5656</t>
  </si>
  <si>
    <t>SK6620+SK5656</t>
  </si>
  <si>
    <t>SK6621+SK5656</t>
  </si>
  <si>
    <t>SK6622+SK5656</t>
  </si>
  <si>
    <t>SK620+SK5700</t>
  </si>
  <si>
    <t>SK6620+SK5700</t>
  </si>
  <si>
    <t>SK6621+SK5700</t>
  </si>
  <si>
    <t>SK6622+SK5700</t>
  </si>
  <si>
    <t>*****</t>
  </si>
  <si>
    <t>SK620+SK5664</t>
  </si>
  <si>
    <t>SK6620+SK5664</t>
  </si>
  <si>
    <t>SK6621+SK5664</t>
  </si>
  <si>
    <t>SK6622+SK5664</t>
  </si>
  <si>
    <t>SK5700 (∆colB)</t>
  </si>
  <si>
    <t>R12 wt supernatant</t>
  </si>
  <si>
    <t>R12 ∆colY supernatant</t>
  </si>
  <si>
    <t>R12 ∆colB supernatant</t>
  </si>
  <si>
    <t>R12 ∆colicins supernatant</t>
  </si>
  <si>
    <t>Ratio R12/MG1655</t>
  </si>
  <si>
    <t>Ratio R12/NF_6988 D1</t>
  </si>
  <si>
    <t>Ratio R12/NF_6988 D8</t>
  </si>
  <si>
    <t>Ratio R12/NF_6988 D9</t>
  </si>
  <si>
    <t>Ratio R12Dcomplete/NF_6988 D1</t>
  </si>
  <si>
    <t>Ratio R12Dcomplete/NF_6988 D8</t>
  </si>
  <si>
    <t>Ratio R12Dcomplete/NF_6988D9</t>
  </si>
  <si>
    <t>efficient colonization</t>
  </si>
  <si>
    <t>non-efficient colonization</t>
  </si>
  <si>
    <t>Figure 3F</t>
  </si>
  <si>
    <t xml:space="preserve"> Δcomplete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</si>
</sst>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E+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555555"/>
      <name val="Tahoma"/>
      <family val="2"/>
    </font>
    <font>
      <b/>
      <sz val="18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Symbol"/>
      <charset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5" fillId="0" borderId="0" xfId="0" applyFont="1"/>
    <xf numFmtId="0" fontId="5" fillId="2" borderId="0" xfId="0" applyFont="1" applyFill="1"/>
    <xf numFmtId="0" fontId="0" fillId="2" borderId="0" xfId="0" applyFill="1"/>
    <xf numFmtId="0" fontId="7" fillId="0" borderId="0" xfId="0" applyFont="1"/>
    <xf numFmtId="0" fontId="0" fillId="3" borderId="0" xfId="0" applyFill="1"/>
    <xf numFmtId="0" fontId="0" fillId="3" borderId="7" xfId="0" applyFill="1" applyBorder="1"/>
    <xf numFmtId="0" fontId="0" fillId="4" borderId="0" xfId="0" applyFill="1"/>
    <xf numFmtId="0" fontId="0" fillId="4" borderId="7" xfId="0" applyFill="1" applyBorder="1"/>
    <xf numFmtId="0" fontId="0" fillId="5" borderId="0" xfId="0" applyFill="1"/>
    <xf numFmtId="0" fontId="0" fillId="5" borderId="7" xfId="0" applyFill="1" applyBorder="1"/>
    <xf numFmtId="0" fontId="0" fillId="6" borderId="0" xfId="0" applyFill="1"/>
    <xf numFmtId="9" fontId="0" fillId="0" borderId="0" xfId="0" applyNumberFormat="1"/>
    <xf numFmtId="0" fontId="0" fillId="7" borderId="0" xfId="0" applyFill="1"/>
    <xf numFmtId="0" fontId="0" fillId="8" borderId="0" xfId="0" applyFill="1"/>
    <xf numFmtId="0" fontId="0" fillId="7" borderId="7" xfId="0" applyFill="1" applyBorder="1"/>
    <xf numFmtId="10" fontId="0" fillId="0" borderId="0" xfId="0" applyNumberFormat="1"/>
    <xf numFmtId="9" fontId="0" fillId="0" borderId="7" xfId="0" applyNumberFormat="1" applyBorder="1"/>
    <xf numFmtId="10" fontId="0" fillId="0" borderId="7" xfId="0" applyNumberFormat="1" applyBorder="1"/>
    <xf numFmtId="0" fontId="0" fillId="3" borderId="2" xfId="0" applyFill="1" applyBorder="1"/>
    <xf numFmtId="164" fontId="0" fillId="0" borderId="2" xfId="0" applyNumberFormat="1" applyBorder="1"/>
    <xf numFmtId="10" fontId="0" fillId="0" borderId="2" xfId="0" applyNumberFormat="1" applyBorder="1"/>
    <xf numFmtId="164" fontId="0" fillId="0" borderId="0" xfId="0" applyNumberFormat="1"/>
    <xf numFmtId="0" fontId="0" fillId="4" borderId="2" xfId="0" applyFill="1" applyBorder="1"/>
    <xf numFmtId="0" fontId="0" fillId="5" borderId="2" xfId="0" applyFill="1" applyBorder="1"/>
    <xf numFmtId="0" fontId="6" fillId="9" borderId="2" xfId="0" applyFont="1" applyFill="1" applyBorder="1"/>
    <xf numFmtId="164" fontId="6" fillId="9" borderId="2" xfId="0" applyNumberFormat="1" applyFont="1" applyFill="1" applyBorder="1"/>
    <xf numFmtId="10" fontId="6" fillId="9" borderId="2" xfId="0" applyNumberFormat="1" applyFont="1" applyFill="1" applyBorder="1"/>
    <xf numFmtId="0" fontId="0" fillId="9" borderId="0" xfId="0" applyFill="1"/>
    <xf numFmtId="0" fontId="5" fillId="4" borderId="0" xfId="0" applyFont="1" applyFill="1"/>
    <xf numFmtId="0" fontId="8" fillId="4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/>
    <xf numFmtId="0" fontId="9" fillId="0" borderId="3" xfId="0" applyFont="1" applyBorder="1"/>
    <xf numFmtId="0" fontId="0" fillId="0" borderId="1" xfId="0" applyBorder="1"/>
    <xf numFmtId="0" fontId="9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10" borderId="0" xfId="0" applyFill="1"/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DD8EF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[3]Sheet1!$AB$21:$AB$26</c:f>
                <c:numCache>
                  <c:formatCode>General</c:formatCode>
                  <c:ptCount val="6"/>
                  <c:pt idx="0">
                    <c:v>3015.5270088058555</c:v>
                  </c:pt>
                  <c:pt idx="1">
                    <c:v>2817.146731898446</c:v>
                  </c:pt>
                  <c:pt idx="2">
                    <c:v>2394.0676165213981</c:v>
                  </c:pt>
                  <c:pt idx="3">
                    <c:v>279.10665442687088</c:v>
                  </c:pt>
                  <c:pt idx="4">
                    <c:v>24.247485602904288</c:v>
                  </c:pt>
                  <c:pt idx="5">
                    <c:v>7997.1383714405129</c:v>
                  </c:pt>
                </c:numCache>
              </c:numRef>
            </c:plus>
            <c:minus>
              <c:numRef>
                <c:f>[3]Sheet1!$AB$21:$AB$26</c:f>
                <c:numCache>
                  <c:formatCode>General</c:formatCode>
                  <c:ptCount val="6"/>
                  <c:pt idx="0">
                    <c:v>3015.5270088058555</c:v>
                  </c:pt>
                  <c:pt idx="1">
                    <c:v>2817.146731898446</c:v>
                  </c:pt>
                  <c:pt idx="2">
                    <c:v>2394.0676165213981</c:v>
                  </c:pt>
                  <c:pt idx="3">
                    <c:v>279.10665442687088</c:v>
                  </c:pt>
                  <c:pt idx="4">
                    <c:v>24.247485602904288</c:v>
                  </c:pt>
                  <c:pt idx="5">
                    <c:v>7997.1383714405129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[3]Sheet1!$Z$21:$Z$26</c:f>
              <c:strCache>
                <c:ptCount val="6"/>
                <c:pt idx="0">
                  <c:v>SK620</c:v>
                </c:pt>
                <c:pt idx="1">
                  <c:v>SK6620</c:v>
                </c:pt>
                <c:pt idx="2">
                  <c:v>SK6621</c:v>
                </c:pt>
                <c:pt idx="3">
                  <c:v>SK6622</c:v>
                </c:pt>
                <c:pt idx="4">
                  <c:v>SK6864</c:v>
                </c:pt>
                <c:pt idx="5">
                  <c:v>SK6865</c:v>
                </c:pt>
              </c:strCache>
            </c:strRef>
          </c:cat>
          <c:val>
            <c:numRef>
              <c:f>[3]Sheet1!$AA$21:$AA$26</c:f>
              <c:numCache>
                <c:formatCode>General</c:formatCode>
                <c:ptCount val="6"/>
                <c:pt idx="0">
                  <c:v>21227.404571427109</c:v>
                </c:pt>
                <c:pt idx="1">
                  <c:v>21437.271394911175</c:v>
                </c:pt>
                <c:pt idx="2">
                  <c:v>17061.522762564371</c:v>
                </c:pt>
                <c:pt idx="3">
                  <c:v>1744.5192920927836</c:v>
                </c:pt>
                <c:pt idx="4">
                  <c:v>248.37114987917815</c:v>
                </c:pt>
                <c:pt idx="5">
                  <c:v>28492.173137279784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F-8247-95C2-B2C14F028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887856"/>
        <c:axId val="1097239472"/>
      </c:barChart>
      <c:catAx>
        <c:axId val="10968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7239472"/>
        <c:crosses val="autoZero"/>
        <c:auto val="1"/>
        <c:lblAlgn val="ctr"/>
        <c:lblOffset val="100"/>
        <c:noMultiLvlLbl val="0"/>
      </c:catAx>
      <c:valAx>
        <c:axId val="1097239472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Competitive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68878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DD8EF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2 - Colicins'!$X$26:$X$34</c:f>
                <c:numCache>
                  <c:formatCode>General</c:formatCode>
                  <c:ptCount val="9"/>
                  <c:pt idx="0">
                    <c:v>2.9427974216952726E-2</c:v>
                  </c:pt>
                  <c:pt idx="1">
                    <c:v>1.1555951431457991</c:v>
                  </c:pt>
                  <c:pt idx="2">
                    <c:v>0.11829447198901392</c:v>
                  </c:pt>
                  <c:pt idx="3">
                    <c:v>8.9917108809700594E-2</c:v>
                  </c:pt>
                  <c:pt idx="5">
                    <c:v>8.636310988583748E-2</c:v>
                  </c:pt>
                  <c:pt idx="6">
                    <c:v>4.756427429148493E-2</c:v>
                  </c:pt>
                  <c:pt idx="7">
                    <c:v>9.1196620374121795E-2</c:v>
                  </c:pt>
                  <c:pt idx="8">
                    <c:v>4.3600983317269949E-2</c:v>
                  </c:pt>
                </c:numCache>
              </c:numRef>
            </c:plus>
            <c:minus>
              <c:numRef>
                <c:f>'Figure 2 - Colicins'!$X$26:$X$34</c:f>
                <c:numCache>
                  <c:formatCode>General</c:formatCode>
                  <c:ptCount val="9"/>
                  <c:pt idx="0">
                    <c:v>2.9427974216952726E-2</c:v>
                  </c:pt>
                  <c:pt idx="1">
                    <c:v>1.1555951431457991</c:v>
                  </c:pt>
                  <c:pt idx="2">
                    <c:v>0.11829447198901392</c:v>
                  </c:pt>
                  <c:pt idx="3">
                    <c:v>8.9917108809700594E-2</c:v>
                  </c:pt>
                  <c:pt idx="5">
                    <c:v>8.636310988583748E-2</c:v>
                  </c:pt>
                  <c:pt idx="6">
                    <c:v>4.756427429148493E-2</c:v>
                  </c:pt>
                  <c:pt idx="7">
                    <c:v>9.1196620374121795E-2</c:v>
                  </c:pt>
                  <c:pt idx="8">
                    <c:v>4.3600983317269949E-2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'Figure 2 - Colicins'!$V$26:$V$34</c:f>
              <c:strCache>
                <c:ptCount val="9"/>
                <c:pt idx="0">
                  <c:v>SK3573 vs SK5233 </c:v>
                </c:pt>
                <c:pt idx="1">
                  <c:v>SK3573 vs SK5654</c:v>
                </c:pt>
                <c:pt idx="2">
                  <c:v>SK3573 vs SK5700</c:v>
                </c:pt>
                <c:pt idx="3">
                  <c:v>SK3573 vs SK5699</c:v>
                </c:pt>
                <c:pt idx="5">
                  <c:v>SK5596 vs SK5233</c:v>
                </c:pt>
                <c:pt idx="6">
                  <c:v>SK5596 vs SK5654 </c:v>
                </c:pt>
                <c:pt idx="7">
                  <c:v>SK5596 vs SK5700 </c:v>
                </c:pt>
                <c:pt idx="8">
                  <c:v>SK5596 vs SK5699</c:v>
                </c:pt>
              </c:strCache>
            </c:strRef>
          </c:cat>
          <c:val>
            <c:numRef>
              <c:f>'Figure 2 - Colicins'!$W$26:$W$34</c:f>
              <c:numCache>
                <c:formatCode>General</c:formatCode>
                <c:ptCount val="9"/>
                <c:pt idx="0">
                  <c:v>0.39463752718582262</c:v>
                </c:pt>
                <c:pt idx="1">
                  <c:v>9.9240365601894656</c:v>
                </c:pt>
                <c:pt idx="2">
                  <c:v>1.1296291946162749</c:v>
                </c:pt>
                <c:pt idx="3">
                  <c:v>0.4583570218356538</c:v>
                </c:pt>
                <c:pt idx="5">
                  <c:v>0.32349872088326376</c:v>
                </c:pt>
                <c:pt idx="6">
                  <c:v>0.23050052066352114</c:v>
                </c:pt>
                <c:pt idx="7">
                  <c:v>1.0282773133490941</c:v>
                </c:pt>
                <c:pt idx="8">
                  <c:v>0.31203040706748059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9-F94E-B779-8832B223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887856"/>
        <c:axId val="1097239472"/>
      </c:barChart>
      <c:catAx>
        <c:axId val="10968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7239472"/>
        <c:crosses val="autoZero"/>
        <c:auto val="1"/>
        <c:lblAlgn val="ctr"/>
        <c:lblOffset val="100"/>
        <c:noMultiLvlLbl val="0"/>
      </c:catAx>
      <c:valAx>
        <c:axId val="1097239472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68878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DD8EF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2 - CDI'!$AB$32:$AB$40</c:f>
                <c:numCache>
                  <c:formatCode>General</c:formatCode>
                  <c:ptCount val="9"/>
                  <c:pt idx="0">
                    <c:v>0.68468697407470058</c:v>
                  </c:pt>
                  <c:pt idx="1">
                    <c:v>0.21278451998103634</c:v>
                  </c:pt>
                  <c:pt idx="2">
                    <c:v>0.12802984591633687</c:v>
                  </c:pt>
                  <c:pt idx="3">
                    <c:v>0.19286543017223098</c:v>
                  </c:pt>
                  <c:pt idx="5">
                    <c:v>1.8826304130015437</c:v>
                  </c:pt>
                  <c:pt idx="6">
                    <c:v>0.16853655083982463</c:v>
                  </c:pt>
                  <c:pt idx="7">
                    <c:v>6.3236926479774885E-2</c:v>
                  </c:pt>
                  <c:pt idx="8">
                    <c:v>0.13796555434962884</c:v>
                  </c:pt>
                </c:numCache>
              </c:numRef>
            </c:plus>
            <c:minus>
              <c:numRef>
                <c:f>'Figure 2 - CDI'!$AB$32:$AB$40</c:f>
                <c:numCache>
                  <c:formatCode>General</c:formatCode>
                  <c:ptCount val="9"/>
                  <c:pt idx="0">
                    <c:v>0.68468697407470058</c:v>
                  </c:pt>
                  <c:pt idx="1">
                    <c:v>0.21278451998103634</c:v>
                  </c:pt>
                  <c:pt idx="2">
                    <c:v>0.12802984591633687</c:v>
                  </c:pt>
                  <c:pt idx="3">
                    <c:v>0.19286543017223098</c:v>
                  </c:pt>
                  <c:pt idx="5">
                    <c:v>1.8826304130015437</c:v>
                  </c:pt>
                  <c:pt idx="6">
                    <c:v>0.16853655083982463</c:v>
                  </c:pt>
                  <c:pt idx="7">
                    <c:v>6.3236926479774885E-2</c:v>
                  </c:pt>
                  <c:pt idx="8">
                    <c:v>0.13796555434962884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'Figure 2 - CDI'!$Z$32:$Z$40</c:f>
              <c:strCache>
                <c:ptCount val="9"/>
                <c:pt idx="0">
                  <c:v>SK3573 vs SK4576</c:v>
                </c:pt>
                <c:pt idx="1">
                  <c:v>SK3573 vs SK4868</c:v>
                </c:pt>
                <c:pt idx="2">
                  <c:v>SK4524 vs SK4576</c:v>
                </c:pt>
                <c:pt idx="3">
                  <c:v>SK4524 vs SK4868</c:v>
                </c:pt>
                <c:pt idx="5">
                  <c:v>SK3572 vs SK4395</c:v>
                </c:pt>
                <c:pt idx="6">
                  <c:v>SK3573 vs SK6982</c:v>
                </c:pt>
                <c:pt idx="7">
                  <c:v>SK4352 vs SK4395</c:v>
                </c:pt>
                <c:pt idx="8">
                  <c:v>SK4352 vs SK6982</c:v>
                </c:pt>
              </c:strCache>
            </c:strRef>
          </c:cat>
          <c:val>
            <c:numRef>
              <c:f>'Figure 2 - CDI'!$AA$32:$AA$40</c:f>
              <c:numCache>
                <c:formatCode>General</c:formatCode>
                <c:ptCount val="9"/>
                <c:pt idx="0">
                  <c:v>8.908063982388466</c:v>
                </c:pt>
                <c:pt idx="1">
                  <c:v>1.693415023125836</c:v>
                </c:pt>
                <c:pt idx="2">
                  <c:v>1.2774227275693024</c:v>
                </c:pt>
                <c:pt idx="3">
                  <c:v>1.6240252050448278</c:v>
                </c:pt>
                <c:pt idx="5">
                  <c:v>13.889038931288908</c:v>
                </c:pt>
                <c:pt idx="6">
                  <c:v>1.4142823781421476</c:v>
                </c:pt>
                <c:pt idx="7">
                  <c:v>1.4011516735457403</c:v>
                </c:pt>
                <c:pt idx="8">
                  <c:v>1.2303609093972747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9-F94E-B779-8832B223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887856"/>
        <c:axId val="1097239472"/>
      </c:barChart>
      <c:catAx>
        <c:axId val="10968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7239472"/>
        <c:crosses val="autoZero"/>
        <c:auto val="1"/>
        <c:lblAlgn val="ctr"/>
        <c:lblOffset val="100"/>
        <c:noMultiLvlLbl val="0"/>
      </c:catAx>
      <c:valAx>
        <c:axId val="1097239472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chemeClr val="tx1"/>
                    </a:solidFill>
                  </a:rPr>
                  <a:t>Competitive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68878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DD8EF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[2]Sheet2!$X$9:$X$12</c:f>
                <c:numCache>
                  <c:formatCode>General</c:formatCode>
                  <c:ptCount val="4"/>
                  <c:pt idx="0">
                    <c:v>8.8264832614691425E-4</c:v>
                  </c:pt>
                  <c:pt idx="1">
                    <c:v>0.4861690983735828</c:v>
                  </c:pt>
                  <c:pt idx="2">
                    <c:v>20514.627952313313</c:v>
                  </c:pt>
                  <c:pt idx="3">
                    <c:v>5.3002391017398535E-4</c:v>
                  </c:pt>
                </c:numCache>
              </c:numRef>
            </c:plus>
            <c:minus>
              <c:numRef>
                <c:f>[2]Sheet2!$X$9:$X$12</c:f>
                <c:numCache>
                  <c:formatCode>General</c:formatCode>
                  <c:ptCount val="4"/>
                  <c:pt idx="0">
                    <c:v>8.8264832614691425E-4</c:v>
                  </c:pt>
                  <c:pt idx="1">
                    <c:v>0.4861690983735828</c:v>
                  </c:pt>
                  <c:pt idx="2">
                    <c:v>20514.627952313313</c:v>
                  </c:pt>
                  <c:pt idx="3">
                    <c:v>5.3002391017398535E-4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[2]Sheet2!$V$9:$V$12</c:f>
              <c:strCache>
                <c:ptCount val="4"/>
                <c:pt idx="0">
                  <c:v>SK6555 vs SK6988 1:10 </c:v>
                </c:pt>
                <c:pt idx="1">
                  <c:v>SK6555 vs SK6988 1:1 ratio </c:v>
                </c:pt>
                <c:pt idx="2">
                  <c:v>SK3573 vs SK7046 10:1 </c:v>
                </c:pt>
                <c:pt idx="3">
                  <c:v>SK5920 vs SK6988 1:1 ratio</c:v>
                </c:pt>
              </c:strCache>
            </c:strRef>
          </c:cat>
          <c:val>
            <c:numRef>
              <c:f>[2]Sheet2!$W$9:$W$12</c:f>
              <c:numCache>
                <c:formatCode>General</c:formatCode>
                <c:ptCount val="4"/>
                <c:pt idx="0">
                  <c:v>4.0770161406906598E-3</c:v>
                </c:pt>
                <c:pt idx="1">
                  <c:v>1.9824436339522546</c:v>
                </c:pt>
                <c:pt idx="2">
                  <c:v>31422.768312003413</c:v>
                </c:pt>
                <c:pt idx="3">
                  <c:v>2.3891298224210343E-3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D-8D47-8444-9187D62AB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887856"/>
        <c:axId val="1097239472"/>
      </c:barChart>
      <c:catAx>
        <c:axId val="10968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7239472"/>
        <c:crosses val="autoZero"/>
        <c:auto val="1"/>
        <c:lblAlgn val="ctr"/>
        <c:lblOffset val="100"/>
        <c:noMultiLvlLbl val="0"/>
      </c:catAx>
      <c:valAx>
        <c:axId val="1097239472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Competitive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68878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BDD8EF"/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ptCount val="0"/>
              </c:numLit>
            </c:plus>
            <c:minus>
              <c:numLit>
                <c:ptCount val="0"/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[4]Sheet1!$T$28:$T$35</c:f>
              <c:strCache>
                <c:ptCount val="8"/>
                <c:pt idx="0">
                  <c:v>SK3573 vs SK3525 </c:v>
                </c:pt>
                <c:pt idx="1">
                  <c:v>SK3573 vs SK6619 </c:v>
                </c:pt>
                <c:pt idx="2">
                  <c:v>SK5664 vs SK3525 </c:v>
                </c:pt>
                <c:pt idx="3">
                  <c:v>SK5664 vs SK6619 </c:v>
                </c:pt>
                <c:pt idx="4">
                  <c:v>SK6557 vs SK3525 </c:v>
                </c:pt>
                <c:pt idx="5">
                  <c:v>SK6557 vs SK6619 </c:v>
                </c:pt>
                <c:pt idx="6">
                  <c:v>SK5920 vs SK3525 </c:v>
                </c:pt>
                <c:pt idx="7">
                  <c:v>SK5920 vs SK6619 </c:v>
                </c:pt>
              </c:strCache>
            </c:strRef>
          </c:cat>
          <c:val>
            <c:numRef>
              <c:f>[4]Sheet1!$U$28:$U$35</c:f>
              <c:numCache>
                <c:formatCode>General</c:formatCode>
                <c:ptCount val="8"/>
                <c:pt idx="0">
                  <c:v>243753.75591719049</c:v>
                </c:pt>
                <c:pt idx="1">
                  <c:v>26861.057688501416</c:v>
                </c:pt>
                <c:pt idx="2">
                  <c:v>282065.38741027581</c:v>
                </c:pt>
                <c:pt idx="3">
                  <c:v>11299.644702764688</c:v>
                </c:pt>
                <c:pt idx="4">
                  <c:v>286263.64977614977</c:v>
                </c:pt>
                <c:pt idx="5">
                  <c:v>8.1942238814587007</c:v>
                </c:pt>
                <c:pt idx="6">
                  <c:v>1.6642160567781623</c:v>
                </c:pt>
                <c:pt idx="7">
                  <c:v>2.8906578372047527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3-874E-8BBD-6F81753DF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6887856"/>
        <c:axId val="1097239472"/>
      </c:barChart>
      <c:catAx>
        <c:axId val="109688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7239472"/>
        <c:crosses val="autoZero"/>
        <c:auto val="1"/>
        <c:lblAlgn val="ctr"/>
        <c:lblOffset val="100"/>
        <c:noMultiLvlLbl val="0"/>
      </c:catAx>
      <c:valAx>
        <c:axId val="1097239472"/>
        <c:scaling>
          <c:logBase val="10"/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Helvetica" pitchFamily="2" charset="0"/>
                <a:ea typeface="+mn-ea"/>
                <a:cs typeface="+mn-cs"/>
              </a:defRPr>
            </a:pPr>
            <a:endParaRPr lang="sv-SE"/>
          </a:p>
        </c:txPr>
        <c:crossAx val="10968878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107950</xdr:colOff>
      <xdr:row>95</xdr:row>
      <xdr:rowOff>6350</xdr:rowOff>
    </xdr:from>
    <xdr:to>
      <xdr:col>29</xdr:col>
      <xdr:colOff>552450</xdr:colOff>
      <xdr:row>108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1660EB-C121-6F4E-BAEC-4B4A7009D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38100</xdr:colOff>
      <xdr:row>9</xdr:row>
      <xdr:rowOff>25400</xdr:rowOff>
    </xdr:from>
    <xdr:to>
      <xdr:col>30</xdr:col>
      <xdr:colOff>482600</xdr:colOff>
      <xdr:row>22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014DF2-7370-3B4C-9FC3-9BF89B257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27</xdr:col>
      <xdr:colOff>304800</xdr:colOff>
      <xdr:row>195</xdr:row>
      <xdr:rowOff>190499</xdr:rowOff>
    </xdr:from>
    <xdr:to>
      <xdr:col>38</xdr:col>
      <xdr:colOff>0</xdr:colOff>
      <xdr:row>223</xdr:row>
      <xdr:rowOff>70602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56D5EB0-080F-882B-0AA3-303482A6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85800" y="40068499"/>
          <a:ext cx="10223500" cy="5569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736600</xdr:colOff>
      <xdr:row>26</xdr:row>
      <xdr:rowOff>44450</xdr:rowOff>
    </xdr:from>
    <xdr:to>
      <xdr:col>34</xdr:col>
      <xdr:colOff>355600</xdr:colOff>
      <xdr:row>39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F19E9B-0646-2407-F4A6-8F5D4CC52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146050</xdr:colOff>
      <xdr:row>191</xdr:row>
      <xdr:rowOff>120650</xdr:rowOff>
    </xdr:from>
    <xdr:to>
      <xdr:col>30</xdr:col>
      <xdr:colOff>6350</xdr:colOff>
      <xdr:row>205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125537-480D-964B-AB23-5D4AAD2EC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666750</xdr:colOff>
      <xdr:row>41</xdr:row>
      <xdr:rowOff>101600</xdr:rowOff>
    </xdr:from>
    <xdr:to>
      <xdr:col>28</xdr:col>
      <xdr:colOff>285750</xdr:colOff>
      <xdr:row>55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B3787D-34E4-F146-95D1-80CB77DE4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etvi160/Documents/Research%20Projects/Project%20-%20Eco%20R12/Animal%20experiment/R12%20VI%202023/R12%20VI%20colony%20counts%20230612.xlsx" TargetMode="External"/><Relationship Id="rId2" Type="http://schemas.openxmlformats.org/officeDocument/2006/relationships/externalLinkPath" Target="/Users/petvi160/Documents/Research%20Projects/Project%20-%20Eco%20R12/Animal%20experiment/R12%20VI%202023/R12%20VI%20colony%20counts%20230612.xlsx" TargetMode="External"/><Relationship Id="rId1" Type="http://schemas.openxmlformats.org/officeDocument/2006/relationships/externalLinkPath" Target="/Users/petvi160/Documents/Research%20Projects/Project%20-%20Eco%20R12/Animal%20experiment/R12%20VI%202023/R12%20VI%20colony%20counts%2023061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etvi160/Documents/Research%20Projects/Project%20-%20Eco%20R12/SK6988%20NF%20E.%20coli%20isolate%20R12%20VI/Summary%20competitions.xlsx" TargetMode="External"/><Relationship Id="rId2" Type="http://schemas.openxmlformats.org/officeDocument/2006/relationships/externalLinkPath" Target="/Users/petvi160/Documents/Research%20Projects/Project%20-%20Eco%20R12/SK6988%20NF%20E.%20coli%20isolate%20R12%20VI/Summary%20competitions.xlsx" TargetMode="External"/><Relationship Id="rId1" Type="http://schemas.openxmlformats.org/officeDocument/2006/relationships/externalLinkPath" Target="/Users/petvi160/Documents/Research%20Projects/Project%20-%20Eco%20R12/SK6988%20NF%20E.%20coli%20isolate%20R12%20VI/Summary%20competitions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etvi160/Documents/Research%20Projects/Project%20-%20Eco%20R12/Competitions/R12%20vs%20MG1655/Colicins%20competitons/240131%20All%20bio%20reps.xlsx" TargetMode="External"/><Relationship Id="rId2" Type="http://schemas.openxmlformats.org/officeDocument/2006/relationships/externalLinkPath" Target="/Users/petvi160/Documents/Research%20Projects/Project%20-%20Eco%20R12/Competitions/R12%20vs%20MG1655/Colicins%20competitons/240131%20All%20bio%20reps.xlsx" TargetMode="External"/><Relationship Id="rId1" Type="http://schemas.openxmlformats.org/officeDocument/2006/relationships/externalLinkPath" Target="/Users/petvi160/Documents/Research%20Projects/Project%20-%20Eco%20R12/Competitions/R12%20vs%20MG1655/Colicins%20competitons/240131%20All%20bio%20reps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etvi160/Documents/Research%20Projects/Project%20-%20Eco%20R12/Competitions/Full%20length%20LPS/230119%20Competitions%20M9%20solid%20MG1655%20full%20length%20LPS%20SK6619.xlsx" TargetMode="External"/><Relationship Id="rId2" Type="http://schemas.openxmlformats.org/officeDocument/2006/relationships/externalLinkPath" Target="/Users/petvi160/Documents/Research%20Projects/Project%20-%20Eco%20R12/Competitions/Full%20length%20LPS/230119%20Competitions%20M9%20solid%20MG1655%20full%20length%20LPS%20SK6619.xlsx" TargetMode="External"/><Relationship Id="rId1" Type="http://schemas.openxmlformats.org/officeDocument/2006/relationships/externalLinkPath" Target="/Users/petvi160/Documents/Research%20Projects/Project%20-%20Eco%20R12/Competitions/Full%20length%20LPS/230119%20Competitions%20M9%20solid%20MG1655%20full%20length%20LPS%20SK66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76">
          <cell r="E176">
            <v>0.81720430107526887</v>
          </cell>
          <cell r="F176">
            <v>0.29772727272727273</v>
          </cell>
          <cell r="G176">
            <v>0.12698412698412698</v>
          </cell>
          <cell r="H176">
            <v>0.12093023255813952</v>
          </cell>
          <cell r="I176">
            <v>2.8048780487804879E-2</v>
          </cell>
        </row>
        <row r="177">
          <cell r="E177">
            <v>1.0714285714285714</v>
          </cell>
          <cell r="F177">
            <v>7.5000000000000006E-3</v>
          </cell>
          <cell r="G177">
            <v>0.10344827586206896</v>
          </cell>
          <cell r="H177">
            <v>3.2432432432432431E-3</v>
          </cell>
          <cell r="I177">
            <v>1.0546875000000001E-2</v>
          </cell>
        </row>
        <row r="178">
          <cell r="E178">
            <v>0.38513513513513514</v>
          </cell>
          <cell r="F178">
            <v>4.6370967741935484E-2</v>
          </cell>
          <cell r="G178">
            <v>0.39560439560439559</v>
          </cell>
          <cell r="H178">
            <v>0.22777777777777777</v>
          </cell>
          <cell r="I178">
            <v>0.11940298507462685</v>
          </cell>
        </row>
        <row r="179">
          <cell r="E179">
            <v>0.86</v>
          </cell>
          <cell r="F179">
            <v>2.0618556701030927E-2</v>
          </cell>
          <cell r="G179">
            <v>0.79558011049723765</v>
          </cell>
          <cell r="H179">
            <v>0.75757575757575757</v>
          </cell>
          <cell r="I179">
            <v>9.0000000000000011E-2</v>
          </cell>
        </row>
        <row r="180">
          <cell r="E180">
            <v>0.69072164948453607</v>
          </cell>
          <cell r="F180">
            <v>3.7499999999999999E-2</v>
          </cell>
          <cell r="G180">
            <v>2.2222222222222223E-2</v>
          </cell>
          <cell r="H180">
            <v>1.2727272727272728E-2</v>
          </cell>
          <cell r="I180">
            <v>2.2388059701492539E-3</v>
          </cell>
        </row>
        <row r="181">
          <cell r="E181">
            <v>0.83116883116883122</v>
          </cell>
          <cell r="F181">
            <v>2.0833333333333332E-2</v>
          </cell>
          <cell r="G181">
            <v>0.38114754098360654</v>
          </cell>
          <cell r="H181">
            <v>0.14482758620689656</v>
          </cell>
          <cell r="I181">
            <v>0.10097087378640776</v>
          </cell>
          <cell r="L181">
            <v>8.130081300813009E-3</v>
          </cell>
        </row>
        <row r="182">
          <cell r="E182">
            <v>0.93617021276595747</v>
          </cell>
          <cell r="F182">
            <v>6.035502958579881E-2</v>
          </cell>
          <cell r="G182">
            <v>0.44881889763779531</v>
          </cell>
          <cell r="H182">
            <v>9.8425196850393706E-2</v>
          </cell>
          <cell r="I182">
            <v>4.0625000000000001E-2</v>
          </cell>
          <cell r="L182">
            <v>8.4615384615384613E-3</v>
          </cell>
        </row>
        <row r="183">
          <cell r="E183">
            <v>0.59541984732824427</v>
          </cell>
          <cell r="F183">
            <v>7.18562874251497E-3</v>
          </cell>
          <cell r="G183">
            <v>1.4545454545454544E-2</v>
          </cell>
          <cell r="H183">
            <v>3.9473684210526317E-3</v>
          </cell>
          <cell r="I183">
            <v>1.5873015873015871E-3</v>
          </cell>
          <cell r="L183">
            <v>0</v>
          </cell>
        </row>
        <row r="190">
          <cell r="E190" t="str">
            <v>D1</v>
          </cell>
          <cell r="F190" t="str">
            <v>D2</v>
          </cell>
          <cell r="G190" t="str">
            <v>D3</v>
          </cell>
          <cell r="H190" t="str">
            <v>D4</v>
          </cell>
          <cell r="I190" t="str">
            <v>D5</v>
          </cell>
        </row>
        <row r="191">
          <cell r="E191">
            <v>1</v>
          </cell>
          <cell r="F191">
            <v>0.25376320422535215</v>
          </cell>
          <cell r="G191">
            <v>7.9478061210203371E-2</v>
          </cell>
          <cell r="H191">
            <v>0.11080228599981282</v>
          </cell>
          <cell r="I191">
            <v>2.6331761058152148E-2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/>
      <sheetData sheetId="1">
        <row r="9">
          <cell r="V9" t="str">
            <v xml:space="preserve">SK6555 vs SK6988 1:10 </v>
          </cell>
          <cell r="W9">
            <v>4.0770161406906598E-3</v>
          </cell>
          <cell r="X9">
            <v>8.8264832614691425E-4</v>
          </cell>
        </row>
        <row r="10">
          <cell r="V10" t="str">
            <v xml:space="preserve">SK6555 vs SK6988 1:1 ratio </v>
          </cell>
          <cell r="W10">
            <v>1.9824436339522546</v>
          </cell>
          <cell r="X10">
            <v>0.4861690983735828</v>
          </cell>
        </row>
        <row r="11">
          <cell r="V11" t="str">
            <v xml:space="preserve">SK3573 vs SK7046 10:1 </v>
          </cell>
          <cell r="W11">
            <v>31422.768312003413</v>
          </cell>
          <cell r="X11">
            <v>20514.627952313313</v>
          </cell>
        </row>
        <row r="12">
          <cell r="V12" t="str">
            <v>SK5920 vs SK6988 1:1 ratio</v>
          </cell>
          <cell r="W12">
            <v>2.3891298224210343E-3</v>
          </cell>
          <cell r="X12">
            <v>5.3002391017398535E-4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21">
          <cell r="Z21" t="str">
            <v>SK620</v>
          </cell>
          <cell r="AA21">
            <v>21227.404571427109</v>
          </cell>
          <cell r="AB21">
            <v>3015.5270088058555</v>
          </cell>
        </row>
        <row r="22">
          <cell r="Z22" t="str">
            <v>SK6620</v>
          </cell>
          <cell r="AA22">
            <v>21437.271394911175</v>
          </cell>
          <cell r="AB22">
            <v>2817.146731898446</v>
          </cell>
        </row>
        <row r="23">
          <cell r="Z23" t="str">
            <v>SK6621</v>
          </cell>
          <cell r="AA23">
            <v>17061.522762564371</v>
          </cell>
          <cell r="AB23">
            <v>2394.0676165213981</v>
          </cell>
        </row>
        <row r="24">
          <cell r="Z24" t="str">
            <v>SK6622</v>
          </cell>
          <cell r="AA24">
            <v>1744.5192920927836</v>
          </cell>
          <cell r="AB24">
            <v>279.10665442687088</v>
          </cell>
        </row>
        <row r="25">
          <cell r="Z25" t="str">
            <v>SK6864</v>
          </cell>
          <cell r="AA25">
            <v>248.37114987917815</v>
          </cell>
          <cell r="AB25">
            <v>24.247485602904288</v>
          </cell>
        </row>
        <row r="26">
          <cell r="Z26" t="str">
            <v>SK6865</v>
          </cell>
          <cell r="AA26">
            <v>28492.173137279784</v>
          </cell>
          <cell r="AB26">
            <v>7997.1383714405129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28">
          <cell r="T28" t="str">
            <v xml:space="preserve">SK3573 vs SK3525 </v>
          </cell>
          <cell r="U28">
            <v>243753.75591719049</v>
          </cell>
        </row>
        <row r="29">
          <cell r="T29" t="str">
            <v xml:space="preserve">SK3573 vs SK6619 </v>
          </cell>
          <cell r="U29">
            <v>26861.057688501416</v>
          </cell>
        </row>
        <row r="30">
          <cell r="T30" t="str">
            <v xml:space="preserve">SK5664 vs SK3525 </v>
          </cell>
          <cell r="U30">
            <v>282065.38741027581</v>
          </cell>
        </row>
        <row r="31">
          <cell r="T31" t="str">
            <v xml:space="preserve">SK5664 vs SK6619 </v>
          </cell>
          <cell r="U31">
            <v>11299.644702764688</v>
          </cell>
        </row>
        <row r="32">
          <cell r="T32" t="str">
            <v xml:space="preserve">SK6557 vs SK3525 </v>
          </cell>
          <cell r="U32">
            <v>286263.64977614977</v>
          </cell>
        </row>
        <row r="33">
          <cell r="T33" t="str">
            <v xml:space="preserve">SK6557 vs SK6619 </v>
          </cell>
          <cell r="U33">
            <v>8.1942238814587007</v>
          </cell>
        </row>
        <row r="34">
          <cell r="T34" t="str">
            <v xml:space="preserve">SK5920 vs SK3525 </v>
          </cell>
          <cell r="U34">
            <v>1.6642160567781623</v>
          </cell>
        </row>
        <row r="35">
          <cell r="T35" t="str">
            <v xml:space="preserve">SK5920 vs SK6619 </v>
          </cell>
          <cell r="U35">
            <v>2.8906578372047527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A44D-33AB-1F4E-895C-449904BF3006}">
  <dimension ref="A1:AS22"/>
  <sheetViews>
    <sheetView topLeftCell="Y1" workbookViewId="0">
      <selection activeCell="G27" sqref="G27"/>
    </sheetView>
  </sheetViews>
  <sheetFormatPr baseColWidth="10" defaultRowHeight="16" x14ac:dyDescent="0.2"/>
  <cols>
    <col min="2" max="2" width="18.5" customWidth="1"/>
    <col min="3" max="3" width="20.83203125" customWidth="1"/>
    <col min="19" max="19" width="22.6640625" customWidth="1"/>
  </cols>
  <sheetData>
    <row r="1" spans="1:45" x14ac:dyDescent="0.2">
      <c r="A1" t="s">
        <v>14</v>
      </c>
    </row>
    <row r="3" spans="1:45" x14ac:dyDescent="0.2">
      <c r="S3" t="s">
        <v>40</v>
      </c>
    </row>
    <row r="4" spans="1:45" x14ac:dyDescent="0.2">
      <c r="B4" t="s">
        <v>52</v>
      </c>
      <c r="C4" t="s">
        <v>49</v>
      </c>
      <c r="D4" t="s">
        <v>38</v>
      </c>
      <c r="E4" t="s">
        <v>15</v>
      </c>
      <c r="F4" t="s">
        <v>39</v>
      </c>
      <c r="G4" t="s">
        <v>15</v>
      </c>
      <c r="H4" t="s">
        <v>50</v>
      </c>
      <c r="I4" t="s">
        <v>16</v>
      </c>
      <c r="J4" t="s">
        <v>17</v>
      </c>
      <c r="K4" t="s">
        <v>18</v>
      </c>
      <c r="L4" t="s">
        <v>17</v>
      </c>
      <c r="M4" s="1" t="s">
        <v>51</v>
      </c>
      <c r="N4" s="1" t="s">
        <v>19</v>
      </c>
      <c r="O4" s="1" t="s">
        <v>20</v>
      </c>
      <c r="P4" s="1" t="s">
        <v>21</v>
      </c>
      <c r="Q4" s="1" t="s">
        <v>20</v>
      </c>
      <c r="R4" s="1"/>
      <c r="S4" s="1" t="s">
        <v>41</v>
      </c>
      <c r="T4" s="1" t="s">
        <v>22</v>
      </c>
      <c r="U4" s="1" t="s">
        <v>23</v>
      </c>
      <c r="V4" s="1" t="s">
        <v>42</v>
      </c>
      <c r="W4" s="1" t="s">
        <v>24</v>
      </c>
      <c r="X4" s="1" t="s">
        <v>25</v>
      </c>
      <c r="Y4" s="1" t="s">
        <v>43</v>
      </c>
      <c r="Z4" s="1" t="s">
        <v>26</v>
      </c>
      <c r="AA4" s="1" t="s">
        <v>27</v>
      </c>
      <c r="AB4" s="1" t="s">
        <v>44</v>
      </c>
      <c r="AC4" s="1" t="s">
        <v>28</v>
      </c>
      <c r="AD4" s="1" t="s">
        <v>29</v>
      </c>
      <c r="AE4" s="1" t="s">
        <v>45</v>
      </c>
      <c r="AF4" s="1" t="s">
        <v>30</v>
      </c>
      <c r="AG4" s="1" t="s">
        <v>31</v>
      </c>
      <c r="AH4" s="1" t="s">
        <v>46</v>
      </c>
      <c r="AI4" s="1" t="s">
        <v>32</v>
      </c>
      <c r="AJ4" s="1" t="s">
        <v>33</v>
      </c>
      <c r="AK4" s="1" t="s">
        <v>47</v>
      </c>
      <c r="AL4" s="1" t="s">
        <v>34</v>
      </c>
      <c r="AM4" s="1" t="s">
        <v>35</v>
      </c>
      <c r="AN4" s="1" t="s">
        <v>48</v>
      </c>
      <c r="AO4" s="1" t="s">
        <v>36</v>
      </c>
      <c r="AP4" s="1" t="s">
        <v>37</v>
      </c>
      <c r="AQ4" s="1"/>
    </row>
    <row r="5" spans="1:45" x14ac:dyDescent="0.2">
      <c r="B5" t="s">
        <v>5</v>
      </c>
      <c r="C5">
        <f>1.022-0.974</f>
        <v>4.8000000000000043E-2</v>
      </c>
      <c r="D5">
        <v>358</v>
      </c>
      <c r="E5">
        <f>D5/C5</f>
        <v>7458.3333333333267</v>
      </c>
      <c r="F5">
        <v>198</v>
      </c>
      <c r="G5">
        <f t="shared" ref="G5:G12" si="0">F5/C5</f>
        <v>4124.9999999999964</v>
      </c>
      <c r="H5">
        <f>1.075-1.032</f>
        <v>4.2999999999999927E-2</v>
      </c>
      <c r="I5">
        <v>55</v>
      </c>
      <c r="J5">
        <f>I5/H5</f>
        <v>1279.0697674418627</v>
      </c>
      <c r="K5">
        <v>9</v>
      </c>
      <c r="L5">
        <f>K5/H5</f>
        <v>209.30232558139571</v>
      </c>
      <c r="M5">
        <f>1.045-0.976</f>
        <v>6.899999999999995E-2</v>
      </c>
      <c r="N5">
        <f>29*10^1</f>
        <v>290</v>
      </c>
      <c r="O5">
        <f>N5/M5</f>
        <v>4202.8985507246407</v>
      </c>
      <c r="P5">
        <f>26*10^1</f>
        <v>260</v>
      </c>
      <c r="Q5">
        <f>P5/M5</f>
        <v>3768.1159420289882</v>
      </c>
      <c r="S5">
        <f>1.06-0.973</f>
        <v>8.7000000000000077E-2</v>
      </c>
      <c r="T5">
        <f>60*10^2</f>
        <v>6000</v>
      </c>
      <c r="U5">
        <f>T5/S5</f>
        <v>68965.517241379246</v>
      </c>
      <c r="V5">
        <f>1.092-0.973</f>
        <v>0.11900000000000011</v>
      </c>
      <c r="W5">
        <v>55</v>
      </c>
      <c r="X5">
        <f>W5/V5</f>
        <v>462.18487394957941</v>
      </c>
      <c r="Y5">
        <f>1.127-1.031</f>
        <v>9.6000000000000085E-2</v>
      </c>
      <c r="Z5">
        <v>0</v>
      </c>
      <c r="AA5">
        <f>Z5/Y5</f>
        <v>0</v>
      </c>
      <c r="AB5">
        <f>1.017-0.974</f>
        <v>4.2999999999999927E-2</v>
      </c>
      <c r="AC5">
        <v>3</v>
      </c>
      <c r="AD5">
        <f>AC5/AB5</f>
        <v>69.76744186046524</v>
      </c>
      <c r="AE5">
        <f>1.079-0.974</f>
        <v>0.10499999999999998</v>
      </c>
      <c r="AF5">
        <v>3</v>
      </c>
      <c r="AG5">
        <f>AF5/AE5</f>
        <v>28.571428571428577</v>
      </c>
      <c r="AH5">
        <f>1.088-0.97</f>
        <v>0.1180000000000001</v>
      </c>
      <c r="AI5">
        <v>0</v>
      </c>
      <c r="AJ5">
        <f>AI5/AH5</f>
        <v>0</v>
      </c>
      <c r="AK5">
        <f>1.031-0.97</f>
        <v>6.0999999999999943E-2</v>
      </c>
      <c r="AL5">
        <v>18</v>
      </c>
      <c r="AM5">
        <f>AL5/AK5</f>
        <v>295.08196721311504</v>
      </c>
      <c r="AN5">
        <f>1.012-0.974</f>
        <v>3.8000000000000034E-2</v>
      </c>
      <c r="AO5">
        <f>343*10^2</f>
        <v>34300</v>
      </c>
      <c r="AP5">
        <f>AO5/AN5</f>
        <v>902631.57894736761</v>
      </c>
    </row>
    <row r="6" spans="1:45" x14ac:dyDescent="0.2">
      <c r="B6" t="s">
        <v>6</v>
      </c>
      <c r="C6">
        <f>1.045-1.014</f>
        <v>3.0999999999999917E-2</v>
      </c>
      <c r="D6">
        <v>172</v>
      </c>
      <c r="E6">
        <f t="shared" ref="E6:E12" si="1">D6/C6</f>
        <v>5548.3870967742087</v>
      </c>
      <c r="F6">
        <v>32</v>
      </c>
      <c r="G6">
        <f t="shared" si="0"/>
        <v>1032.2580645161318</v>
      </c>
      <c r="H6">
        <f>0.989-0.97</f>
        <v>1.9000000000000017E-2</v>
      </c>
      <c r="I6">
        <v>109</v>
      </c>
      <c r="J6">
        <f t="shared" ref="J6:J12" si="2">I6/H6</f>
        <v>5736.8421052631529</v>
      </c>
      <c r="K6">
        <v>4</v>
      </c>
      <c r="L6">
        <f t="shared" ref="L6:L12" si="3">K6/H6</f>
        <v>210.5263157894735</v>
      </c>
      <c r="M6">
        <f>1.003-0.97</f>
        <v>3.2999999999999918E-2</v>
      </c>
      <c r="N6">
        <v>103</v>
      </c>
      <c r="O6">
        <f t="shared" ref="O6:O12" si="4">N6/M6</f>
        <v>3121.2121212121287</v>
      </c>
      <c r="P6">
        <v>10</v>
      </c>
      <c r="Q6">
        <f t="shared" ref="Q6:Q12" si="5">P6/M6</f>
        <v>303.0303030303038</v>
      </c>
      <c r="S6">
        <f>0.987-0.971</f>
        <v>1.6000000000000014E-2</v>
      </c>
      <c r="T6">
        <f>26*10^1</f>
        <v>260</v>
      </c>
      <c r="U6">
        <f t="shared" ref="U6:U12" si="6">T6/S6</f>
        <v>16249.999999999985</v>
      </c>
      <c r="V6">
        <f>1.045-0.973</f>
        <v>7.1999999999999953E-2</v>
      </c>
      <c r="W6">
        <v>0</v>
      </c>
      <c r="X6">
        <f t="shared" ref="X6:X12" si="7">W6/V6</f>
        <v>0</v>
      </c>
      <c r="Y6">
        <f>1.042-0.977</f>
        <v>6.5000000000000058E-2</v>
      </c>
      <c r="Z6">
        <v>0</v>
      </c>
      <c r="AA6">
        <f t="shared" ref="AA6:AA12" si="8">Z6/Y6</f>
        <v>0</v>
      </c>
      <c r="AB6">
        <f>0.994-0.97</f>
        <v>2.4000000000000021E-2</v>
      </c>
      <c r="AC6">
        <v>0</v>
      </c>
      <c r="AD6">
        <f t="shared" ref="AD6:AD12" si="9">AC6/AB6</f>
        <v>0</v>
      </c>
      <c r="AE6">
        <f>1.035-0.972</f>
        <v>6.2999999999999945E-2</v>
      </c>
      <c r="AF6">
        <v>190</v>
      </c>
      <c r="AG6">
        <f t="shared" ref="AG6:AG12" si="10">AF6/AE6</f>
        <v>3015.8730158730186</v>
      </c>
      <c r="AH6">
        <f>1.012-0.973</f>
        <v>3.9000000000000035E-2</v>
      </c>
      <c r="AI6">
        <v>2</v>
      </c>
      <c r="AJ6">
        <f t="shared" ref="AJ6:AJ12" si="11">AI6/AH6</f>
        <v>51.282051282051235</v>
      </c>
      <c r="AK6">
        <f>1.007-0.972</f>
        <v>3.499999999999992E-2</v>
      </c>
      <c r="AL6">
        <v>55</v>
      </c>
      <c r="AM6">
        <f t="shared" ref="AM6:AM12" si="12">AL6/AK6</f>
        <v>1571.428571428575</v>
      </c>
      <c r="AN6">
        <f>1.05-0.975</f>
        <v>7.5000000000000067E-2</v>
      </c>
      <c r="AO6">
        <f>54*10^2</f>
        <v>5400</v>
      </c>
      <c r="AP6">
        <f t="shared" ref="AP6:AP12" si="13">AO6/AN6</f>
        <v>71999.999999999942</v>
      </c>
    </row>
    <row r="7" spans="1:45" x14ac:dyDescent="0.2">
      <c r="B7" t="s">
        <v>7</v>
      </c>
      <c r="C7">
        <f>1.063-1.019</f>
        <v>4.4000000000000039E-2</v>
      </c>
      <c r="D7">
        <v>329</v>
      </c>
      <c r="E7">
        <f t="shared" si="1"/>
        <v>7477.2727272727207</v>
      </c>
      <c r="F7">
        <v>94</v>
      </c>
      <c r="G7">
        <f t="shared" si="0"/>
        <v>2136.3636363636347</v>
      </c>
      <c r="H7">
        <f>1.32-1.008</f>
        <v>0.31200000000000006</v>
      </c>
      <c r="I7">
        <v>61</v>
      </c>
      <c r="J7">
        <f t="shared" si="2"/>
        <v>195.51282051282047</v>
      </c>
      <c r="K7">
        <v>44</v>
      </c>
      <c r="L7">
        <f t="shared" si="3"/>
        <v>141.02564102564099</v>
      </c>
      <c r="M7">
        <f>1.098-0.973</f>
        <v>0.12500000000000011</v>
      </c>
      <c r="N7">
        <v>123</v>
      </c>
      <c r="O7">
        <f t="shared" si="4"/>
        <v>983.99999999999909</v>
      </c>
      <c r="P7">
        <v>39</v>
      </c>
      <c r="Q7">
        <f t="shared" si="5"/>
        <v>311.99999999999972</v>
      </c>
      <c r="S7">
        <f>1.067-0.967</f>
        <v>9.9999999999999978E-2</v>
      </c>
      <c r="T7">
        <f>98*10^2</f>
        <v>9800</v>
      </c>
      <c r="U7">
        <f t="shared" si="6"/>
        <v>98000.000000000015</v>
      </c>
      <c r="V7">
        <f>1.092-0.972</f>
        <v>0.12000000000000011</v>
      </c>
      <c r="W7">
        <v>30</v>
      </c>
      <c r="X7">
        <f t="shared" si="7"/>
        <v>249.99999999999977</v>
      </c>
      <c r="Y7">
        <f>1.041-0.973</f>
        <v>6.7999999999999949E-2</v>
      </c>
      <c r="Z7">
        <f>170*10^1</f>
        <v>1700</v>
      </c>
      <c r="AA7">
        <f t="shared" si="8"/>
        <v>25000.000000000018</v>
      </c>
      <c r="AB7">
        <f>1.034-0.974</f>
        <v>6.0000000000000053E-2</v>
      </c>
      <c r="AC7">
        <f>271*10^1</f>
        <v>2710</v>
      </c>
      <c r="AD7">
        <f t="shared" si="9"/>
        <v>45166.666666666628</v>
      </c>
      <c r="AE7">
        <f>1.118-0.976</f>
        <v>0.14200000000000013</v>
      </c>
      <c r="AF7">
        <f>114*10^2</f>
        <v>11400</v>
      </c>
      <c r="AG7">
        <f t="shared" si="10"/>
        <v>80281.690140844992</v>
      </c>
      <c r="AH7">
        <f>1.084-0.976</f>
        <v>0.1080000000000001</v>
      </c>
      <c r="AI7">
        <v>235</v>
      </c>
      <c r="AJ7">
        <f t="shared" si="11"/>
        <v>2175.9259259259238</v>
      </c>
      <c r="AK7">
        <f>1.052-0.971</f>
        <v>8.1000000000000072E-2</v>
      </c>
      <c r="AL7">
        <v>33</v>
      </c>
      <c r="AM7">
        <f t="shared" si="12"/>
        <v>407.40740740740705</v>
      </c>
      <c r="AN7">
        <f>1.016-0.975</f>
        <v>4.1000000000000036E-2</v>
      </c>
      <c r="AO7">
        <f>133*10^2</f>
        <v>13300</v>
      </c>
      <c r="AP7">
        <f t="shared" si="13"/>
        <v>324390.24390243873</v>
      </c>
    </row>
    <row r="8" spans="1:45" x14ac:dyDescent="0.2">
      <c r="B8" t="s">
        <v>8</v>
      </c>
      <c r="C8">
        <f>1.051-1.001</f>
        <v>5.0000000000000044E-2</v>
      </c>
      <c r="D8">
        <v>109</v>
      </c>
      <c r="E8">
        <f t="shared" si="1"/>
        <v>2179.9999999999982</v>
      </c>
      <c r="F8">
        <v>25</v>
      </c>
      <c r="G8">
        <f t="shared" si="0"/>
        <v>499.99999999999955</v>
      </c>
      <c r="H8">
        <f>1.044-1.025</f>
        <v>1.9000000000000128E-2</v>
      </c>
      <c r="I8">
        <v>36</v>
      </c>
      <c r="J8">
        <f t="shared" si="2"/>
        <v>1894.7368421052504</v>
      </c>
      <c r="K8">
        <v>4</v>
      </c>
      <c r="L8">
        <f t="shared" si="3"/>
        <v>210.52631578947228</v>
      </c>
      <c r="M8">
        <f>1.083-0.973</f>
        <v>0.10999999999999999</v>
      </c>
      <c r="N8">
        <f>26*10^1</f>
        <v>260</v>
      </c>
      <c r="O8">
        <f t="shared" si="4"/>
        <v>2363.636363636364</v>
      </c>
      <c r="P8">
        <f>13*10^1</f>
        <v>130</v>
      </c>
      <c r="Q8">
        <f t="shared" si="5"/>
        <v>1181.818181818182</v>
      </c>
      <c r="S8">
        <f>1-0.972</f>
        <v>2.8000000000000025E-2</v>
      </c>
      <c r="T8">
        <f>77*10^1</f>
        <v>770</v>
      </c>
      <c r="U8">
        <f t="shared" si="6"/>
        <v>27499.999999999975</v>
      </c>
      <c r="V8">
        <f>1.054-0.975</f>
        <v>7.900000000000007E-2</v>
      </c>
      <c r="W8">
        <v>30</v>
      </c>
      <c r="X8">
        <f t="shared" si="7"/>
        <v>379.74683544303764</v>
      </c>
      <c r="Y8">
        <f>1.05-0.974</f>
        <v>7.6000000000000068E-2</v>
      </c>
      <c r="Z8">
        <v>0</v>
      </c>
      <c r="AA8">
        <f t="shared" si="8"/>
        <v>0</v>
      </c>
      <c r="AB8">
        <f>1.002-0.976</f>
        <v>2.6000000000000023E-2</v>
      </c>
      <c r="AC8">
        <v>1</v>
      </c>
      <c r="AD8">
        <f t="shared" si="9"/>
        <v>38.461538461538424</v>
      </c>
      <c r="AE8">
        <f>1.069-1.007</f>
        <v>6.2000000000000055E-2</v>
      </c>
      <c r="AF8">
        <v>5</v>
      </c>
      <c r="AG8">
        <f t="shared" si="10"/>
        <v>80.645161290322505</v>
      </c>
      <c r="AH8">
        <f>1.018-0.97</f>
        <v>4.8000000000000043E-2</v>
      </c>
      <c r="AI8">
        <v>1</v>
      </c>
      <c r="AJ8">
        <f t="shared" si="11"/>
        <v>20.833333333333314</v>
      </c>
      <c r="AK8">
        <f>1.005-0.97</f>
        <v>3.499999999999992E-2</v>
      </c>
      <c r="AL8">
        <f>27*10^2</f>
        <v>2700</v>
      </c>
      <c r="AM8">
        <f t="shared" si="12"/>
        <v>77142.85714285732</v>
      </c>
      <c r="AN8">
        <f>1.017-0.974</f>
        <v>4.2999999999999927E-2</v>
      </c>
      <c r="AO8">
        <f>356*10^2</f>
        <v>35600</v>
      </c>
      <c r="AP8">
        <f t="shared" si="13"/>
        <v>827906.97674418741</v>
      </c>
    </row>
    <row r="9" spans="1:45" x14ac:dyDescent="0.2">
      <c r="B9" t="s">
        <v>9</v>
      </c>
      <c r="C9">
        <f>1.81-1.03</f>
        <v>0.78</v>
      </c>
      <c r="D9">
        <v>509</v>
      </c>
      <c r="E9">
        <f t="shared" si="1"/>
        <v>652.56410256410254</v>
      </c>
      <c r="F9">
        <v>227</v>
      </c>
      <c r="G9">
        <f t="shared" si="0"/>
        <v>291.02564102564099</v>
      </c>
      <c r="H9">
        <f>1-0.973</f>
        <v>2.7000000000000024E-2</v>
      </c>
      <c r="I9">
        <v>7</v>
      </c>
      <c r="J9">
        <f t="shared" si="2"/>
        <v>259.25925925925901</v>
      </c>
      <c r="K9">
        <v>4</v>
      </c>
      <c r="L9">
        <f t="shared" si="3"/>
        <v>148.14814814814801</v>
      </c>
      <c r="M9">
        <f>0.991-0.963</f>
        <v>2.8000000000000025E-2</v>
      </c>
      <c r="N9">
        <v>153</v>
      </c>
      <c r="O9">
        <f t="shared" si="4"/>
        <v>5464.2857142857092</v>
      </c>
      <c r="P9">
        <v>144</v>
      </c>
      <c r="Q9">
        <f t="shared" si="5"/>
        <v>5142.8571428571386</v>
      </c>
      <c r="S9">
        <f>1-0.973</f>
        <v>2.7000000000000024E-2</v>
      </c>
      <c r="T9">
        <f>41*10^1</f>
        <v>410</v>
      </c>
      <c r="U9">
        <f t="shared" si="6"/>
        <v>15185.185185185172</v>
      </c>
      <c r="V9">
        <f>1.114-1.021</f>
        <v>9.3000000000000194E-2</v>
      </c>
      <c r="W9">
        <v>0</v>
      </c>
      <c r="X9">
        <f t="shared" si="7"/>
        <v>0</v>
      </c>
      <c r="Y9">
        <f>1.04-0.97</f>
        <v>7.0000000000000062E-2</v>
      </c>
      <c r="Z9">
        <v>0</v>
      </c>
      <c r="AA9">
        <f t="shared" si="8"/>
        <v>0</v>
      </c>
      <c r="AB9">
        <f>1.006-0.974</f>
        <v>3.2000000000000028E-2</v>
      </c>
      <c r="AC9">
        <v>0</v>
      </c>
      <c r="AD9">
        <f t="shared" si="9"/>
        <v>0</v>
      </c>
      <c r="AE9">
        <f>1.119-0.974</f>
        <v>0.14500000000000002</v>
      </c>
      <c r="AF9">
        <v>1</v>
      </c>
      <c r="AG9">
        <f t="shared" si="10"/>
        <v>6.8965517241379306</v>
      </c>
      <c r="AH9">
        <f>1.016-0.972</f>
        <v>4.4000000000000039E-2</v>
      </c>
      <c r="AI9">
        <v>141</v>
      </c>
      <c r="AJ9">
        <f t="shared" si="11"/>
        <v>3204.5454545454518</v>
      </c>
      <c r="AK9">
        <f>1.034-0.968</f>
        <v>6.6000000000000059E-2</v>
      </c>
      <c r="AL9">
        <v>168</v>
      </c>
      <c r="AM9">
        <f t="shared" si="12"/>
        <v>2545.4545454545432</v>
      </c>
      <c r="AN9">
        <f>1.018-0.975</f>
        <v>4.3000000000000038E-2</v>
      </c>
      <c r="AO9">
        <f>127*10^2</f>
        <v>12700</v>
      </c>
      <c r="AP9">
        <f t="shared" si="13"/>
        <v>295348.83720930206</v>
      </c>
    </row>
    <row r="10" spans="1:45" x14ac:dyDescent="0.2">
      <c r="B10" t="s">
        <v>10</v>
      </c>
      <c r="C10">
        <f>1.21-0.977</f>
        <v>0.23299999999999998</v>
      </c>
      <c r="D10">
        <v>187</v>
      </c>
      <c r="E10">
        <f t="shared" si="1"/>
        <v>802.57510729613739</v>
      </c>
      <c r="F10">
        <v>164</v>
      </c>
      <c r="G10">
        <f t="shared" si="0"/>
        <v>703.86266094420603</v>
      </c>
      <c r="H10">
        <f>1.015-0.977</f>
        <v>3.7999999999999923E-2</v>
      </c>
      <c r="I10">
        <v>36</v>
      </c>
      <c r="J10">
        <f t="shared" si="2"/>
        <v>947.36842105263349</v>
      </c>
      <c r="K10">
        <v>13</v>
      </c>
      <c r="L10">
        <f t="shared" si="3"/>
        <v>342.10526315789542</v>
      </c>
      <c r="M10">
        <f>1.094-0.973</f>
        <v>0.12100000000000011</v>
      </c>
      <c r="N10">
        <f>29*10^1</f>
        <v>290</v>
      </c>
      <c r="O10">
        <f t="shared" si="4"/>
        <v>2396.6942148760309</v>
      </c>
      <c r="P10">
        <v>170</v>
      </c>
      <c r="Q10">
        <f t="shared" si="5"/>
        <v>1404.9586776859492</v>
      </c>
      <c r="S10">
        <f>0.99-0.977</f>
        <v>1.3000000000000012E-2</v>
      </c>
      <c r="T10">
        <f>206*10^1</f>
        <v>2060</v>
      </c>
      <c r="U10">
        <f t="shared" si="6"/>
        <v>158461.53846153832</v>
      </c>
      <c r="V10">
        <f>1.097-0.967</f>
        <v>0.13</v>
      </c>
      <c r="W10">
        <v>2</v>
      </c>
      <c r="X10">
        <f t="shared" si="7"/>
        <v>15.384615384615383</v>
      </c>
      <c r="Y10">
        <f>1.034-0.97</f>
        <v>6.4000000000000057E-2</v>
      </c>
      <c r="Z10">
        <v>0</v>
      </c>
      <c r="AA10">
        <f t="shared" si="8"/>
        <v>0</v>
      </c>
      <c r="AB10">
        <f>1.05-0.973</f>
        <v>7.7000000000000068E-2</v>
      </c>
      <c r="AC10">
        <v>0</v>
      </c>
      <c r="AD10">
        <f t="shared" si="9"/>
        <v>0</v>
      </c>
      <c r="AE10">
        <f>1.092-0.97</f>
        <v>0.12200000000000011</v>
      </c>
      <c r="AF10">
        <v>51</v>
      </c>
      <c r="AG10">
        <f t="shared" si="10"/>
        <v>418.03278688524551</v>
      </c>
      <c r="AH10">
        <f>1.067-0.973</f>
        <v>9.3999999999999972E-2</v>
      </c>
      <c r="AI10">
        <v>30</v>
      </c>
      <c r="AJ10">
        <f t="shared" si="11"/>
        <v>319.14893617021283</v>
      </c>
      <c r="AK10">
        <f>1.034-0.974</f>
        <v>6.0000000000000053E-2</v>
      </c>
      <c r="AL10">
        <f>146*10^1</f>
        <v>1460</v>
      </c>
      <c r="AM10">
        <f t="shared" si="12"/>
        <v>24333.33333333331</v>
      </c>
      <c r="AN10">
        <f>1.016-0.975</f>
        <v>4.1000000000000036E-2</v>
      </c>
      <c r="AO10">
        <f>328*10^2</f>
        <v>32800</v>
      </c>
      <c r="AP10">
        <f t="shared" si="13"/>
        <v>799999.9999999993</v>
      </c>
      <c r="AR10" s="1"/>
      <c r="AS10" s="1"/>
    </row>
    <row r="11" spans="1:45" x14ac:dyDescent="0.2">
      <c r="B11" t="s">
        <v>11</v>
      </c>
      <c r="C11">
        <f>0.997-0.974</f>
        <v>2.300000000000002E-2</v>
      </c>
      <c r="D11">
        <v>65</v>
      </c>
      <c r="E11">
        <f t="shared" si="1"/>
        <v>2826.0869565217367</v>
      </c>
      <c r="F11">
        <v>22</v>
      </c>
      <c r="G11">
        <f t="shared" si="0"/>
        <v>956.52173913043396</v>
      </c>
      <c r="H11">
        <f>0.988-0.964</f>
        <v>2.4000000000000021E-2</v>
      </c>
      <c r="I11">
        <v>38</v>
      </c>
      <c r="J11">
        <f t="shared" si="2"/>
        <v>1583.3333333333319</v>
      </c>
      <c r="K11">
        <v>22</v>
      </c>
      <c r="L11">
        <f t="shared" si="3"/>
        <v>916.66666666666583</v>
      </c>
      <c r="M11">
        <f>0.993-0.973</f>
        <v>2.0000000000000018E-2</v>
      </c>
      <c r="N11">
        <f>22*10^1</f>
        <v>220</v>
      </c>
      <c r="O11">
        <f t="shared" si="4"/>
        <v>10999.999999999991</v>
      </c>
      <c r="P11">
        <v>106</v>
      </c>
      <c r="Q11">
        <f t="shared" si="5"/>
        <v>5299.9999999999955</v>
      </c>
      <c r="S11">
        <f>0.989-0.972</f>
        <v>1.7000000000000015E-2</v>
      </c>
      <c r="T11">
        <v>50</v>
      </c>
      <c r="U11">
        <f t="shared" si="6"/>
        <v>2941.1764705882329</v>
      </c>
      <c r="V11">
        <f>1.092-1.018</f>
        <v>7.4000000000000066E-2</v>
      </c>
      <c r="W11">
        <v>2</v>
      </c>
      <c r="X11">
        <f t="shared" si="7"/>
        <v>27.027027027027003</v>
      </c>
      <c r="Y11">
        <f>1.02-1.008</f>
        <v>1.2000000000000011E-2</v>
      </c>
      <c r="Z11">
        <v>0</v>
      </c>
      <c r="AA11">
        <f t="shared" si="8"/>
        <v>0</v>
      </c>
      <c r="AB11">
        <f>0.999-0.976</f>
        <v>2.300000000000002E-2</v>
      </c>
      <c r="AC11">
        <v>0</v>
      </c>
      <c r="AD11">
        <f t="shared" si="9"/>
        <v>0</v>
      </c>
      <c r="AE11">
        <f>1.061-0.974</f>
        <v>8.6999999999999966E-2</v>
      </c>
      <c r="AF11">
        <v>300</v>
      </c>
      <c r="AG11">
        <f t="shared" si="10"/>
        <v>3448.2758620689669</v>
      </c>
      <c r="AH11">
        <f>1.006-0.972</f>
        <v>3.400000000000003E-2</v>
      </c>
      <c r="AI11">
        <f>47*10^1</f>
        <v>470</v>
      </c>
      <c r="AJ11">
        <f t="shared" si="11"/>
        <v>13823.529411764694</v>
      </c>
      <c r="AK11">
        <f>1.005-0.976</f>
        <v>2.8999999999999915E-2</v>
      </c>
      <c r="AL11">
        <f>29*10^2</f>
        <v>2900</v>
      </c>
      <c r="AM11">
        <f t="shared" si="12"/>
        <v>100000.00000000029</v>
      </c>
      <c r="AN11">
        <f>0.997-0.976</f>
        <v>2.1000000000000019E-2</v>
      </c>
      <c r="AO11">
        <f>271*10^2</f>
        <v>27100</v>
      </c>
      <c r="AP11">
        <f t="shared" si="13"/>
        <v>1290476.1904761894</v>
      </c>
    </row>
    <row r="12" spans="1:45" x14ac:dyDescent="0.2">
      <c r="B12" t="s">
        <v>12</v>
      </c>
      <c r="C12">
        <f>1.08-1.026</f>
        <v>5.4000000000000048E-2</v>
      </c>
      <c r="D12">
        <v>610</v>
      </c>
      <c r="E12">
        <f t="shared" si="1"/>
        <v>11296.296296296287</v>
      </c>
      <c r="F12">
        <v>263</v>
      </c>
      <c r="G12">
        <f t="shared" si="0"/>
        <v>4870.3703703703659</v>
      </c>
      <c r="H12">
        <f>1.048-1.021</f>
        <v>2.7000000000000135E-2</v>
      </c>
      <c r="I12">
        <v>236</v>
      </c>
      <c r="J12">
        <f t="shared" si="2"/>
        <v>8740.7407407406972</v>
      </c>
      <c r="K12">
        <v>65</v>
      </c>
      <c r="L12">
        <f t="shared" si="3"/>
        <v>2407.4074074073956</v>
      </c>
      <c r="M12">
        <f>1.055-1.021</f>
        <v>3.400000000000003E-2</v>
      </c>
      <c r="N12">
        <v>8</v>
      </c>
      <c r="O12">
        <f t="shared" si="4"/>
        <v>235.29411764705861</v>
      </c>
      <c r="P12">
        <v>4</v>
      </c>
      <c r="Q12">
        <f t="shared" si="5"/>
        <v>117.64705882352931</v>
      </c>
      <c r="S12">
        <f>0.998-0.976</f>
        <v>2.200000000000002E-2</v>
      </c>
      <c r="T12">
        <v>109</v>
      </c>
      <c r="U12">
        <f t="shared" si="6"/>
        <v>4954.5454545454504</v>
      </c>
      <c r="V12">
        <f>1.07-0.972</f>
        <v>9.8000000000000087E-2</v>
      </c>
      <c r="W12">
        <v>6</v>
      </c>
      <c r="X12">
        <f t="shared" si="7"/>
        <v>61.224489795918316</v>
      </c>
      <c r="Y12">
        <f>1.072-0.973</f>
        <v>9.9000000000000088E-2</v>
      </c>
      <c r="Z12">
        <v>1</v>
      </c>
      <c r="AA12">
        <f t="shared" si="8"/>
        <v>10.101010101010091</v>
      </c>
      <c r="AB12">
        <f>1.01-0.975</f>
        <v>3.5000000000000031E-2</v>
      </c>
      <c r="AC12">
        <v>1</v>
      </c>
      <c r="AD12">
        <f t="shared" si="9"/>
        <v>28.571428571428545</v>
      </c>
      <c r="AE12">
        <f>1.19-0.97</f>
        <v>0.21999999999999997</v>
      </c>
      <c r="AF12">
        <f>192*10^1</f>
        <v>1920</v>
      </c>
      <c r="AG12">
        <f t="shared" si="10"/>
        <v>8727.2727272727279</v>
      </c>
      <c r="AH12">
        <f>1.013-0.97</f>
        <v>4.2999999999999927E-2</v>
      </c>
      <c r="AI12">
        <v>36</v>
      </c>
      <c r="AJ12">
        <f t="shared" si="11"/>
        <v>837.20930232558283</v>
      </c>
      <c r="AK12">
        <f>1.028-0.976</f>
        <v>5.2000000000000046E-2</v>
      </c>
      <c r="AL12">
        <f>43*10^1</f>
        <v>430</v>
      </c>
      <c r="AM12">
        <f t="shared" si="12"/>
        <v>8269.2307692307622</v>
      </c>
      <c r="AN12">
        <f>0.996-0.974</f>
        <v>2.200000000000002E-2</v>
      </c>
      <c r="AO12">
        <f>299*10^2</f>
        <v>29900</v>
      </c>
      <c r="AP12">
        <f t="shared" si="13"/>
        <v>1359090.9090909078</v>
      </c>
    </row>
    <row r="15" spans="1:45" x14ac:dyDescent="0.2">
      <c r="B15" s="12" t="s">
        <v>53</v>
      </c>
      <c r="C15" s="2"/>
      <c r="D15" s="2"/>
      <c r="E15" s="2"/>
      <c r="F15" s="2"/>
      <c r="G15" s="2"/>
      <c r="H15" s="2"/>
      <c r="I15" s="2"/>
      <c r="J15" s="3"/>
    </row>
    <row r="16" spans="1:45" x14ac:dyDescent="0.2">
      <c r="B16" s="4" t="s">
        <v>13</v>
      </c>
      <c r="C16" t="s">
        <v>5</v>
      </c>
      <c r="D16" t="s">
        <v>6</v>
      </c>
      <c r="E16" t="s">
        <v>7</v>
      </c>
      <c r="F16" t="s">
        <v>8</v>
      </c>
      <c r="G16" t="s">
        <v>9</v>
      </c>
      <c r="H16" t="s">
        <v>10</v>
      </c>
      <c r="I16" t="s">
        <v>11</v>
      </c>
      <c r="J16" s="5" t="s">
        <v>12</v>
      </c>
    </row>
    <row r="17" spans="2:10" x14ac:dyDescent="0.2">
      <c r="B17" s="6" t="s">
        <v>0</v>
      </c>
      <c r="C17" s="7">
        <v>68965.517200000002</v>
      </c>
      <c r="D17" s="7">
        <v>16250</v>
      </c>
      <c r="E17" s="7">
        <v>98000</v>
      </c>
      <c r="F17" s="7">
        <v>27500</v>
      </c>
      <c r="G17" s="7">
        <v>15185.1852</v>
      </c>
      <c r="H17" s="7">
        <v>158461.538</v>
      </c>
      <c r="I17" s="7">
        <v>2941.1764699999999</v>
      </c>
      <c r="J17" s="8">
        <v>4954.5454499999996</v>
      </c>
    </row>
    <row r="18" spans="2:10" x14ac:dyDescent="0.2">
      <c r="B18" s="6" t="s">
        <v>1</v>
      </c>
      <c r="C18" s="7">
        <v>462.18487399999998</v>
      </c>
      <c r="D18" s="7">
        <v>0</v>
      </c>
      <c r="E18" s="7">
        <v>250</v>
      </c>
      <c r="F18" s="7">
        <v>379.74683499999998</v>
      </c>
      <c r="G18" s="7">
        <v>0</v>
      </c>
      <c r="H18" s="7">
        <v>15.384615399999999</v>
      </c>
      <c r="I18" s="7">
        <v>27.027027</v>
      </c>
      <c r="J18" s="8">
        <v>61.224489800000001</v>
      </c>
    </row>
    <row r="19" spans="2:10" x14ac:dyDescent="0.2">
      <c r="B19" s="6" t="s">
        <v>2</v>
      </c>
      <c r="C19" s="7">
        <v>69.767441899999994</v>
      </c>
      <c r="D19" s="7">
        <v>0</v>
      </c>
      <c r="E19" s="7">
        <v>45166.666700000002</v>
      </c>
      <c r="F19" s="7">
        <v>38.461538500000003</v>
      </c>
      <c r="G19" s="7">
        <v>0</v>
      </c>
      <c r="H19" s="7">
        <v>0</v>
      </c>
      <c r="I19" s="7">
        <v>0</v>
      </c>
      <c r="J19" s="8">
        <v>28.571428600000001</v>
      </c>
    </row>
    <row r="20" spans="2:10" x14ac:dyDescent="0.2">
      <c r="B20" s="6" t="s">
        <v>3</v>
      </c>
      <c r="C20" s="7">
        <v>0</v>
      </c>
      <c r="D20" s="7">
        <v>51.282051299999999</v>
      </c>
      <c r="E20" s="7">
        <v>2175.9259299999999</v>
      </c>
      <c r="F20" s="7">
        <v>20.8333333</v>
      </c>
      <c r="G20" s="7">
        <v>3204.5454500000001</v>
      </c>
      <c r="H20" s="7">
        <v>319.14893599999999</v>
      </c>
      <c r="I20" s="7">
        <v>13823.529399999999</v>
      </c>
      <c r="J20" s="8">
        <v>837.20930199999998</v>
      </c>
    </row>
    <row r="21" spans="2:10" x14ac:dyDescent="0.2">
      <c r="B21" s="6" t="s">
        <v>4</v>
      </c>
      <c r="C21" s="7">
        <v>902631.57900000003</v>
      </c>
      <c r="D21" s="7">
        <v>72000</v>
      </c>
      <c r="E21" s="7">
        <v>324390.24400000001</v>
      </c>
      <c r="F21" s="7">
        <v>827906.97699999996</v>
      </c>
      <c r="G21" s="7">
        <v>295348.837</v>
      </c>
      <c r="H21" s="7">
        <v>800000</v>
      </c>
      <c r="I21" s="7">
        <v>1290476.19</v>
      </c>
      <c r="J21" s="8">
        <v>1359090.91</v>
      </c>
    </row>
    <row r="22" spans="2:10" x14ac:dyDescent="0.2">
      <c r="B22" s="9"/>
      <c r="C22" s="10"/>
      <c r="D22" s="10"/>
      <c r="E22" s="10"/>
      <c r="F22" s="10"/>
      <c r="G22" s="10"/>
      <c r="H22" s="10"/>
      <c r="I22" s="10"/>
      <c r="J22" s="1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D58D-E975-774F-99DE-FDE628EC2D88}">
  <dimension ref="A1:AS282"/>
  <sheetViews>
    <sheetView workbookViewId="0">
      <selection activeCell="M218" sqref="M218"/>
    </sheetView>
  </sheetViews>
  <sheetFormatPr baseColWidth="10" defaultRowHeight="16" x14ac:dyDescent="0.2"/>
  <cols>
    <col min="2" max="2" width="21.33203125" customWidth="1"/>
    <col min="4" max="4" width="28.5" customWidth="1"/>
    <col min="5" max="5" width="17" customWidth="1"/>
    <col min="10" max="10" width="28.6640625" customWidth="1"/>
    <col min="17" max="17" width="21.83203125" customWidth="1"/>
    <col min="22" max="22" width="17.5" customWidth="1"/>
    <col min="32" max="32" width="22.5" customWidth="1"/>
    <col min="33" max="33" width="18.1640625" customWidth="1"/>
  </cols>
  <sheetData>
    <row r="1" spans="1:44" s="15" customFormat="1" ht="21" x14ac:dyDescent="0.25">
      <c r="A1" s="14" t="s">
        <v>652</v>
      </c>
    </row>
    <row r="3" spans="1:44" x14ac:dyDescent="0.2">
      <c r="A3" t="s">
        <v>192</v>
      </c>
    </row>
    <row r="5" spans="1:44" x14ac:dyDescent="0.2">
      <c r="D5" t="s">
        <v>55</v>
      </c>
      <c r="H5" t="s">
        <v>157</v>
      </c>
    </row>
    <row r="6" spans="1:44" x14ac:dyDescent="0.2">
      <c r="A6" t="s">
        <v>57</v>
      </c>
      <c r="C6" t="s">
        <v>60</v>
      </c>
      <c r="D6" t="s">
        <v>61</v>
      </c>
      <c r="E6" t="s">
        <v>62</v>
      </c>
      <c r="G6" t="s">
        <v>60</v>
      </c>
      <c r="H6" t="s">
        <v>61</v>
      </c>
      <c r="I6" t="s">
        <v>62</v>
      </c>
      <c r="K6" t="s">
        <v>63</v>
      </c>
      <c r="L6" t="s">
        <v>64</v>
      </c>
      <c r="M6" t="s">
        <v>158</v>
      </c>
    </row>
    <row r="7" spans="1:44" x14ac:dyDescent="0.2">
      <c r="B7" t="s">
        <v>159</v>
      </c>
      <c r="C7">
        <f>10^6</f>
        <v>1000000</v>
      </c>
      <c r="D7">
        <v>11</v>
      </c>
      <c r="E7">
        <f>C7*D7/0.004</f>
        <v>2750000000</v>
      </c>
      <c r="G7">
        <f>10^4</f>
        <v>10000</v>
      </c>
      <c r="H7">
        <v>38</v>
      </c>
      <c r="I7">
        <f>G7*H7/0.004</f>
        <v>95000000</v>
      </c>
      <c r="K7">
        <f>I7</f>
        <v>95000000</v>
      </c>
      <c r="L7">
        <f>E7-I7</f>
        <v>2655000000</v>
      </c>
      <c r="M7">
        <f>L7/K7</f>
        <v>27.94736842105263</v>
      </c>
    </row>
    <row r="8" spans="1:44" x14ac:dyDescent="0.2">
      <c r="B8" t="s">
        <v>160</v>
      </c>
      <c r="C8">
        <f t="shared" ref="C8:C31" si="0">10^6</f>
        <v>1000000</v>
      </c>
      <c r="D8">
        <v>11</v>
      </c>
      <c r="E8">
        <f t="shared" ref="E8:E31" si="1">C8*D8/0.004</f>
        <v>2750000000</v>
      </c>
      <c r="G8">
        <f t="shared" ref="G8:G15" si="2">10^4</f>
        <v>10000</v>
      </c>
      <c r="H8">
        <v>53</v>
      </c>
      <c r="I8">
        <f t="shared" ref="I8:I31" si="3">G8*H8/0.004</f>
        <v>132500000</v>
      </c>
      <c r="K8">
        <f t="shared" ref="K8:K31" si="4">I8</f>
        <v>132500000</v>
      </c>
      <c r="L8">
        <f t="shared" ref="L8:L31" si="5">E8-I8</f>
        <v>2617500000</v>
      </c>
      <c r="M8">
        <f t="shared" ref="M8:M31" si="6">L8/K8</f>
        <v>19.754716981132077</v>
      </c>
    </row>
    <row r="9" spans="1:44" x14ac:dyDescent="0.2">
      <c r="B9" t="s">
        <v>161</v>
      </c>
      <c r="C9">
        <f t="shared" si="0"/>
        <v>1000000</v>
      </c>
      <c r="D9">
        <v>12</v>
      </c>
      <c r="E9">
        <f t="shared" si="1"/>
        <v>3000000000</v>
      </c>
      <c r="G9">
        <f t="shared" si="2"/>
        <v>10000</v>
      </c>
      <c r="H9">
        <v>46</v>
      </c>
      <c r="I9">
        <f t="shared" si="3"/>
        <v>115000000</v>
      </c>
      <c r="K9">
        <f t="shared" si="4"/>
        <v>115000000</v>
      </c>
      <c r="L9">
        <f t="shared" si="5"/>
        <v>2885000000</v>
      </c>
      <c r="M9">
        <f t="shared" si="6"/>
        <v>25.086956521739129</v>
      </c>
    </row>
    <row r="10" spans="1:44" x14ac:dyDescent="0.2">
      <c r="B10" t="s">
        <v>162</v>
      </c>
      <c r="C10">
        <f t="shared" si="0"/>
        <v>1000000</v>
      </c>
      <c r="D10">
        <v>12</v>
      </c>
      <c r="E10">
        <f t="shared" si="1"/>
        <v>3000000000</v>
      </c>
      <c r="G10">
        <f t="shared" si="2"/>
        <v>10000</v>
      </c>
      <c r="H10">
        <v>21</v>
      </c>
      <c r="I10">
        <f t="shared" si="3"/>
        <v>52500000</v>
      </c>
      <c r="K10">
        <f t="shared" si="4"/>
        <v>52500000</v>
      </c>
      <c r="L10">
        <f t="shared" si="5"/>
        <v>2947500000</v>
      </c>
      <c r="M10">
        <f t="shared" si="6"/>
        <v>56.142857142857146</v>
      </c>
    </row>
    <row r="11" spans="1:44" x14ac:dyDescent="0.2">
      <c r="B11" t="s">
        <v>163</v>
      </c>
      <c r="C11">
        <f t="shared" si="0"/>
        <v>1000000</v>
      </c>
      <c r="D11">
        <v>15</v>
      </c>
      <c r="E11">
        <f t="shared" si="1"/>
        <v>3750000000</v>
      </c>
      <c r="G11">
        <f t="shared" si="2"/>
        <v>10000</v>
      </c>
      <c r="H11">
        <v>17</v>
      </c>
      <c r="I11">
        <f t="shared" si="3"/>
        <v>42500000</v>
      </c>
      <c r="K11">
        <f t="shared" si="4"/>
        <v>42500000</v>
      </c>
      <c r="L11">
        <f t="shared" si="5"/>
        <v>3707500000</v>
      </c>
      <c r="M11">
        <f t="shared" si="6"/>
        <v>87.235294117647058</v>
      </c>
    </row>
    <row r="12" spans="1:44" x14ac:dyDescent="0.2">
      <c r="B12" t="s">
        <v>164</v>
      </c>
      <c r="C12">
        <f t="shared" si="0"/>
        <v>1000000</v>
      </c>
      <c r="D12">
        <v>10</v>
      </c>
      <c r="E12">
        <f t="shared" si="1"/>
        <v>2500000000</v>
      </c>
      <c r="G12">
        <f t="shared" si="2"/>
        <v>10000</v>
      </c>
      <c r="H12">
        <v>10</v>
      </c>
      <c r="I12">
        <f t="shared" si="3"/>
        <v>25000000</v>
      </c>
      <c r="K12">
        <f t="shared" si="4"/>
        <v>25000000</v>
      </c>
      <c r="L12">
        <f t="shared" si="5"/>
        <v>2475000000</v>
      </c>
      <c r="M12">
        <f t="shared" si="6"/>
        <v>99</v>
      </c>
    </row>
    <row r="13" spans="1:44" x14ac:dyDescent="0.2">
      <c r="B13" t="s">
        <v>165</v>
      </c>
      <c r="C13">
        <f t="shared" si="0"/>
        <v>1000000</v>
      </c>
      <c r="D13">
        <v>13</v>
      </c>
      <c r="E13">
        <f t="shared" si="1"/>
        <v>3250000000</v>
      </c>
      <c r="G13">
        <f t="shared" si="2"/>
        <v>10000</v>
      </c>
      <c r="H13">
        <v>41</v>
      </c>
      <c r="I13">
        <f t="shared" si="3"/>
        <v>102500000</v>
      </c>
      <c r="K13">
        <f t="shared" si="4"/>
        <v>102500000</v>
      </c>
      <c r="L13">
        <f t="shared" si="5"/>
        <v>3147500000</v>
      </c>
      <c r="M13">
        <f t="shared" si="6"/>
        <v>30.707317073170731</v>
      </c>
    </row>
    <row r="14" spans="1:44" x14ac:dyDescent="0.2">
      <c r="B14" t="s">
        <v>166</v>
      </c>
      <c r="C14">
        <f t="shared" si="0"/>
        <v>1000000</v>
      </c>
      <c r="D14">
        <v>11</v>
      </c>
      <c r="E14">
        <f t="shared" si="1"/>
        <v>2750000000</v>
      </c>
      <c r="G14">
        <f t="shared" si="2"/>
        <v>10000</v>
      </c>
      <c r="H14">
        <v>42</v>
      </c>
      <c r="I14">
        <f t="shared" si="3"/>
        <v>105000000</v>
      </c>
      <c r="K14">
        <f t="shared" si="4"/>
        <v>105000000</v>
      </c>
      <c r="L14">
        <f t="shared" si="5"/>
        <v>2645000000</v>
      </c>
      <c r="M14">
        <f t="shared" si="6"/>
        <v>25.19047619047619</v>
      </c>
      <c r="O14" t="s">
        <v>167</v>
      </c>
    </row>
    <row r="15" spans="1:44" x14ac:dyDescent="0.2">
      <c r="B15" t="s">
        <v>168</v>
      </c>
      <c r="C15">
        <f t="shared" si="0"/>
        <v>1000000</v>
      </c>
      <c r="D15">
        <v>11</v>
      </c>
      <c r="E15">
        <f t="shared" si="1"/>
        <v>2750000000</v>
      </c>
      <c r="G15">
        <f t="shared" si="2"/>
        <v>10000</v>
      </c>
      <c r="H15">
        <v>44</v>
      </c>
      <c r="I15">
        <f t="shared" si="3"/>
        <v>110000000</v>
      </c>
      <c r="K15">
        <f t="shared" si="4"/>
        <v>110000000</v>
      </c>
      <c r="L15">
        <f t="shared" si="5"/>
        <v>2640000000</v>
      </c>
      <c r="M15">
        <f t="shared" si="6"/>
        <v>24</v>
      </c>
    </row>
    <row r="16" spans="1:44" x14ac:dyDescent="0.2">
      <c r="B16" t="s">
        <v>169</v>
      </c>
      <c r="C16">
        <f t="shared" si="0"/>
        <v>1000000</v>
      </c>
      <c r="D16">
        <v>10</v>
      </c>
      <c r="E16">
        <f t="shared" si="1"/>
        <v>2500000000</v>
      </c>
      <c r="G16">
        <f>10^5</f>
        <v>100000</v>
      </c>
      <c r="H16">
        <v>10</v>
      </c>
      <c r="I16">
        <f t="shared" si="3"/>
        <v>250000000</v>
      </c>
      <c r="K16">
        <f t="shared" si="4"/>
        <v>250000000</v>
      </c>
      <c r="L16">
        <f t="shared" si="5"/>
        <v>2250000000</v>
      </c>
      <c r="M16">
        <f t="shared" si="6"/>
        <v>9</v>
      </c>
      <c r="AJ16" s="45" t="s">
        <v>479</v>
      </c>
      <c r="AK16" s="46"/>
      <c r="AL16" s="46"/>
      <c r="AM16" s="46"/>
      <c r="AN16" s="46"/>
      <c r="AO16" s="46"/>
      <c r="AP16" s="46"/>
      <c r="AQ16" s="46"/>
      <c r="AR16" s="52"/>
    </row>
    <row r="17" spans="2:45" x14ac:dyDescent="0.2">
      <c r="B17" t="s">
        <v>170</v>
      </c>
      <c r="C17">
        <f t="shared" si="0"/>
        <v>1000000</v>
      </c>
      <c r="D17">
        <v>11</v>
      </c>
      <c r="E17">
        <f t="shared" si="1"/>
        <v>2750000000</v>
      </c>
      <c r="G17">
        <f>10^5</f>
        <v>100000</v>
      </c>
      <c r="H17">
        <v>10</v>
      </c>
      <c r="I17">
        <f t="shared" si="3"/>
        <v>250000000</v>
      </c>
      <c r="K17">
        <f t="shared" si="4"/>
        <v>250000000</v>
      </c>
      <c r="L17">
        <f t="shared" si="5"/>
        <v>2500000000</v>
      </c>
      <c r="M17">
        <f t="shared" si="6"/>
        <v>10</v>
      </c>
      <c r="AJ17" s="47"/>
      <c r="AK17" s="43"/>
      <c r="AL17" s="43"/>
      <c r="AM17" s="43"/>
      <c r="AN17" s="43"/>
      <c r="AO17" s="43"/>
      <c r="AP17" s="43"/>
      <c r="AQ17" s="43"/>
      <c r="AR17" s="48"/>
    </row>
    <row r="18" spans="2:45" x14ac:dyDescent="0.2">
      <c r="B18" t="s">
        <v>171</v>
      </c>
      <c r="C18">
        <f t="shared" si="0"/>
        <v>1000000</v>
      </c>
      <c r="D18">
        <v>14</v>
      </c>
      <c r="E18">
        <f t="shared" si="1"/>
        <v>3500000000</v>
      </c>
      <c r="G18">
        <f>10^5</f>
        <v>100000</v>
      </c>
      <c r="H18">
        <v>11</v>
      </c>
      <c r="I18">
        <f t="shared" si="3"/>
        <v>275000000</v>
      </c>
      <c r="K18">
        <f t="shared" si="4"/>
        <v>275000000</v>
      </c>
      <c r="L18">
        <f t="shared" si="5"/>
        <v>3225000000</v>
      </c>
      <c r="M18">
        <f t="shared" si="6"/>
        <v>11.727272727272727</v>
      </c>
      <c r="AJ18" s="47" t="s">
        <v>395</v>
      </c>
      <c r="AK18" s="43">
        <v>2</v>
      </c>
      <c r="AL18" s="43"/>
      <c r="AM18" s="43"/>
      <c r="AN18" s="43"/>
      <c r="AO18" s="43"/>
      <c r="AP18" s="43"/>
      <c r="AQ18" s="43"/>
      <c r="AR18" s="48"/>
    </row>
    <row r="19" spans="2:45" x14ac:dyDescent="0.2">
      <c r="AJ19" s="47" t="s">
        <v>396</v>
      </c>
      <c r="AK19" s="43">
        <v>6</v>
      </c>
      <c r="AL19" s="43"/>
      <c r="AM19" s="43"/>
      <c r="AN19" s="43"/>
      <c r="AO19" s="43"/>
      <c r="AP19" s="43"/>
      <c r="AQ19" s="43"/>
      <c r="AR19" s="48"/>
    </row>
    <row r="20" spans="2:45" x14ac:dyDescent="0.2">
      <c r="B20" t="s">
        <v>172</v>
      </c>
      <c r="C20">
        <f t="shared" si="0"/>
        <v>1000000</v>
      </c>
      <c r="D20">
        <v>15</v>
      </c>
      <c r="E20">
        <f t="shared" si="1"/>
        <v>3750000000</v>
      </c>
      <c r="G20">
        <f>10^4</f>
        <v>10000</v>
      </c>
      <c r="H20">
        <v>44</v>
      </c>
      <c r="I20">
        <f t="shared" si="3"/>
        <v>110000000</v>
      </c>
      <c r="K20">
        <f t="shared" si="4"/>
        <v>110000000</v>
      </c>
      <c r="L20">
        <f t="shared" si="5"/>
        <v>3640000000</v>
      </c>
      <c r="M20">
        <f t="shared" si="6"/>
        <v>33.090909090909093</v>
      </c>
      <c r="AJ20" s="47" t="s">
        <v>397</v>
      </c>
      <c r="AK20" s="43">
        <v>0.05</v>
      </c>
      <c r="AL20" s="43"/>
      <c r="AM20" s="43"/>
      <c r="AN20" s="43"/>
      <c r="AO20" s="43"/>
      <c r="AP20" s="43"/>
      <c r="AQ20" s="43"/>
      <c r="AR20" s="48"/>
    </row>
    <row r="21" spans="2:45" x14ac:dyDescent="0.2">
      <c r="B21" t="s">
        <v>173</v>
      </c>
      <c r="C21">
        <f t="shared" si="0"/>
        <v>1000000</v>
      </c>
      <c r="D21">
        <v>11</v>
      </c>
      <c r="E21">
        <f t="shared" si="1"/>
        <v>2750000000</v>
      </c>
      <c r="G21">
        <f>10^4</f>
        <v>10000</v>
      </c>
      <c r="H21">
        <v>39</v>
      </c>
      <c r="I21">
        <f t="shared" si="3"/>
        <v>97500000</v>
      </c>
      <c r="K21">
        <f t="shared" si="4"/>
        <v>97500000</v>
      </c>
      <c r="L21">
        <f t="shared" si="5"/>
        <v>2652500000</v>
      </c>
      <c r="M21">
        <f t="shared" si="6"/>
        <v>27.205128205128204</v>
      </c>
      <c r="AJ21" s="47"/>
      <c r="AK21" s="43"/>
      <c r="AL21" s="43"/>
      <c r="AM21" s="43"/>
      <c r="AN21" s="43"/>
      <c r="AO21" s="43"/>
      <c r="AP21" s="43"/>
      <c r="AQ21" s="43"/>
      <c r="AR21" s="48"/>
    </row>
    <row r="22" spans="2:45" x14ac:dyDescent="0.2">
      <c r="B22" t="s">
        <v>174</v>
      </c>
      <c r="C22">
        <f t="shared" si="0"/>
        <v>1000000</v>
      </c>
      <c r="D22">
        <v>12</v>
      </c>
      <c r="E22">
        <f t="shared" si="1"/>
        <v>3000000000</v>
      </c>
      <c r="G22">
        <f t="shared" ref="G22:G25" si="7">10^4</f>
        <v>10000</v>
      </c>
      <c r="H22">
        <v>45</v>
      </c>
      <c r="I22">
        <f t="shared" si="3"/>
        <v>112500000</v>
      </c>
      <c r="K22">
        <f t="shared" si="4"/>
        <v>112500000</v>
      </c>
      <c r="L22">
        <f t="shared" si="5"/>
        <v>2887500000</v>
      </c>
      <c r="M22">
        <f t="shared" si="6"/>
        <v>25.666666666666668</v>
      </c>
      <c r="R22" t="s">
        <v>93</v>
      </c>
      <c r="AJ22" s="47" t="s">
        <v>398</v>
      </c>
      <c r="AK22" s="43" t="s">
        <v>399</v>
      </c>
      <c r="AL22" s="43" t="s">
        <v>400</v>
      </c>
      <c r="AM22" s="43" t="s">
        <v>401</v>
      </c>
      <c r="AN22" s="43" t="s">
        <v>402</v>
      </c>
      <c r="AO22" s="43" t="s">
        <v>403</v>
      </c>
      <c r="AP22" s="43"/>
      <c r="AQ22" s="43"/>
      <c r="AR22" s="48"/>
    </row>
    <row r="23" spans="2:45" x14ac:dyDescent="0.2">
      <c r="B23" t="s">
        <v>175</v>
      </c>
      <c r="C23">
        <f t="shared" si="0"/>
        <v>1000000</v>
      </c>
      <c r="D23">
        <v>14</v>
      </c>
      <c r="E23">
        <f t="shared" si="1"/>
        <v>3500000000</v>
      </c>
      <c r="G23">
        <f t="shared" si="7"/>
        <v>10000</v>
      </c>
      <c r="H23">
        <v>18</v>
      </c>
      <c r="I23">
        <f t="shared" si="3"/>
        <v>45000000</v>
      </c>
      <c r="K23">
        <f t="shared" si="4"/>
        <v>45000000</v>
      </c>
      <c r="L23">
        <f t="shared" si="5"/>
        <v>3455000000</v>
      </c>
      <c r="M23">
        <f t="shared" si="6"/>
        <v>76.777777777777771</v>
      </c>
      <c r="Q23" t="s">
        <v>159</v>
      </c>
      <c r="R23">
        <f>M38/M7</f>
        <v>0.335796030711285</v>
      </c>
      <c r="AJ23" s="47"/>
      <c r="AK23" s="43"/>
      <c r="AL23" s="43"/>
      <c r="AM23" s="43"/>
      <c r="AN23" s="43"/>
      <c r="AO23" s="43"/>
      <c r="AP23" s="43"/>
      <c r="AQ23" s="43"/>
      <c r="AR23" s="48"/>
    </row>
    <row r="24" spans="2:45" x14ac:dyDescent="0.2">
      <c r="B24" t="s">
        <v>176</v>
      </c>
      <c r="C24">
        <f t="shared" si="0"/>
        <v>1000000</v>
      </c>
      <c r="D24">
        <v>19</v>
      </c>
      <c r="E24">
        <f t="shared" si="1"/>
        <v>4750000000</v>
      </c>
      <c r="G24">
        <f t="shared" si="7"/>
        <v>10000</v>
      </c>
      <c r="H24">
        <v>14</v>
      </c>
      <c r="I24">
        <f t="shared" si="3"/>
        <v>35000000</v>
      </c>
      <c r="K24">
        <f t="shared" si="4"/>
        <v>35000000</v>
      </c>
      <c r="L24">
        <f t="shared" si="5"/>
        <v>4715000000</v>
      </c>
      <c r="M24">
        <f t="shared" si="6"/>
        <v>134.71428571428572</v>
      </c>
      <c r="Q24" t="s">
        <v>160</v>
      </c>
      <c r="R24">
        <f t="shared" ref="R24:R47" si="8">M39/M8</f>
        <v>0.42292879810210432</v>
      </c>
      <c r="AJ24" s="47" t="s">
        <v>66</v>
      </c>
      <c r="AK24" s="43"/>
      <c r="AL24" s="43"/>
      <c r="AM24" s="43"/>
      <c r="AN24" s="43"/>
      <c r="AO24" s="43"/>
      <c r="AP24" s="43"/>
      <c r="AQ24" s="43"/>
      <c r="AR24" s="48"/>
    </row>
    <row r="25" spans="2:45" x14ac:dyDescent="0.2">
      <c r="B25" t="s">
        <v>177</v>
      </c>
      <c r="C25">
        <f t="shared" si="0"/>
        <v>1000000</v>
      </c>
      <c r="D25">
        <v>18</v>
      </c>
      <c r="E25">
        <f t="shared" si="1"/>
        <v>4500000000</v>
      </c>
      <c r="G25">
        <f t="shared" si="7"/>
        <v>10000</v>
      </c>
      <c r="H25">
        <v>10</v>
      </c>
      <c r="I25">
        <f t="shared" si="3"/>
        <v>25000000</v>
      </c>
      <c r="K25">
        <f t="shared" si="4"/>
        <v>25000000</v>
      </c>
      <c r="L25">
        <f t="shared" si="5"/>
        <v>4475000000</v>
      </c>
      <c r="M25">
        <f t="shared" si="6"/>
        <v>179</v>
      </c>
      <c r="Q25" t="s">
        <v>161</v>
      </c>
      <c r="R25">
        <f t="shared" si="8"/>
        <v>0.42518775274407855</v>
      </c>
      <c r="W25" t="s">
        <v>94</v>
      </c>
      <c r="X25" t="s">
        <v>99</v>
      </c>
      <c r="AJ25" s="47" t="s">
        <v>480</v>
      </c>
      <c r="AK25" s="43">
        <v>-9.5289999999999999</v>
      </c>
      <c r="AL25" s="43" t="s">
        <v>481</v>
      </c>
      <c r="AM25" s="43" t="s">
        <v>406</v>
      </c>
      <c r="AN25" s="43" t="s">
        <v>407</v>
      </c>
      <c r="AO25" s="43" t="s">
        <v>408</v>
      </c>
      <c r="AP25" s="43"/>
      <c r="AQ25" s="43"/>
      <c r="AR25" s="48"/>
    </row>
    <row r="26" spans="2:45" x14ac:dyDescent="0.2">
      <c r="B26" t="s">
        <v>178</v>
      </c>
      <c r="C26">
        <f t="shared" si="0"/>
        <v>1000000</v>
      </c>
      <c r="D26">
        <v>18</v>
      </c>
      <c r="E26">
        <f t="shared" si="1"/>
        <v>4500000000</v>
      </c>
      <c r="G26">
        <f>10^4</f>
        <v>10000</v>
      </c>
      <c r="H26">
        <v>43</v>
      </c>
      <c r="I26">
        <f t="shared" si="3"/>
        <v>107500000</v>
      </c>
      <c r="K26">
        <f t="shared" si="4"/>
        <v>107500000</v>
      </c>
      <c r="L26">
        <f t="shared" si="5"/>
        <v>4392500000</v>
      </c>
      <c r="M26">
        <f t="shared" si="6"/>
        <v>40.860465116279073</v>
      </c>
      <c r="Q26" t="s">
        <v>162</v>
      </c>
      <c r="R26">
        <f t="shared" si="8"/>
        <v>12.005089058524172</v>
      </c>
      <c r="V26" t="s">
        <v>179</v>
      </c>
      <c r="W26">
        <f>AVERAGE(R23:R25)</f>
        <v>0.39463752718582262</v>
      </c>
      <c r="X26">
        <f>STDEV(R23:R25)/SQRT(3)</f>
        <v>2.9427974216952726E-2</v>
      </c>
      <c r="AJ26" s="47" t="s">
        <v>482</v>
      </c>
      <c r="AK26" s="43">
        <v>-0.73499999999999999</v>
      </c>
      <c r="AL26" s="43" t="s">
        <v>483</v>
      </c>
      <c r="AM26" s="43" t="s">
        <v>413</v>
      </c>
      <c r="AN26" s="43" t="s">
        <v>323</v>
      </c>
      <c r="AO26" s="43">
        <v>0.60450000000000004</v>
      </c>
      <c r="AP26" s="43"/>
      <c r="AQ26" s="43"/>
      <c r="AR26" s="43"/>
      <c r="AS26" s="4"/>
    </row>
    <row r="27" spans="2:45" x14ac:dyDescent="0.2">
      <c r="B27" t="s">
        <v>180</v>
      </c>
      <c r="C27">
        <f t="shared" si="0"/>
        <v>1000000</v>
      </c>
      <c r="D27">
        <v>14</v>
      </c>
      <c r="E27">
        <f t="shared" si="1"/>
        <v>3500000000</v>
      </c>
      <c r="G27">
        <f t="shared" ref="G27:G28" si="9">10^4</f>
        <v>10000</v>
      </c>
      <c r="H27">
        <v>37</v>
      </c>
      <c r="I27">
        <f t="shared" si="3"/>
        <v>92500000</v>
      </c>
      <c r="K27">
        <f t="shared" si="4"/>
        <v>92500000</v>
      </c>
      <c r="L27">
        <f t="shared" si="5"/>
        <v>3407500000</v>
      </c>
      <c r="M27">
        <f t="shared" si="6"/>
        <v>36.837837837837839</v>
      </c>
      <c r="Q27" t="s">
        <v>163</v>
      </c>
      <c r="R27">
        <f t="shared" si="8"/>
        <v>8.0128118678354685</v>
      </c>
      <c r="V27" t="s">
        <v>181</v>
      </c>
      <c r="W27">
        <f>AVERAGE(R26:R28)</f>
        <v>9.9240365601894656</v>
      </c>
      <c r="X27">
        <f>STDEV(R26:R28)/SQRT(3)</f>
        <v>1.1555951431457991</v>
      </c>
      <c r="AB27" s="45" t="s">
        <v>423</v>
      </c>
      <c r="AC27" s="46" t="s">
        <v>456</v>
      </c>
      <c r="AD27" s="46"/>
      <c r="AE27" s="46"/>
      <c r="AF27" s="46"/>
      <c r="AG27" s="46"/>
      <c r="AH27" s="2"/>
      <c r="AI27" s="2"/>
      <c r="AJ27" s="47" t="s">
        <v>484</v>
      </c>
      <c r="AK27" s="43">
        <v>-6.3719999999999999E-2</v>
      </c>
      <c r="AL27" s="43" t="s">
        <v>485</v>
      </c>
      <c r="AM27" s="43" t="s">
        <v>413</v>
      </c>
      <c r="AN27" s="43" t="s">
        <v>323</v>
      </c>
      <c r="AO27" s="43">
        <v>0.99950000000000006</v>
      </c>
      <c r="AP27" s="43"/>
      <c r="AQ27" s="43"/>
      <c r="AR27" s="48"/>
    </row>
    <row r="28" spans="2:45" x14ac:dyDescent="0.2">
      <c r="B28" t="s">
        <v>182</v>
      </c>
      <c r="C28">
        <f t="shared" si="0"/>
        <v>1000000</v>
      </c>
      <c r="D28">
        <v>10</v>
      </c>
      <c r="E28">
        <f t="shared" si="1"/>
        <v>2500000000</v>
      </c>
      <c r="G28">
        <f t="shared" si="9"/>
        <v>10000</v>
      </c>
      <c r="H28">
        <v>37</v>
      </c>
      <c r="I28">
        <f t="shared" si="3"/>
        <v>92500000</v>
      </c>
      <c r="K28">
        <f t="shared" si="4"/>
        <v>92500000</v>
      </c>
      <c r="L28">
        <f t="shared" si="5"/>
        <v>2407500000</v>
      </c>
      <c r="M28">
        <f t="shared" si="6"/>
        <v>26.027027027027028</v>
      </c>
      <c r="Q28" t="s">
        <v>164</v>
      </c>
      <c r="R28">
        <f t="shared" si="8"/>
        <v>9.7542087542087543</v>
      </c>
      <c r="V28" t="s">
        <v>185</v>
      </c>
      <c r="W28">
        <f>AVERAGE(R32:R34)</f>
        <v>1.1296291946162749</v>
      </c>
      <c r="X28">
        <f>STDEV(R32:R34)/SQRT(3)</f>
        <v>0.11829447198901392</v>
      </c>
      <c r="AB28" s="47"/>
      <c r="AC28" s="43"/>
      <c r="AD28" s="43"/>
      <c r="AE28" s="43"/>
      <c r="AF28" s="43"/>
      <c r="AG28" s="43"/>
      <c r="AJ28" s="47" t="s">
        <v>486</v>
      </c>
      <c r="AK28" s="43">
        <v>8.7940000000000005</v>
      </c>
      <c r="AL28" s="43" t="s">
        <v>487</v>
      </c>
      <c r="AM28" s="43" t="s">
        <v>406</v>
      </c>
      <c r="AN28" s="43" t="s">
        <v>407</v>
      </c>
      <c r="AO28" s="43" t="s">
        <v>408</v>
      </c>
      <c r="AP28" s="43"/>
      <c r="AQ28" s="43"/>
      <c r="AR28" s="48"/>
    </row>
    <row r="29" spans="2:45" x14ac:dyDescent="0.2">
      <c r="B29" t="s">
        <v>184</v>
      </c>
      <c r="C29">
        <f t="shared" si="0"/>
        <v>1000000</v>
      </c>
      <c r="D29">
        <v>14</v>
      </c>
      <c r="E29">
        <f t="shared" si="1"/>
        <v>3500000000</v>
      </c>
      <c r="G29">
        <f>10^5</f>
        <v>100000</v>
      </c>
      <c r="H29">
        <v>10</v>
      </c>
      <c r="I29">
        <f t="shared" si="3"/>
        <v>250000000</v>
      </c>
      <c r="K29">
        <f t="shared" si="4"/>
        <v>250000000</v>
      </c>
      <c r="L29">
        <f t="shared" si="5"/>
        <v>3250000000</v>
      </c>
      <c r="M29">
        <f t="shared" si="6"/>
        <v>13</v>
      </c>
      <c r="Q29" t="s">
        <v>165</v>
      </c>
      <c r="R29">
        <f t="shared" si="8"/>
        <v>0.36545759421057272</v>
      </c>
      <c r="V29" t="s">
        <v>183</v>
      </c>
      <c r="W29">
        <f>AVERAGE(R29:R31)</f>
        <v>0.4583570218356538</v>
      </c>
      <c r="X29">
        <f>STDEV(R29:R31)/SQRT(3)</f>
        <v>8.9917108809700594E-2</v>
      </c>
      <c r="AB29" s="47" t="s">
        <v>457</v>
      </c>
      <c r="AC29" s="43" t="s">
        <v>458</v>
      </c>
      <c r="AD29" s="43"/>
      <c r="AE29" s="43"/>
      <c r="AF29" s="43"/>
      <c r="AG29" s="43"/>
      <c r="AJ29" s="47" t="s">
        <v>488</v>
      </c>
      <c r="AK29" s="43">
        <v>9.4659999999999993</v>
      </c>
      <c r="AL29" s="43" t="s">
        <v>489</v>
      </c>
      <c r="AM29" s="43" t="s">
        <v>406</v>
      </c>
      <c r="AN29" s="43" t="s">
        <v>407</v>
      </c>
      <c r="AO29" s="43" t="s">
        <v>408</v>
      </c>
      <c r="AP29" s="43"/>
      <c r="AQ29" s="43"/>
      <c r="AR29" s="48"/>
    </row>
    <row r="30" spans="2:45" x14ac:dyDescent="0.2">
      <c r="B30" t="s">
        <v>186</v>
      </c>
      <c r="C30">
        <f t="shared" si="0"/>
        <v>1000000</v>
      </c>
      <c r="D30">
        <v>12</v>
      </c>
      <c r="E30">
        <f t="shared" si="1"/>
        <v>3000000000</v>
      </c>
      <c r="G30">
        <f t="shared" ref="G30:G31" si="10">10^5</f>
        <v>100000</v>
      </c>
      <c r="H30">
        <v>10</v>
      </c>
      <c r="I30">
        <f t="shared" si="3"/>
        <v>250000000</v>
      </c>
      <c r="K30">
        <f t="shared" si="4"/>
        <v>250000000</v>
      </c>
      <c r="L30">
        <f t="shared" si="5"/>
        <v>2750000000</v>
      </c>
      <c r="M30">
        <f t="shared" si="6"/>
        <v>11</v>
      </c>
      <c r="Q30" t="s">
        <v>166</v>
      </c>
      <c r="R30">
        <f t="shared" si="8"/>
        <v>0.37145557655954636</v>
      </c>
      <c r="AB30" s="47" t="s">
        <v>459</v>
      </c>
      <c r="AC30" s="43" t="s">
        <v>406</v>
      </c>
      <c r="AD30" s="43"/>
      <c r="AE30" s="43"/>
      <c r="AF30" s="43"/>
      <c r="AG30" s="43"/>
      <c r="AJ30" s="47" t="s">
        <v>490</v>
      </c>
      <c r="AK30" s="43">
        <v>0.67130000000000001</v>
      </c>
      <c r="AL30" s="43" t="s">
        <v>491</v>
      </c>
      <c r="AM30" s="43" t="s">
        <v>413</v>
      </c>
      <c r="AN30" s="43" t="s">
        <v>323</v>
      </c>
      <c r="AO30" s="43">
        <v>0.66910000000000003</v>
      </c>
      <c r="AP30" s="43"/>
      <c r="AQ30" s="43"/>
      <c r="AR30" s="48"/>
    </row>
    <row r="31" spans="2:45" x14ac:dyDescent="0.2">
      <c r="B31" t="s">
        <v>187</v>
      </c>
      <c r="C31">
        <f t="shared" si="0"/>
        <v>1000000</v>
      </c>
      <c r="D31">
        <v>10</v>
      </c>
      <c r="E31">
        <f t="shared" si="1"/>
        <v>2500000000</v>
      </c>
      <c r="G31">
        <f t="shared" si="10"/>
        <v>100000</v>
      </c>
      <c r="H31">
        <v>11</v>
      </c>
      <c r="I31">
        <f t="shared" si="3"/>
        <v>275000000</v>
      </c>
      <c r="K31">
        <f t="shared" si="4"/>
        <v>275000000</v>
      </c>
      <c r="L31">
        <f t="shared" si="5"/>
        <v>2225000000</v>
      </c>
      <c r="M31">
        <f t="shared" si="6"/>
        <v>8.0909090909090917</v>
      </c>
      <c r="Q31" t="s">
        <v>168</v>
      </c>
      <c r="R31">
        <f t="shared" si="8"/>
        <v>0.63815789473684215</v>
      </c>
      <c r="V31" t="s">
        <v>188</v>
      </c>
      <c r="W31">
        <f>AVERAGE(R36:R38)</f>
        <v>0.32349872088326376</v>
      </c>
      <c r="X31">
        <f>STDEV(R36:R38)/SQRT(3)</f>
        <v>8.636310988583748E-2</v>
      </c>
      <c r="AB31" s="47" t="s">
        <v>397</v>
      </c>
      <c r="AC31" s="43">
        <v>0.05</v>
      </c>
      <c r="AD31" s="43"/>
      <c r="AE31" s="43"/>
      <c r="AF31" s="43"/>
      <c r="AG31" s="43"/>
      <c r="AJ31" s="47"/>
      <c r="AK31" s="43"/>
      <c r="AL31" s="43"/>
      <c r="AM31" s="43"/>
      <c r="AN31" s="43"/>
      <c r="AO31" s="43"/>
      <c r="AP31" s="43"/>
      <c r="AQ31" s="43"/>
      <c r="AR31" s="48"/>
    </row>
    <row r="32" spans="2:45" x14ac:dyDescent="0.2">
      <c r="Q32" t="s">
        <v>169</v>
      </c>
      <c r="R32">
        <f t="shared" si="8"/>
        <v>1.2314814814814816</v>
      </c>
      <c r="V32" t="s">
        <v>189</v>
      </c>
      <c r="W32">
        <f>AVERAGE(R39:R41)</f>
        <v>0.23050052066352114</v>
      </c>
      <c r="X32">
        <f>STDEV(R39:R41)/SQRT(3)</f>
        <v>4.756427429148493E-2</v>
      </c>
      <c r="AB32" s="47"/>
      <c r="AC32" s="43"/>
      <c r="AD32" s="43"/>
      <c r="AE32" s="43"/>
      <c r="AF32" s="43"/>
      <c r="AG32" s="43"/>
      <c r="AJ32" s="47" t="s">
        <v>492</v>
      </c>
      <c r="AK32" s="43"/>
      <c r="AL32" s="43"/>
      <c r="AM32" s="43"/>
      <c r="AN32" s="43"/>
      <c r="AO32" s="43"/>
      <c r="AP32" s="43"/>
      <c r="AQ32" s="43"/>
      <c r="AR32" s="48"/>
    </row>
    <row r="33" spans="1:44" x14ac:dyDescent="0.2">
      <c r="Q33" t="s">
        <v>170</v>
      </c>
      <c r="R33">
        <f t="shared" si="8"/>
        <v>1.2636363636363637</v>
      </c>
      <c r="V33" t="s">
        <v>191</v>
      </c>
      <c r="W33">
        <f>AVERAGE(R45:R47)</f>
        <v>1.0282773133490941</v>
      </c>
      <c r="X33">
        <f>STDEV(R45:R47)/SQRT(3)</f>
        <v>9.1196620374121795E-2</v>
      </c>
      <c r="AB33" s="47" t="s">
        <v>426</v>
      </c>
      <c r="AC33" s="43" t="s">
        <v>427</v>
      </c>
      <c r="AD33" s="43" t="s">
        <v>428</v>
      </c>
      <c r="AE33" s="43" t="s">
        <v>429</v>
      </c>
      <c r="AF33" s="43" t="s">
        <v>430</v>
      </c>
      <c r="AG33" s="43"/>
      <c r="AJ33" s="47" t="s">
        <v>480</v>
      </c>
      <c r="AK33" s="43">
        <v>9.2999999999999999E-2</v>
      </c>
      <c r="AL33" s="43" t="s">
        <v>493</v>
      </c>
      <c r="AM33" s="43" t="s">
        <v>413</v>
      </c>
      <c r="AN33" s="43" t="s">
        <v>323</v>
      </c>
      <c r="AO33" s="43">
        <v>0.99850000000000005</v>
      </c>
      <c r="AP33" s="43"/>
      <c r="AQ33" s="43"/>
      <c r="AR33" s="48"/>
    </row>
    <row r="34" spans="1:44" x14ac:dyDescent="0.2">
      <c r="Q34" t="s">
        <v>171</v>
      </c>
      <c r="R34">
        <f t="shared" si="8"/>
        <v>0.89376973873097909</v>
      </c>
      <c r="V34" t="s">
        <v>190</v>
      </c>
      <c r="W34">
        <f>AVERAGE(R42:R44)</f>
        <v>0.31203040706748059</v>
      </c>
      <c r="X34">
        <f>STDEV(R42:R44)/SQRT(3)</f>
        <v>4.3600983317269949E-2</v>
      </c>
      <c r="AB34" s="47" t="s">
        <v>460</v>
      </c>
      <c r="AC34" s="43">
        <v>42.88</v>
      </c>
      <c r="AD34" s="43" t="s">
        <v>408</v>
      </c>
      <c r="AE34" s="43" t="s">
        <v>407</v>
      </c>
      <c r="AF34" s="43" t="s">
        <v>406</v>
      </c>
      <c r="AG34" s="43"/>
      <c r="AJ34" s="47" t="s">
        <v>482</v>
      </c>
      <c r="AK34" s="43">
        <v>-0.70479999999999998</v>
      </c>
      <c r="AL34" s="43" t="s">
        <v>494</v>
      </c>
      <c r="AM34" s="43" t="s">
        <v>413</v>
      </c>
      <c r="AN34" s="43" t="s">
        <v>323</v>
      </c>
      <c r="AO34" s="43">
        <v>0.63519999999999999</v>
      </c>
      <c r="AP34" s="43"/>
      <c r="AQ34" s="43"/>
      <c r="AR34" s="48"/>
    </row>
    <row r="35" spans="1:44" x14ac:dyDescent="0.2">
      <c r="AB35" s="47" t="s">
        <v>461</v>
      </c>
      <c r="AC35" s="43">
        <v>15.59</v>
      </c>
      <c r="AD35" s="43" t="s">
        <v>408</v>
      </c>
      <c r="AE35" s="43" t="s">
        <v>407</v>
      </c>
      <c r="AF35" s="43" t="s">
        <v>406</v>
      </c>
      <c r="AG35" s="43"/>
      <c r="AJ35" s="47" t="s">
        <v>484</v>
      </c>
      <c r="AK35" s="43">
        <v>1.1469999999999999E-2</v>
      </c>
      <c r="AL35" s="43" t="s">
        <v>495</v>
      </c>
      <c r="AM35" s="43" t="s">
        <v>413</v>
      </c>
      <c r="AN35" s="43" t="s">
        <v>323</v>
      </c>
      <c r="AO35" s="43" t="s">
        <v>455</v>
      </c>
      <c r="AP35" s="43"/>
      <c r="AQ35" s="43"/>
      <c r="AR35" s="48"/>
    </row>
    <row r="36" spans="1:44" x14ac:dyDescent="0.2">
      <c r="D36" t="s">
        <v>55</v>
      </c>
      <c r="H36" t="s">
        <v>157</v>
      </c>
      <c r="Q36" t="s">
        <v>172</v>
      </c>
      <c r="R36">
        <f>M51/M20</f>
        <v>0.19642857142857142</v>
      </c>
      <c r="AB36" s="47" t="s">
        <v>432</v>
      </c>
      <c r="AC36" s="43">
        <v>38.1</v>
      </c>
      <c r="AD36" s="43" t="s">
        <v>408</v>
      </c>
      <c r="AE36" s="43" t="s">
        <v>407</v>
      </c>
      <c r="AF36" s="43" t="s">
        <v>406</v>
      </c>
      <c r="AG36" s="43"/>
      <c r="AJ36" s="47" t="s">
        <v>486</v>
      </c>
      <c r="AK36" s="43">
        <v>-0.79779999999999995</v>
      </c>
      <c r="AL36" s="43" t="s">
        <v>496</v>
      </c>
      <c r="AM36" s="43" t="s">
        <v>413</v>
      </c>
      <c r="AN36" s="43" t="s">
        <v>323</v>
      </c>
      <c r="AO36" s="43">
        <v>0.54110000000000003</v>
      </c>
      <c r="AP36" s="43"/>
      <c r="AQ36" s="43"/>
      <c r="AR36" s="48"/>
    </row>
    <row r="37" spans="1:44" x14ac:dyDescent="0.2">
      <c r="A37" t="s">
        <v>80</v>
      </c>
      <c r="C37" t="s">
        <v>60</v>
      </c>
      <c r="D37" t="s">
        <v>61</v>
      </c>
      <c r="E37" t="s">
        <v>62</v>
      </c>
      <c r="G37" t="s">
        <v>60</v>
      </c>
      <c r="H37" t="s">
        <v>61</v>
      </c>
      <c r="I37" t="s">
        <v>62</v>
      </c>
      <c r="K37" t="s">
        <v>63</v>
      </c>
      <c r="L37" t="s">
        <v>64</v>
      </c>
      <c r="M37" t="s">
        <v>158</v>
      </c>
      <c r="Q37" t="s">
        <v>173</v>
      </c>
      <c r="R37">
        <f t="shared" si="8"/>
        <v>0.48835330550693418</v>
      </c>
      <c r="AB37" s="47" t="s">
        <v>462</v>
      </c>
      <c r="AC37" s="43">
        <v>1.83</v>
      </c>
      <c r="AD37" s="43">
        <v>0.42680000000000001</v>
      </c>
      <c r="AE37" s="43" t="s">
        <v>323</v>
      </c>
      <c r="AF37" s="43" t="s">
        <v>413</v>
      </c>
      <c r="AG37" s="43"/>
      <c r="AJ37" s="47" t="s">
        <v>488</v>
      </c>
      <c r="AK37" s="43">
        <v>-8.1530000000000005E-2</v>
      </c>
      <c r="AL37" s="43" t="s">
        <v>497</v>
      </c>
      <c r="AM37" s="43" t="s">
        <v>413</v>
      </c>
      <c r="AN37" s="43" t="s">
        <v>323</v>
      </c>
      <c r="AO37" s="43">
        <v>0.999</v>
      </c>
      <c r="AP37" s="43"/>
      <c r="AQ37" s="43"/>
      <c r="AR37" s="48"/>
    </row>
    <row r="38" spans="1:44" x14ac:dyDescent="0.2">
      <c r="B38" t="s">
        <v>159</v>
      </c>
      <c r="C38">
        <f>10^5</f>
        <v>100000</v>
      </c>
      <c r="D38">
        <v>27</v>
      </c>
      <c r="E38">
        <f>C38*D38/0.004</f>
        <v>675000000</v>
      </c>
      <c r="G38">
        <f>10^4</f>
        <v>10000</v>
      </c>
      <c r="H38">
        <v>26</v>
      </c>
      <c r="I38">
        <f>G38*H38/0.004</f>
        <v>65000000</v>
      </c>
      <c r="K38">
        <f>I38</f>
        <v>65000000</v>
      </c>
      <c r="L38">
        <f>E38-I38</f>
        <v>610000000</v>
      </c>
      <c r="M38">
        <f>L38/K38</f>
        <v>9.384615384615385</v>
      </c>
      <c r="Q38" t="s">
        <v>174</v>
      </c>
      <c r="R38">
        <f t="shared" si="8"/>
        <v>0.2857142857142857</v>
      </c>
      <c r="AB38" s="47"/>
      <c r="AC38" s="43"/>
      <c r="AD38" s="43"/>
      <c r="AE38" s="43"/>
      <c r="AF38" s="43"/>
      <c r="AG38" s="43"/>
      <c r="AJ38" s="47" t="s">
        <v>490</v>
      </c>
      <c r="AK38" s="43">
        <v>0.71619999999999995</v>
      </c>
      <c r="AL38" s="43" t="s">
        <v>498</v>
      </c>
      <c r="AM38" s="43" t="s">
        <v>413</v>
      </c>
      <c r="AN38" s="43" t="s">
        <v>323</v>
      </c>
      <c r="AO38" s="43">
        <v>0.62360000000000004</v>
      </c>
      <c r="AP38" s="43"/>
      <c r="AQ38" s="43"/>
      <c r="AR38" s="48"/>
    </row>
    <row r="39" spans="1:44" x14ac:dyDescent="0.2">
      <c r="B39" t="s">
        <v>160</v>
      </c>
      <c r="C39">
        <f t="shared" ref="C39:C62" si="11">10^5</f>
        <v>100000</v>
      </c>
      <c r="D39">
        <v>29</v>
      </c>
      <c r="E39">
        <f t="shared" ref="E39:E49" si="12">C39*D39/0.004</f>
        <v>725000000</v>
      </c>
      <c r="G39">
        <f t="shared" ref="G39:G40" si="13">10^4</f>
        <v>10000</v>
      </c>
      <c r="H39">
        <v>31</v>
      </c>
      <c r="I39">
        <f t="shared" ref="I39:I49" si="14">G39*H39/0.004</f>
        <v>77500000</v>
      </c>
      <c r="K39">
        <f t="shared" ref="K39:K49" si="15">I39</f>
        <v>77500000</v>
      </c>
      <c r="L39">
        <f t="shared" ref="L39:L49" si="16">E39-I39</f>
        <v>647500000</v>
      </c>
      <c r="M39">
        <f t="shared" ref="M39:M49" si="17">L39/K39</f>
        <v>8.3548387096774199</v>
      </c>
      <c r="Q39" t="s">
        <v>175</v>
      </c>
      <c r="R39">
        <f t="shared" si="8"/>
        <v>0.32561505065123014</v>
      </c>
      <c r="AB39" s="47" t="s">
        <v>433</v>
      </c>
      <c r="AC39" s="43" t="s">
        <v>463</v>
      </c>
      <c r="AD39" s="43" t="s">
        <v>421</v>
      </c>
      <c r="AE39" s="43" t="s">
        <v>435</v>
      </c>
      <c r="AF39" s="43" t="s">
        <v>436</v>
      </c>
      <c r="AG39" s="43" t="s">
        <v>428</v>
      </c>
      <c r="AJ39" s="47"/>
      <c r="AK39" s="43"/>
      <c r="AL39" s="43"/>
      <c r="AM39" s="43"/>
      <c r="AN39" s="43"/>
      <c r="AO39" s="43"/>
      <c r="AP39" s="43"/>
      <c r="AQ39" s="43"/>
      <c r="AR39" s="48"/>
    </row>
    <row r="40" spans="1:44" x14ac:dyDescent="0.2">
      <c r="B40" t="s">
        <v>161</v>
      </c>
      <c r="C40">
        <f t="shared" si="11"/>
        <v>100000</v>
      </c>
      <c r="D40">
        <v>35</v>
      </c>
      <c r="E40">
        <f t="shared" si="12"/>
        <v>875000000</v>
      </c>
      <c r="G40">
        <f t="shared" si="13"/>
        <v>10000</v>
      </c>
      <c r="H40">
        <v>30</v>
      </c>
      <c r="I40">
        <f t="shared" si="14"/>
        <v>75000000</v>
      </c>
      <c r="K40">
        <f t="shared" si="15"/>
        <v>75000000</v>
      </c>
      <c r="L40">
        <f t="shared" si="16"/>
        <v>800000000</v>
      </c>
      <c r="M40">
        <f t="shared" si="17"/>
        <v>10.666666666666666</v>
      </c>
      <c r="Q40" t="s">
        <v>176</v>
      </c>
      <c r="R40">
        <f t="shared" si="8"/>
        <v>0.181528969439892</v>
      </c>
      <c r="AB40" s="47" t="s">
        <v>460</v>
      </c>
      <c r="AC40" s="43">
        <v>103.4</v>
      </c>
      <c r="AD40" s="43">
        <v>3</v>
      </c>
      <c r="AE40" s="43">
        <v>34.47</v>
      </c>
      <c r="AF40" s="43" t="s">
        <v>464</v>
      </c>
      <c r="AG40" s="43" t="s">
        <v>440</v>
      </c>
      <c r="AJ40" s="47"/>
      <c r="AK40" s="43"/>
      <c r="AL40" s="43"/>
      <c r="AM40" s="43"/>
      <c r="AN40" s="43"/>
      <c r="AO40" s="43"/>
      <c r="AP40" s="43"/>
      <c r="AQ40" s="43"/>
      <c r="AR40" s="48"/>
    </row>
    <row r="41" spans="1:44" x14ac:dyDescent="0.2">
      <c r="B41" t="s">
        <v>162</v>
      </c>
      <c r="C41">
        <f t="shared" si="11"/>
        <v>100000</v>
      </c>
      <c r="D41">
        <v>27</v>
      </c>
      <c r="E41">
        <f t="shared" si="12"/>
        <v>675000000</v>
      </c>
      <c r="G41">
        <f>10^2</f>
        <v>100</v>
      </c>
      <c r="H41">
        <v>40</v>
      </c>
      <c r="I41">
        <f t="shared" si="14"/>
        <v>1000000</v>
      </c>
      <c r="K41">
        <f t="shared" si="15"/>
        <v>1000000</v>
      </c>
      <c r="L41">
        <f t="shared" si="16"/>
        <v>674000000</v>
      </c>
      <c r="M41">
        <f t="shared" si="17"/>
        <v>674</v>
      </c>
      <c r="Q41" t="s">
        <v>177</v>
      </c>
      <c r="R41">
        <f t="shared" si="8"/>
        <v>0.18435754189944134</v>
      </c>
      <c r="AB41" s="47" t="s">
        <v>461</v>
      </c>
      <c r="AC41" s="43">
        <v>37.590000000000003</v>
      </c>
      <c r="AD41" s="43">
        <v>1</v>
      </c>
      <c r="AE41" s="43">
        <v>37.590000000000003</v>
      </c>
      <c r="AF41" s="43" t="s">
        <v>465</v>
      </c>
      <c r="AG41" s="43" t="s">
        <v>440</v>
      </c>
      <c r="AJ41" s="47" t="s">
        <v>414</v>
      </c>
      <c r="AK41" s="43" t="s">
        <v>415</v>
      </c>
      <c r="AL41" s="43" t="s">
        <v>416</v>
      </c>
      <c r="AM41" s="43" t="s">
        <v>399</v>
      </c>
      <c r="AN41" s="43" t="s">
        <v>417</v>
      </c>
      <c r="AO41" s="43" t="s">
        <v>418</v>
      </c>
      <c r="AP41" s="43" t="s">
        <v>419</v>
      </c>
      <c r="AQ41" s="43" t="s">
        <v>420</v>
      </c>
      <c r="AR41" s="48" t="s">
        <v>421</v>
      </c>
    </row>
    <row r="42" spans="1:44" x14ac:dyDescent="0.2">
      <c r="B42" t="s">
        <v>163</v>
      </c>
      <c r="C42">
        <f t="shared" si="11"/>
        <v>100000</v>
      </c>
      <c r="D42">
        <v>28</v>
      </c>
      <c r="E42">
        <f t="shared" si="12"/>
        <v>700000000</v>
      </c>
      <c r="G42">
        <f t="shared" ref="G42:G43" si="18">10^2</f>
        <v>100</v>
      </c>
      <c r="H42">
        <v>40</v>
      </c>
      <c r="I42">
        <f t="shared" si="14"/>
        <v>1000000</v>
      </c>
      <c r="K42">
        <f t="shared" si="15"/>
        <v>1000000</v>
      </c>
      <c r="L42">
        <f t="shared" si="16"/>
        <v>699000000</v>
      </c>
      <c r="M42">
        <f t="shared" si="17"/>
        <v>699</v>
      </c>
      <c r="Q42" t="s">
        <v>178</v>
      </c>
      <c r="R42">
        <f t="shared" si="8"/>
        <v>0.26105103395940044</v>
      </c>
      <c r="AB42" s="47" t="s">
        <v>432</v>
      </c>
      <c r="AC42" s="43">
        <v>91.9</v>
      </c>
      <c r="AD42" s="43">
        <v>3</v>
      </c>
      <c r="AE42" s="43">
        <v>30.63</v>
      </c>
      <c r="AF42" s="43" t="s">
        <v>466</v>
      </c>
      <c r="AG42" s="43" t="s">
        <v>440</v>
      </c>
      <c r="AJ42" s="47"/>
      <c r="AK42" s="43"/>
      <c r="AL42" s="43"/>
      <c r="AM42" s="43"/>
      <c r="AN42" s="43"/>
      <c r="AO42" s="43"/>
      <c r="AP42" s="43"/>
      <c r="AQ42" s="43"/>
      <c r="AR42" s="48"/>
    </row>
    <row r="43" spans="1:44" x14ac:dyDescent="0.2">
      <c r="B43" t="s">
        <v>164</v>
      </c>
      <c r="C43">
        <f t="shared" si="11"/>
        <v>100000</v>
      </c>
      <c r="D43">
        <v>29</v>
      </c>
      <c r="E43">
        <f t="shared" si="12"/>
        <v>725000000</v>
      </c>
      <c r="G43">
        <f t="shared" si="18"/>
        <v>100</v>
      </c>
      <c r="H43">
        <v>30</v>
      </c>
      <c r="I43">
        <f t="shared" si="14"/>
        <v>750000</v>
      </c>
      <c r="K43">
        <f t="shared" si="15"/>
        <v>750000</v>
      </c>
      <c r="L43">
        <f t="shared" si="16"/>
        <v>724250000</v>
      </c>
      <c r="M43">
        <f t="shared" si="17"/>
        <v>965.66666666666663</v>
      </c>
      <c r="Q43" t="s">
        <v>180</v>
      </c>
      <c r="R43">
        <f t="shared" si="8"/>
        <v>0.27625048552069392</v>
      </c>
      <c r="AB43" s="47" t="s">
        <v>462</v>
      </c>
      <c r="AC43" s="43">
        <v>4.4130000000000003</v>
      </c>
      <c r="AD43" s="43">
        <v>8</v>
      </c>
      <c r="AE43" s="43">
        <v>0.55159999999999998</v>
      </c>
      <c r="AF43" s="43" t="s">
        <v>467</v>
      </c>
      <c r="AG43" s="43" t="s">
        <v>468</v>
      </c>
      <c r="AJ43" s="47" t="s">
        <v>66</v>
      </c>
      <c r="AK43" s="43"/>
      <c r="AL43" s="43"/>
      <c r="AM43" s="43"/>
      <c r="AN43" s="43"/>
      <c r="AO43" s="43"/>
      <c r="AP43" s="43"/>
      <c r="AQ43" s="43"/>
      <c r="AR43" s="48"/>
    </row>
    <row r="44" spans="1:44" x14ac:dyDescent="0.2">
      <c r="B44" t="s">
        <v>165</v>
      </c>
      <c r="C44">
        <f t="shared" si="11"/>
        <v>100000</v>
      </c>
      <c r="D44">
        <v>33</v>
      </c>
      <c r="E44">
        <f t="shared" si="12"/>
        <v>825000000</v>
      </c>
      <c r="G44">
        <f>10^4</f>
        <v>10000</v>
      </c>
      <c r="H44">
        <v>27</v>
      </c>
      <c r="I44">
        <f t="shared" si="14"/>
        <v>67500000</v>
      </c>
      <c r="K44">
        <f t="shared" si="15"/>
        <v>67500000</v>
      </c>
      <c r="L44">
        <f t="shared" si="16"/>
        <v>757500000</v>
      </c>
      <c r="M44">
        <f t="shared" si="17"/>
        <v>11.222222222222221</v>
      </c>
      <c r="Q44" t="s">
        <v>182</v>
      </c>
      <c r="R44">
        <f t="shared" si="8"/>
        <v>0.39878970172234751</v>
      </c>
      <c r="AB44" s="47" t="s">
        <v>441</v>
      </c>
      <c r="AC44" s="43">
        <v>3.8570000000000002</v>
      </c>
      <c r="AD44" s="43">
        <v>8</v>
      </c>
      <c r="AE44" s="43">
        <v>0.48209999999999997</v>
      </c>
      <c r="AF44" s="43"/>
      <c r="AG44" s="43"/>
      <c r="AJ44" s="47" t="s">
        <v>480</v>
      </c>
      <c r="AK44" s="43">
        <v>0.39460000000000001</v>
      </c>
      <c r="AL44" s="43">
        <v>9.9239999999999995</v>
      </c>
      <c r="AM44" s="43">
        <v>-9.5289999999999999</v>
      </c>
      <c r="AN44" s="43">
        <v>0.58699999999999997</v>
      </c>
      <c r="AO44" s="43">
        <v>3</v>
      </c>
      <c r="AP44" s="43">
        <v>3</v>
      </c>
      <c r="AQ44" s="43">
        <v>22.96</v>
      </c>
      <c r="AR44" s="48">
        <v>16</v>
      </c>
    </row>
    <row r="45" spans="1:44" x14ac:dyDescent="0.2">
      <c r="B45" t="s">
        <v>166</v>
      </c>
      <c r="C45">
        <f t="shared" si="11"/>
        <v>100000</v>
      </c>
      <c r="D45">
        <v>29</v>
      </c>
      <c r="E45">
        <f t="shared" si="12"/>
        <v>725000000</v>
      </c>
      <c r="G45">
        <f t="shared" ref="G45:G49" si="19">10^4</f>
        <v>10000</v>
      </c>
      <c r="H45">
        <v>28</v>
      </c>
      <c r="I45">
        <f t="shared" si="14"/>
        <v>70000000</v>
      </c>
      <c r="K45">
        <f t="shared" si="15"/>
        <v>70000000</v>
      </c>
      <c r="L45">
        <f t="shared" si="16"/>
        <v>655000000</v>
      </c>
      <c r="M45">
        <f t="shared" si="17"/>
        <v>9.3571428571428577</v>
      </c>
      <c r="Q45" t="s">
        <v>184</v>
      </c>
      <c r="R45">
        <f t="shared" si="8"/>
        <v>0.87692307692307692</v>
      </c>
      <c r="AB45" s="47"/>
      <c r="AC45" s="43"/>
      <c r="AD45" s="43"/>
      <c r="AE45" s="43"/>
      <c r="AF45" s="43"/>
      <c r="AG45" s="43"/>
      <c r="AJ45" s="47" t="s">
        <v>482</v>
      </c>
      <c r="AK45" s="43">
        <v>0.39460000000000001</v>
      </c>
      <c r="AL45" s="43">
        <v>1.1299999999999999</v>
      </c>
      <c r="AM45" s="43">
        <v>-0.73499999999999999</v>
      </c>
      <c r="AN45" s="43">
        <v>0.58699999999999997</v>
      </c>
      <c r="AO45" s="43">
        <v>3</v>
      </c>
      <c r="AP45" s="43">
        <v>3</v>
      </c>
      <c r="AQ45" s="43">
        <v>1.7709999999999999</v>
      </c>
      <c r="AR45" s="48">
        <v>16</v>
      </c>
    </row>
    <row r="46" spans="1:44" x14ac:dyDescent="0.2">
      <c r="B46" t="s">
        <v>168</v>
      </c>
      <c r="C46">
        <f t="shared" si="11"/>
        <v>100000</v>
      </c>
      <c r="D46">
        <v>31</v>
      </c>
      <c r="E46">
        <f t="shared" si="12"/>
        <v>775000000</v>
      </c>
      <c r="G46">
        <f t="shared" si="19"/>
        <v>10000</v>
      </c>
      <c r="H46">
        <v>19</v>
      </c>
      <c r="I46">
        <f t="shared" si="14"/>
        <v>47500000</v>
      </c>
      <c r="K46">
        <f t="shared" si="15"/>
        <v>47500000</v>
      </c>
      <c r="L46">
        <f t="shared" si="16"/>
        <v>727500000</v>
      </c>
      <c r="M46">
        <f t="shared" si="17"/>
        <v>15.315789473684211</v>
      </c>
      <c r="Q46" t="s">
        <v>186</v>
      </c>
      <c r="R46">
        <f>M61/M30</f>
        <v>1.015810276679842</v>
      </c>
      <c r="AB46" s="47" t="s">
        <v>469</v>
      </c>
      <c r="AC46" s="43"/>
      <c r="AD46" s="43"/>
      <c r="AE46" s="43"/>
      <c r="AF46" s="43"/>
      <c r="AG46" s="43"/>
      <c r="AJ46" s="47" t="s">
        <v>484</v>
      </c>
      <c r="AK46" s="43">
        <v>0.39460000000000001</v>
      </c>
      <c r="AL46" s="43">
        <v>0.45839999999999997</v>
      </c>
      <c r="AM46" s="43">
        <v>-6.3719999999999999E-2</v>
      </c>
      <c r="AN46" s="43">
        <v>0.58699999999999997</v>
      </c>
      <c r="AO46" s="43">
        <v>3</v>
      </c>
      <c r="AP46" s="43">
        <v>3</v>
      </c>
      <c r="AQ46" s="43">
        <v>0.1535</v>
      </c>
      <c r="AR46" s="48">
        <v>16</v>
      </c>
    </row>
    <row r="47" spans="1:44" x14ac:dyDescent="0.2">
      <c r="B47" t="s">
        <v>169</v>
      </c>
      <c r="C47">
        <f t="shared" si="11"/>
        <v>100000</v>
      </c>
      <c r="D47">
        <v>29</v>
      </c>
      <c r="E47">
        <f t="shared" si="12"/>
        <v>725000000</v>
      </c>
      <c r="G47">
        <f t="shared" si="19"/>
        <v>10000</v>
      </c>
      <c r="H47">
        <v>24</v>
      </c>
      <c r="I47">
        <f t="shared" si="14"/>
        <v>60000000</v>
      </c>
      <c r="K47">
        <f t="shared" si="15"/>
        <v>60000000</v>
      </c>
      <c r="L47">
        <f t="shared" si="16"/>
        <v>665000000</v>
      </c>
      <c r="M47">
        <f t="shared" si="17"/>
        <v>11.083333333333334</v>
      </c>
      <c r="Q47" t="s">
        <v>187</v>
      </c>
      <c r="R47">
        <f t="shared" si="8"/>
        <v>1.1920985864443636</v>
      </c>
      <c r="AB47" s="47" t="s">
        <v>470</v>
      </c>
      <c r="AC47" s="43">
        <v>2.9769999999999999</v>
      </c>
      <c r="AD47" s="43"/>
      <c r="AE47" s="43"/>
      <c r="AF47" s="43"/>
      <c r="AG47" s="43"/>
      <c r="AJ47" s="47" t="s">
        <v>486</v>
      </c>
      <c r="AK47" s="43">
        <v>9.9239999999999995</v>
      </c>
      <c r="AL47" s="43">
        <v>1.1299999999999999</v>
      </c>
      <c r="AM47" s="43">
        <v>8.7940000000000005</v>
      </c>
      <c r="AN47" s="43">
        <v>0.58699999999999997</v>
      </c>
      <c r="AO47" s="43">
        <v>3</v>
      </c>
      <c r="AP47" s="43">
        <v>3</v>
      </c>
      <c r="AQ47" s="43">
        <v>21.19</v>
      </c>
      <c r="AR47" s="48">
        <v>16</v>
      </c>
    </row>
    <row r="48" spans="1:44" x14ac:dyDescent="0.2">
      <c r="B48" t="s">
        <v>170</v>
      </c>
      <c r="C48">
        <f t="shared" si="11"/>
        <v>100000</v>
      </c>
      <c r="D48">
        <v>30</v>
      </c>
      <c r="E48">
        <f t="shared" si="12"/>
        <v>750000000</v>
      </c>
      <c r="G48">
        <f t="shared" si="19"/>
        <v>10000</v>
      </c>
      <c r="H48">
        <v>22</v>
      </c>
      <c r="I48">
        <f t="shared" si="14"/>
        <v>55000000</v>
      </c>
      <c r="K48">
        <f t="shared" si="15"/>
        <v>55000000</v>
      </c>
      <c r="L48">
        <f t="shared" si="16"/>
        <v>695000000</v>
      </c>
      <c r="M48">
        <f t="shared" si="17"/>
        <v>12.636363636363637</v>
      </c>
      <c r="AB48" s="47" t="s">
        <v>471</v>
      </c>
      <c r="AC48" s="43">
        <v>0.47360000000000002</v>
      </c>
      <c r="AD48" s="43"/>
      <c r="AE48" s="43"/>
      <c r="AF48" s="43"/>
      <c r="AG48" s="43"/>
      <c r="AJ48" s="47" t="s">
        <v>488</v>
      </c>
      <c r="AK48" s="43">
        <v>9.9239999999999995</v>
      </c>
      <c r="AL48" s="43">
        <v>0.45839999999999997</v>
      </c>
      <c r="AM48" s="43">
        <v>9.4659999999999993</v>
      </c>
      <c r="AN48" s="43">
        <v>0.58699999999999997</v>
      </c>
      <c r="AO48" s="43">
        <v>3</v>
      </c>
      <c r="AP48" s="43">
        <v>3</v>
      </c>
      <c r="AQ48" s="43">
        <v>22.8</v>
      </c>
      <c r="AR48" s="48">
        <v>16</v>
      </c>
    </row>
    <row r="49" spans="2:44" x14ac:dyDescent="0.2">
      <c r="B49" t="s">
        <v>171</v>
      </c>
      <c r="C49">
        <f t="shared" si="11"/>
        <v>100000</v>
      </c>
      <c r="D49">
        <v>31</v>
      </c>
      <c r="E49">
        <f t="shared" si="12"/>
        <v>775000000</v>
      </c>
      <c r="G49">
        <f t="shared" si="19"/>
        <v>10000</v>
      </c>
      <c r="H49">
        <v>27</v>
      </c>
      <c r="I49">
        <f t="shared" si="14"/>
        <v>67500000</v>
      </c>
      <c r="K49">
        <f t="shared" si="15"/>
        <v>67500000</v>
      </c>
      <c r="L49">
        <f t="shared" si="16"/>
        <v>707500000</v>
      </c>
      <c r="M49">
        <f t="shared" si="17"/>
        <v>10.481481481481481</v>
      </c>
      <c r="AB49" s="47" t="s">
        <v>472</v>
      </c>
      <c r="AC49" s="43">
        <v>2.5030000000000001</v>
      </c>
      <c r="AD49" s="43"/>
      <c r="AE49" s="43"/>
      <c r="AF49" s="43"/>
      <c r="AG49" s="43"/>
      <c r="AJ49" s="47" t="s">
        <v>490</v>
      </c>
      <c r="AK49" s="43">
        <v>1.1299999999999999</v>
      </c>
      <c r="AL49" s="43">
        <v>0.45839999999999997</v>
      </c>
      <c r="AM49" s="43">
        <v>0.67130000000000001</v>
      </c>
      <c r="AN49" s="43">
        <v>0.58699999999999997</v>
      </c>
      <c r="AO49" s="43">
        <v>3</v>
      </c>
      <c r="AP49" s="43">
        <v>3</v>
      </c>
      <c r="AQ49" s="43">
        <v>1.617</v>
      </c>
      <c r="AR49" s="48">
        <v>16</v>
      </c>
    </row>
    <row r="50" spans="2:44" x14ac:dyDescent="0.2">
      <c r="AB50" s="47" t="s">
        <v>473</v>
      </c>
      <c r="AC50" s="43">
        <v>0.28349999999999997</v>
      </c>
      <c r="AD50" s="43"/>
      <c r="AE50" s="43"/>
      <c r="AF50" s="43"/>
      <c r="AG50" s="43"/>
      <c r="AJ50" s="47"/>
      <c r="AK50" s="43"/>
      <c r="AL50" s="43"/>
      <c r="AM50" s="43"/>
      <c r="AN50" s="43"/>
      <c r="AO50" s="43"/>
      <c r="AP50" s="43"/>
      <c r="AQ50" s="43"/>
      <c r="AR50" s="48"/>
    </row>
    <row r="51" spans="2:44" x14ac:dyDescent="0.2">
      <c r="B51" t="s">
        <v>172</v>
      </c>
      <c r="C51">
        <f t="shared" si="11"/>
        <v>100000</v>
      </c>
      <c r="D51">
        <v>21</v>
      </c>
      <c r="E51">
        <f t="shared" ref="E51:E62" si="20">C51*D51/0.004</f>
        <v>525000000</v>
      </c>
      <c r="G51">
        <f>10^4</f>
        <v>10000</v>
      </c>
      <c r="H51">
        <v>28</v>
      </c>
      <c r="I51">
        <f t="shared" ref="I51:I62" si="21">G51*H51/0.004</f>
        <v>70000000</v>
      </c>
      <c r="K51">
        <f t="shared" ref="K51:K62" si="22">I51</f>
        <v>70000000</v>
      </c>
      <c r="L51">
        <f t="shared" ref="L51:L62" si="23">E51-I51</f>
        <v>455000000</v>
      </c>
      <c r="M51">
        <f t="shared" ref="M51:M62" si="24">L51/K51</f>
        <v>6.5</v>
      </c>
      <c r="AB51" s="47" t="s">
        <v>474</v>
      </c>
      <c r="AC51" s="43" t="s">
        <v>475</v>
      </c>
      <c r="AD51" s="43"/>
      <c r="AE51" s="43"/>
      <c r="AF51" s="43"/>
      <c r="AG51" s="43"/>
      <c r="AJ51" s="47" t="s">
        <v>492</v>
      </c>
      <c r="AK51" s="43"/>
      <c r="AL51" s="43"/>
      <c r="AM51" s="43"/>
      <c r="AN51" s="43"/>
      <c r="AO51" s="43"/>
      <c r="AP51" s="43"/>
      <c r="AQ51" s="43"/>
      <c r="AR51" s="48"/>
    </row>
    <row r="52" spans="2:44" x14ac:dyDescent="0.2">
      <c r="B52" t="s">
        <v>173</v>
      </c>
      <c r="C52">
        <f t="shared" si="11"/>
        <v>100000</v>
      </c>
      <c r="D52">
        <v>30</v>
      </c>
      <c r="E52">
        <f t="shared" si="20"/>
        <v>750000000</v>
      </c>
      <c r="G52">
        <f t="shared" ref="G52:G62" si="25">10^4</f>
        <v>10000</v>
      </c>
      <c r="H52">
        <v>21</v>
      </c>
      <c r="I52">
        <f t="shared" si="21"/>
        <v>52500000</v>
      </c>
      <c r="K52">
        <f t="shared" si="22"/>
        <v>52500000</v>
      </c>
      <c r="L52">
        <f t="shared" si="23"/>
        <v>697500000</v>
      </c>
      <c r="M52">
        <f t="shared" si="24"/>
        <v>13.285714285714286</v>
      </c>
      <c r="AB52" s="47"/>
      <c r="AC52" s="43"/>
      <c r="AD52" s="43"/>
      <c r="AE52" s="43"/>
      <c r="AF52" s="43"/>
      <c r="AG52" s="43"/>
      <c r="AJ52" s="47" t="s">
        <v>480</v>
      </c>
      <c r="AK52" s="43">
        <v>0.32350000000000001</v>
      </c>
      <c r="AL52" s="43">
        <v>0.23050000000000001</v>
      </c>
      <c r="AM52" s="43">
        <v>9.2999999999999999E-2</v>
      </c>
      <c r="AN52" s="43">
        <v>0.58699999999999997</v>
      </c>
      <c r="AO52" s="43">
        <v>3</v>
      </c>
      <c r="AP52" s="43">
        <v>3</v>
      </c>
      <c r="AQ52" s="43">
        <v>0.22409999999999999</v>
      </c>
      <c r="AR52" s="48">
        <v>16</v>
      </c>
    </row>
    <row r="53" spans="2:44" x14ac:dyDescent="0.2">
      <c r="B53" t="s">
        <v>174</v>
      </c>
      <c r="C53">
        <f t="shared" si="11"/>
        <v>100000</v>
      </c>
      <c r="D53">
        <v>25</v>
      </c>
      <c r="E53">
        <f t="shared" si="20"/>
        <v>625000000</v>
      </c>
      <c r="G53">
        <f t="shared" si="25"/>
        <v>10000</v>
      </c>
      <c r="H53">
        <v>30</v>
      </c>
      <c r="I53">
        <f t="shared" si="21"/>
        <v>75000000</v>
      </c>
      <c r="K53">
        <f t="shared" si="22"/>
        <v>75000000</v>
      </c>
      <c r="L53">
        <f t="shared" si="23"/>
        <v>550000000</v>
      </c>
      <c r="M53">
        <f t="shared" si="24"/>
        <v>7.333333333333333</v>
      </c>
      <c r="AB53" s="47" t="s">
        <v>442</v>
      </c>
      <c r="AC53" s="43"/>
      <c r="AD53" s="43"/>
      <c r="AE53" s="43"/>
      <c r="AF53" s="43"/>
      <c r="AG53" s="43"/>
      <c r="AJ53" s="47" t="s">
        <v>482</v>
      </c>
      <c r="AK53" s="43">
        <v>0.32350000000000001</v>
      </c>
      <c r="AL53" s="43">
        <v>1.028</v>
      </c>
      <c r="AM53" s="43">
        <v>-0.70479999999999998</v>
      </c>
      <c r="AN53" s="43">
        <v>0.58699999999999997</v>
      </c>
      <c r="AO53" s="43">
        <v>3</v>
      </c>
      <c r="AP53" s="43">
        <v>3</v>
      </c>
      <c r="AQ53" s="43">
        <v>1.698</v>
      </c>
      <c r="AR53" s="48">
        <v>16</v>
      </c>
    </row>
    <row r="54" spans="2:44" x14ac:dyDescent="0.2">
      <c r="B54" t="s">
        <v>175</v>
      </c>
      <c r="C54">
        <f t="shared" si="11"/>
        <v>100000</v>
      </c>
      <c r="D54">
        <v>26</v>
      </c>
      <c r="E54">
        <f t="shared" si="20"/>
        <v>650000000</v>
      </c>
      <c r="G54">
        <f t="shared" si="25"/>
        <v>10000</v>
      </c>
      <c r="H54">
        <v>10</v>
      </c>
      <c r="I54">
        <f t="shared" si="21"/>
        <v>25000000</v>
      </c>
      <c r="K54">
        <f t="shared" si="22"/>
        <v>25000000</v>
      </c>
      <c r="L54">
        <f t="shared" si="23"/>
        <v>625000000</v>
      </c>
      <c r="M54">
        <f t="shared" si="24"/>
        <v>25</v>
      </c>
      <c r="AB54" s="47" t="s">
        <v>443</v>
      </c>
      <c r="AC54" s="43">
        <v>4</v>
      </c>
      <c r="AD54" s="43"/>
      <c r="AE54" s="43"/>
      <c r="AF54" s="43"/>
      <c r="AG54" s="43"/>
      <c r="AJ54" s="47" t="s">
        <v>484</v>
      </c>
      <c r="AK54" s="43">
        <v>0.32350000000000001</v>
      </c>
      <c r="AL54" s="43">
        <v>0.312</v>
      </c>
      <c r="AM54" s="43">
        <v>1.1469999999999999E-2</v>
      </c>
      <c r="AN54" s="43">
        <v>0.58699999999999997</v>
      </c>
      <c r="AO54" s="43">
        <v>3</v>
      </c>
      <c r="AP54" s="43">
        <v>3</v>
      </c>
      <c r="AQ54" s="43">
        <v>2.7629999999999998E-2</v>
      </c>
      <c r="AR54" s="48">
        <v>16</v>
      </c>
    </row>
    <row r="55" spans="2:44" x14ac:dyDescent="0.2">
      <c r="B55" t="s">
        <v>176</v>
      </c>
      <c r="C55">
        <f t="shared" si="11"/>
        <v>100000</v>
      </c>
      <c r="D55">
        <v>28</v>
      </c>
      <c r="E55">
        <f t="shared" si="20"/>
        <v>700000000</v>
      </c>
      <c r="G55">
        <f t="shared" si="25"/>
        <v>10000</v>
      </c>
      <c r="H55">
        <v>11</v>
      </c>
      <c r="I55">
        <f t="shared" si="21"/>
        <v>27500000</v>
      </c>
      <c r="K55">
        <f t="shared" si="22"/>
        <v>27500000</v>
      </c>
      <c r="L55">
        <f t="shared" si="23"/>
        <v>672500000</v>
      </c>
      <c r="M55">
        <f t="shared" si="24"/>
        <v>24.454545454545453</v>
      </c>
      <c r="AB55" s="47" t="s">
        <v>476</v>
      </c>
      <c r="AC55" s="43">
        <v>2</v>
      </c>
      <c r="AD55" s="43"/>
      <c r="AE55" s="43"/>
      <c r="AF55" s="43"/>
      <c r="AG55" s="43"/>
      <c r="AJ55" s="47" t="s">
        <v>486</v>
      </c>
      <c r="AK55" s="43">
        <v>0.23050000000000001</v>
      </c>
      <c r="AL55" s="43">
        <v>1.028</v>
      </c>
      <c r="AM55" s="43">
        <v>-0.79779999999999995</v>
      </c>
      <c r="AN55" s="43">
        <v>0.58699999999999997</v>
      </c>
      <c r="AO55" s="43">
        <v>3</v>
      </c>
      <c r="AP55" s="43">
        <v>3</v>
      </c>
      <c r="AQ55" s="43">
        <v>1.9219999999999999</v>
      </c>
      <c r="AR55" s="48">
        <v>16</v>
      </c>
    </row>
    <row r="56" spans="2:44" x14ac:dyDescent="0.2">
      <c r="B56" t="s">
        <v>177</v>
      </c>
      <c r="C56">
        <f t="shared" si="11"/>
        <v>100000</v>
      </c>
      <c r="D56">
        <v>34</v>
      </c>
      <c r="E56">
        <f t="shared" si="20"/>
        <v>850000000</v>
      </c>
      <c r="G56">
        <f t="shared" si="25"/>
        <v>10000</v>
      </c>
      <c r="H56">
        <v>10</v>
      </c>
      <c r="I56">
        <f t="shared" si="21"/>
        <v>25000000</v>
      </c>
      <c r="K56">
        <f t="shared" si="22"/>
        <v>25000000</v>
      </c>
      <c r="L56">
        <f t="shared" si="23"/>
        <v>825000000</v>
      </c>
      <c r="M56">
        <f t="shared" si="24"/>
        <v>33</v>
      </c>
      <c r="AB56" s="47" t="s">
        <v>477</v>
      </c>
      <c r="AC56" s="43">
        <v>12</v>
      </c>
      <c r="AD56" s="43"/>
      <c r="AE56" s="43"/>
      <c r="AF56" s="43"/>
      <c r="AG56" s="43"/>
      <c r="AJ56" s="47" t="s">
        <v>488</v>
      </c>
      <c r="AK56" s="43">
        <v>0.23050000000000001</v>
      </c>
      <c r="AL56" s="43">
        <v>0.312</v>
      </c>
      <c r="AM56" s="43">
        <v>-8.1530000000000005E-2</v>
      </c>
      <c r="AN56" s="43">
        <v>0.58699999999999997</v>
      </c>
      <c r="AO56" s="43">
        <v>3</v>
      </c>
      <c r="AP56" s="43">
        <v>3</v>
      </c>
      <c r="AQ56" s="43">
        <v>0.19639999999999999</v>
      </c>
      <c r="AR56" s="48">
        <v>16</v>
      </c>
    </row>
    <row r="57" spans="2:44" x14ac:dyDescent="0.2">
      <c r="B57" t="s">
        <v>178</v>
      </c>
      <c r="C57">
        <f t="shared" si="11"/>
        <v>100000</v>
      </c>
      <c r="D57">
        <v>28</v>
      </c>
      <c r="E57">
        <f t="shared" si="20"/>
        <v>700000000</v>
      </c>
      <c r="G57">
        <f t="shared" si="25"/>
        <v>10000</v>
      </c>
      <c r="H57">
        <v>24</v>
      </c>
      <c r="I57">
        <f t="shared" si="21"/>
        <v>60000000</v>
      </c>
      <c r="K57">
        <f t="shared" si="22"/>
        <v>60000000</v>
      </c>
      <c r="L57">
        <f t="shared" si="23"/>
        <v>640000000</v>
      </c>
      <c r="M57">
        <f t="shared" si="24"/>
        <v>10.666666666666666</v>
      </c>
      <c r="AB57" s="49" t="s">
        <v>478</v>
      </c>
      <c r="AC57" s="50">
        <v>0</v>
      </c>
      <c r="AD57" s="50"/>
      <c r="AE57" s="50"/>
      <c r="AF57" s="50"/>
      <c r="AG57" s="50"/>
      <c r="AH57" s="10"/>
      <c r="AI57" s="10"/>
      <c r="AJ57" s="49" t="s">
        <v>490</v>
      </c>
      <c r="AK57" s="50">
        <v>1.028</v>
      </c>
      <c r="AL57" s="50">
        <v>0.312</v>
      </c>
      <c r="AM57" s="50">
        <v>0.71619999999999995</v>
      </c>
      <c r="AN57" s="50">
        <v>0.58699999999999997</v>
      </c>
      <c r="AO57" s="50">
        <v>3</v>
      </c>
      <c r="AP57" s="50">
        <v>3</v>
      </c>
      <c r="AQ57" s="50">
        <v>1.726</v>
      </c>
      <c r="AR57" s="51">
        <v>16</v>
      </c>
    </row>
    <row r="58" spans="2:44" x14ac:dyDescent="0.2">
      <c r="B58" t="s">
        <v>180</v>
      </c>
      <c r="C58">
        <f t="shared" si="11"/>
        <v>100000</v>
      </c>
      <c r="D58">
        <v>38</v>
      </c>
      <c r="E58">
        <f t="shared" si="20"/>
        <v>950000000</v>
      </c>
      <c r="G58">
        <f t="shared" si="25"/>
        <v>10000</v>
      </c>
      <c r="H58">
        <v>34</v>
      </c>
      <c r="I58">
        <f t="shared" si="21"/>
        <v>85000000</v>
      </c>
      <c r="K58">
        <f t="shared" si="22"/>
        <v>85000000</v>
      </c>
      <c r="L58">
        <f t="shared" si="23"/>
        <v>865000000</v>
      </c>
      <c r="M58">
        <f t="shared" si="24"/>
        <v>10.176470588235293</v>
      </c>
    </row>
    <row r="59" spans="2:44" x14ac:dyDescent="0.2">
      <c r="B59" t="s">
        <v>182</v>
      </c>
      <c r="C59">
        <f t="shared" si="11"/>
        <v>100000</v>
      </c>
      <c r="D59">
        <v>33</v>
      </c>
      <c r="E59">
        <f t="shared" si="20"/>
        <v>825000000</v>
      </c>
      <c r="G59">
        <f t="shared" si="25"/>
        <v>10000</v>
      </c>
      <c r="H59">
        <v>29</v>
      </c>
      <c r="I59">
        <f t="shared" si="21"/>
        <v>72500000</v>
      </c>
      <c r="K59">
        <f t="shared" si="22"/>
        <v>72500000</v>
      </c>
      <c r="L59">
        <f t="shared" si="23"/>
        <v>752500000</v>
      </c>
      <c r="M59">
        <f t="shared" si="24"/>
        <v>10.379310344827585</v>
      </c>
    </row>
    <row r="60" spans="2:44" x14ac:dyDescent="0.2">
      <c r="B60" t="s">
        <v>184</v>
      </c>
      <c r="C60">
        <f t="shared" si="11"/>
        <v>100000</v>
      </c>
      <c r="D60">
        <v>31</v>
      </c>
      <c r="E60">
        <f t="shared" si="20"/>
        <v>775000000</v>
      </c>
      <c r="G60">
        <f t="shared" si="25"/>
        <v>10000</v>
      </c>
      <c r="H60">
        <v>25</v>
      </c>
      <c r="I60">
        <f t="shared" si="21"/>
        <v>62500000</v>
      </c>
      <c r="K60">
        <f t="shared" si="22"/>
        <v>62500000</v>
      </c>
      <c r="L60">
        <f t="shared" si="23"/>
        <v>712500000</v>
      </c>
      <c r="M60">
        <f t="shared" si="24"/>
        <v>11.4</v>
      </c>
    </row>
    <row r="61" spans="2:44" x14ac:dyDescent="0.2">
      <c r="B61" t="s">
        <v>186</v>
      </c>
      <c r="C61">
        <f t="shared" si="11"/>
        <v>100000</v>
      </c>
      <c r="D61">
        <v>28</v>
      </c>
      <c r="E61">
        <f t="shared" si="20"/>
        <v>700000000</v>
      </c>
      <c r="G61">
        <f t="shared" si="25"/>
        <v>10000</v>
      </c>
      <c r="H61">
        <v>23</v>
      </c>
      <c r="I61">
        <f t="shared" si="21"/>
        <v>57500000</v>
      </c>
      <c r="K61">
        <f t="shared" si="22"/>
        <v>57500000</v>
      </c>
      <c r="L61">
        <f t="shared" si="23"/>
        <v>642500000</v>
      </c>
      <c r="M61">
        <f t="shared" si="24"/>
        <v>11.173913043478262</v>
      </c>
    </row>
    <row r="62" spans="2:44" x14ac:dyDescent="0.2">
      <c r="B62" t="s">
        <v>187</v>
      </c>
      <c r="C62">
        <f t="shared" si="11"/>
        <v>100000</v>
      </c>
      <c r="D62">
        <v>33</v>
      </c>
      <c r="E62">
        <f t="shared" si="20"/>
        <v>825000000</v>
      </c>
      <c r="G62">
        <f t="shared" si="25"/>
        <v>10000</v>
      </c>
      <c r="H62">
        <v>31</v>
      </c>
      <c r="I62">
        <f t="shared" si="21"/>
        <v>77500000</v>
      </c>
      <c r="K62">
        <f t="shared" si="22"/>
        <v>77500000</v>
      </c>
      <c r="L62">
        <f t="shared" si="23"/>
        <v>747500000</v>
      </c>
      <c r="M62">
        <f t="shared" si="24"/>
        <v>9.6451612903225801</v>
      </c>
    </row>
    <row r="65" spans="1:41" s="15" customFormat="1" ht="21" x14ac:dyDescent="0.25">
      <c r="A65" s="14" t="s">
        <v>653</v>
      </c>
    </row>
    <row r="67" spans="1:41" x14ac:dyDescent="0.2">
      <c r="A67" t="s">
        <v>192</v>
      </c>
      <c r="AG67" s="45" t="s">
        <v>423</v>
      </c>
      <c r="AH67" s="46" t="s">
        <v>456</v>
      </c>
      <c r="AI67" s="2"/>
      <c r="AJ67" s="2"/>
      <c r="AK67" s="2"/>
      <c r="AL67" s="2"/>
      <c r="AM67" s="2"/>
      <c r="AN67" s="2"/>
      <c r="AO67" s="3"/>
    </row>
    <row r="68" spans="1:41" x14ac:dyDescent="0.2">
      <c r="AG68" s="47"/>
      <c r="AH68" s="43"/>
      <c r="AO68" s="5"/>
    </row>
    <row r="69" spans="1:41" x14ac:dyDescent="0.2">
      <c r="AG69" s="47" t="s">
        <v>499</v>
      </c>
      <c r="AH69" s="43"/>
      <c r="AO69" s="5"/>
    </row>
    <row r="70" spans="1:41" x14ac:dyDescent="0.2">
      <c r="A70" t="s">
        <v>57</v>
      </c>
      <c r="F70" t="s">
        <v>55</v>
      </c>
      <c r="J70" t="s">
        <v>193</v>
      </c>
      <c r="AG70" s="47" t="s">
        <v>500</v>
      </c>
      <c r="AH70" s="43" t="s">
        <v>501</v>
      </c>
      <c r="AO70" s="5"/>
    </row>
    <row r="71" spans="1:41" x14ac:dyDescent="0.2">
      <c r="B71" t="s">
        <v>58</v>
      </c>
      <c r="C71" t="s">
        <v>59</v>
      </c>
      <c r="E71" t="s">
        <v>60</v>
      </c>
      <c r="F71" t="s">
        <v>61</v>
      </c>
      <c r="G71" t="s">
        <v>62</v>
      </c>
      <c r="I71" t="s">
        <v>60</v>
      </c>
      <c r="J71" t="s">
        <v>61</v>
      </c>
      <c r="K71" t="s">
        <v>62</v>
      </c>
      <c r="M71" t="s">
        <v>194</v>
      </c>
      <c r="N71" t="s">
        <v>195</v>
      </c>
      <c r="O71" t="s">
        <v>158</v>
      </c>
      <c r="AG71" s="47" t="s">
        <v>428</v>
      </c>
      <c r="AH71" s="43">
        <v>2.7000000000000001E-3</v>
      </c>
      <c r="AO71" s="5"/>
    </row>
    <row r="72" spans="1:41" x14ac:dyDescent="0.2">
      <c r="B72" t="s">
        <v>196</v>
      </c>
      <c r="C72" t="s">
        <v>197</v>
      </c>
      <c r="D72" t="s">
        <v>82</v>
      </c>
      <c r="E72">
        <f>10^5</f>
        <v>100000</v>
      </c>
      <c r="F72">
        <v>41</v>
      </c>
      <c r="G72">
        <f>E72*F72/0.004</f>
        <v>1025000000</v>
      </c>
      <c r="I72">
        <f>10^3</f>
        <v>1000</v>
      </c>
      <c r="J72">
        <v>27</v>
      </c>
      <c r="K72">
        <f>I72*J72/0.004</f>
        <v>6750000</v>
      </c>
      <c r="M72">
        <f>K72</f>
        <v>6750000</v>
      </c>
      <c r="N72">
        <f>G72-K72</f>
        <v>1018250000</v>
      </c>
      <c r="O72">
        <f>N72/M72</f>
        <v>150.85185185185185</v>
      </c>
      <c r="AG72" s="47" t="s">
        <v>429</v>
      </c>
      <c r="AH72" s="43" t="s">
        <v>502</v>
      </c>
      <c r="AO72" s="5"/>
    </row>
    <row r="73" spans="1:41" x14ac:dyDescent="0.2">
      <c r="B73" t="s">
        <v>198</v>
      </c>
      <c r="C73" t="s">
        <v>199</v>
      </c>
      <c r="D73" t="s">
        <v>83</v>
      </c>
      <c r="E73">
        <f t="shared" ref="E73:E74" si="26">10^5</f>
        <v>100000</v>
      </c>
      <c r="F73">
        <v>44</v>
      </c>
      <c r="G73">
        <f t="shared" ref="G73:G74" si="27">E73*F73/0.004</f>
        <v>1100000000</v>
      </c>
      <c r="I73">
        <f t="shared" ref="I73:I74" si="28">10^3</f>
        <v>1000</v>
      </c>
      <c r="J73">
        <v>19</v>
      </c>
      <c r="K73">
        <f t="shared" ref="K73:K74" si="29">I73*J73/0.004</f>
        <v>4750000</v>
      </c>
      <c r="M73">
        <f t="shared" ref="M73:M74" si="30">K73</f>
        <v>4750000</v>
      </c>
      <c r="N73">
        <f t="shared" ref="N73:N74" si="31">G73-K73</f>
        <v>1095250000</v>
      </c>
      <c r="O73">
        <f t="shared" ref="O73:O74" si="32">N73/M73</f>
        <v>230.57894736842104</v>
      </c>
      <c r="AG73" s="47" t="s">
        <v>503</v>
      </c>
      <c r="AH73" s="43" t="s">
        <v>406</v>
      </c>
      <c r="AO73" s="5"/>
    </row>
    <row r="74" spans="1:41" x14ac:dyDescent="0.2">
      <c r="D74" t="s">
        <v>84</v>
      </c>
      <c r="E74">
        <f t="shared" si="26"/>
        <v>100000</v>
      </c>
      <c r="F74">
        <v>33</v>
      </c>
      <c r="G74">
        <f t="shared" si="27"/>
        <v>825000000</v>
      </c>
      <c r="I74">
        <f t="shared" si="28"/>
        <v>1000</v>
      </c>
      <c r="J74">
        <v>36</v>
      </c>
      <c r="K74">
        <f t="shared" si="29"/>
        <v>9000000</v>
      </c>
      <c r="M74">
        <f t="shared" si="30"/>
        <v>9000000</v>
      </c>
      <c r="N74">
        <f t="shared" si="31"/>
        <v>816000000</v>
      </c>
      <c r="O74">
        <f t="shared" si="32"/>
        <v>90.666666666666671</v>
      </c>
      <c r="AG74" s="47"/>
      <c r="AH74" s="43"/>
      <c r="AO74" s="5"/>
    </row>
    <row r="75" spans="1:41" x14ac:dyDescent="0.2">
      <c r="D75" t="s">
        <v>85</v>
      </c>
      <c r="E75">
        <f>10^5</f>
        <v>100000</v>
      </c>
      <c r="F75">
        <v>27</v>
      </c>
      <c r="G75">
        <f>E75*F75/0.004</f>
        <v>675000000</v>
      </c>
      <c r="I75">
        <f>10^3</f>
        <v>1000</v>
      </c>
      <c r="J75">
        <v>28</v>
      </c>
      <c r="K75">
        <f>I75*J75/0.004</f>
        <v>7000000</v>
      </c>
      <c r="M75">
        <f>K75</f>
        <v>7000000</v>
      </c>
      <c r="N75">
        <f>G75-K75</f>
        <v>668000000</v>
      </c>
      <c r="O75">
        <f>N75/M75</f>
        <v>95.428571428571431</v>
      </c>
      <c r="AG75" s="47" t="s">
        <v>504</v>
      </c>
      <c r="AH75" s="43"/>
      <c r="AO75" s="5"/>
    </row>
    <row r="76" spans="1:41" x14ac:dyDescent="0.2">
      <c r="D76" t="s">
        <v>86</v>
      </c>
      <c r="E76">
        <f t="shared" ref="E76:E77" si="33">10^5</f>
        <v>100000</v>
      </c>
      <c r="F76">
        <v>35</v>
      </c>
      <c r="G76">
        <f t="shared" ref="G76:G77" si="34">E76*F76/0.004</f>
        <v>875000000</v>
      </c>
      <c r="I76">
        <f t="shared" ref="I76:I77" si="35">10^3</f>
        <v>1000</v>
      </c>
      <c r="J76">
        <v>31</v>
      </c>
      <c r="K76">
        <f t="shared" ref="K76:K77" si="36">I76*J76/0.004</f>
        <v>7750000</v>
      </c>
      <c r="M76">
        <f t="shared" ref="M76:M77" si="37">K76</f>
        <v>7750000</v>
      </c>
      <c r="N76">
        <f t="shared" ref="N76:N77" si="38">G76-K76</f>
        <v>867250000</v>
      </c>
      <c r="O76">
        <f t="shared" ref="O76:O77" si="39">N76/M76</f>
        <v>111.90322580645162</v>
      </c>
      <c r="AG76" s="47" t="s">
        <v>505</v>
      </c>
      <c r="AH76" s="43" t="s">
        <v>506</v>
      </c>
      <c r="AO76" s="5"/>
    </row>
    <row r="77" spans="1:41" x14ac:dyDescent="0.2">
      <c r="D77" t="s">
        <v>87</v>
      </c>
      <c r="E77">
        <f t="shared" si="33"/>
        <v>100000</v>
      </c>
      <c r="F77">
        <v>30</v>
      </c>
      <c r="G77">
        <f t="shared" si="34"/>
        <v>750000000</v>
      </c>
      <c r="I77">
        <f t="shared" si="35"/>
        <v>1000</v>
      </c>
      <c r="J77">
        <v>27</v>
      </c>
      <c r="K77">
        <f t="shared" si="36"/>
        <v>6750000</v>
      </c>
      <c r="M77">
        <f t="shared" si="37"/>
        <v>6750000</v>
      </c>
      <c r="N77">
        <f t="shared" si="38"/>
        <v>743250000</v>
      </c>
      <c r="O77">
        <f t="shared" si="39"/>
        <v>110.11111111111111</v>
      </c>
      <c r="AG77" s="47" t="s">
        <v>428</v>
      </c>
      <c r="AH77" s="43" t="s">
        <v>408</v>
      </c>
      <c r="AO77" s="5"/>
    </row>
    <row r="78" spans="1:41" x14ac:dyDescent="0.2">
      <c r="AG78" s="47" t="s">
        <v>429</v>
      </c>
      <c r="AH78" s="43" t="s">
        <v>407</v>
      </c>
      <c r="AO78" s="5"/>
    </row>
    <row r="79" spans="1:41" x14ac:dyDescent="0.2">
      <c r="B79" t="s">
        <v>196</v>
      </c>
      <c r="C79" t="s">
        <v>200</v>
      </c>
      <c r="D79" t="s">
        <v>82</v>
      </c>
      <c r="E79">
        <f t="shared" ref="E79:E98" si="40">10^5</f>
        <v>100000</v>
      </c>
      <c r="F79">
        <v>42</v>
      </c>
      <c r="G79">
        <f t="shared" ref="G79:G84" si="41">E79*F79/0.004</f>
        <v>1050000000</v>
      </c>
      <c r="I79">
        <f t="shared" ref="I79:I91" si="42">10^3</f>
        <v>1000</v>
      </c>
      <c r="J79">
        <v>31</v>
      </c>
      <c r="K79">
        <f t="shared" ref="K79:K84" si="43">I79*J79/0.004</f>
        <v>7750000</v>
      </c>
      <c r="M79">
        <f t="shared" ref="M79:M84" si="44">K79</f>
        <v>7750000</v>
      </c>
      <c r="N79">
        <f t="shared" ref="N79:N84" si="45">G79-K79</f>
        <v>1042250000</v>
      </c>
      <c r="O79">
        <f t="shared" ref="O79:O84" si="46">N79/M79</f>
        <v>134.48387096774192</v>
      </c>
      <c r="AG79" s="47" t="s">
        <v>503</v>
      </c>
      <c r="AH79" s="43" t="s">
        <v>406</v>
      </c>
      <c r="AO79" s="5"/>
    </row>
    <row r="80" spans="1:41" x14ac:dyDescent="0.2">
      <c r="C80" t="s">
        <v>201</v>
      </c>
      <c r="D80" t="s">
        <v>83</v>
      </c>
      <c r="E80">
        <f t="shared" si="40"/>
        <v>100000</v>
      </c>
      <c r="F80">
        <v>43</v>
      </c>
      <c r="G80">
        <f t="shared" si="41"/>
        <v>1075000000</v>
      </c>
      <c r="I80">
        <f t="shared" si="42"/>
        <v>1000</v>
      </c>
      <c r="J80">
        <v>25</v>
      </c>
      <c r="K80">
        <f t="shared" si="43"/>
        <v>6250000</v>
      </c>
      <c r="M80">
        <f t="shared" si="44"/>
        <v>6250000</v>
      </c>
      <c r="N80">
        <f t="shared" si="45"/>
        <v>1068750000</v>
      </c>
      <c r="O80">
        <f t="shared" si="46"/>
        <v>171</v>
      </c>
      <c r="AG80" s="47"/>
      <c r="AH80" s="43"/>
      <c r="AO80" s="5"/>
    </row>
    <row r="81" spans="2:41" x14ac:dyDescent="0.2">
      <c r="D81" t="s">
        <v>84</v>
      </c>
      <c r="E81">
        <f t="shared" si="40"/>
        <v>100000</v>
      </c>
      <c r="F81">
        <v>37</v>
      </c>
      <c r="G81">
        <f t="shared" si="41"/>
        <v>925000000</v>
      </c>
      <c r="I81">
        <f t="shared" si="42"/>
        <v>1000</v>
      </c>
      <c r="J81">
        <v>29</v>
      </c>
      <c r="K81">
        <f t="shared" si="43"/>
        <v>7250000</v>
      </c>
      <c r="M81">
        <f t="shared" si="44"/>
        <v>7250000</v>
      </c>
      <c r="N81">
        <f t="shared" si="45"/>
        <v>917750000</v>
      </c>
      <c r="O81">
        <f t="shared" si="46"/>
        <v>126.58620689655173</v>
      </c>
      <c r="AG81" s="47" t="s">
        <v>442</v>
      </c>
      <c r="AH81" s="43"/>
      <c r="AO81" s="5"/>
    </row>
    <row r="82" spans="2:41" x14ac:dyDescent="0.2">
      <c r="D82" t="s">
        <v>85</v>
      </c>
      <c r="E82">
        <f t="shared" si="40"/>
        <v>100000</v>
      </c>
      <c r="F82">
        <v>24</v>
      </c>
      <c r="G82">
        <f t="shared" si="41"/>
        <v>600000000</v>
      </c>
      <c r="I82">
        <f t="shared" si="42"/>
        <v>1000</v>
      </c>
      <c r="J82">
        <v>26</v>
      </c>
      <c r="K82">
        <f t="shared" si="43"/>
        <v>6500000</v>
      </c>
      <c r="M82">
        <f t="shared" si="44"/>
        <v>6500000</v>
      </c>
      <c r="N82">
        <f t="shared" si="45"/>
        <v>593500000</v>
      </c>
      <c r="O82">
        <f t="shared" si="46"/>
        <v>91.307692307692307</v>
      </c>
      <c r="AG82" s="47" t="s">
        <v>507</v>
      </c>
      <c r="AH82" s="43">
        <v>6</v>
      </c>
      <c r="AO82" s="5"/>
    </row>
    <row r="83" spans="2:41" x14ac:dyDescent="0.2">
      <c r="D83" t="s">
        <v>86</v>
      </c>
      <c r="E83">
        <f t="shared" si="40"/>
        <v>100000</v>
      </c>
      <c r="F83">
        <v>30</v>
      </c>
      <c r="G83">
        <f t="shared" si="41"/>
        <v>750000000</v>
      </c>
      <c r="I83">
        <f t="shared" si="42"/>
        <v>1000</v>
      </c>
      <c r="J83">
        <v>29</v>
      </c>
      <c r="K83">
        <f t="shared" si="43"/>
        <v>7250000</v>
      </c>
      <c r="M83">
        <f t="shared" si="44"/>
        <v>7250000</v>
      </c>
      <c r="N83">
        <f t="shared" si="45"/>
        <v>742750000</v>
      </c>
      <c r="O83">
        <f t="shared" si="46"/>
        <v>102.44827586206897</v>
      </c>
      <c r="AG83" s="47" t="s">
        <v>508</v>
      </c>
      <c r="AH83" s="43">
        <v>36</v>
      </c>
      <c r="AO83" s="5"/>
    </row>
    <row r="84" spans="2:41" x14ac:dyDescent="0.2">
      <c r="D84" t="s">
        <v>87</v>
      </c>
      <c r="E84">
        <f t="shared" si="40"/>
        <v>100000</v>
      </c>
      <c r="F84">
        <v>31</v>
      </c>
      <c r="G84">
        <f t="shared" si="41"/>
        <v>775000000</v>
      </c>
      <c r="I84">
        <f t="shared" si="42"/>
        <v>1000</v>
      </c>
      <c r="J84">
        <v>33</v>
      </c>
      <c r="K84">
        <f t="shared" si="43"/>
        <v>8250000</v>
      </c>
      <c r="M84">
        <f t="shared" si="44"/>
        <v>8250000</v>
      </c>
      <c r="N84">
        <f t="shared" si="45"/>
        <v>766750000</v>
      </c>
      <c r="O84">
        <f t="shared" si="46"/>
        <v>92.939393939393938</v>
      </c>
      <c r="AG84" s="4"/>
      <c r="AO84" s="5"/>
    </row>
    <row r="85" spans="2:41" x14ac:dyDescent="0.2">
      <c r="S85" t="s">
        <v>58</v>
      </c>
      <c r="T85" t="s">
        <v>59</v>
      </c>
      <c r="V85" t="s">
        <v>93</v>
      </c>
      <c r="Y85" t="s">
        <v>58</v>
      </c>
      <c r="Z85" t="s">
        <v>59</v>
      </c>
      <c r="AA85" t="s">
        <v>94</v>
      </c>
      <c r="AB85" t="s">
        <v>99</v>
      </c>
      <c r="AG85" s="47" t="s">
        <v>395</v>
      </c>
      <c r="AH85" s="43">
        <v>1</v>
      </c>
      <c r="AI85" s="43"/>
      <c r="AJ85" s="43"/>
      <c r="AK85" s="43"/>
      <c r="AL85" s="43"/>
      <c r="AM85" s="43"/>
      <c r="AN85" s="43"/>
      <c r="AO85" s="48"/>
    </row>
    <row r="86" spans="2:41" x14ac:dyDescent="0.2">
      <c r="B86" t="s">
        <v>196</v>
      </c>
      <c r="C86" t="s">
        <v>202</v>
      </c>
      <c r="D86" t="s">
        <v>82</v>
      </c>
      <c r="E86">
        <f t="shared" ref="E86" si="47">10^5</f>
        <v>100000</v>
      </c>
      <c r="F86">
        <v>42</v>
      </c>
      <c r="G86">
        <f t="shared" ref="G86" si="48">E86*F86/0.004</f>
        <v>1050000000</v>
      </c>
      <c r="I86">
        <f t="shared" ref="I86" si="49">10^3</f>
        <v>1000</v>
      </c>
      <c r="J86">
        <v>10</v>
      </c>
      <c r="K86">
        <f t="shared" ref="K86" si="50">I86*J86/0.004</f>
        <v>2500000</v>
      </c>
      <c r="M86">
        <f t="shared" ref="M86:M91" si="51">K86</f>
        <v>2500000</v>
      </c>
      <c r="N86">
        <f t="shared" ref="N86:N91" si="52">G86-K86</f>
        <v>1047500000</v>
      </c>
      <c r="O86">
        <f t="shared" ref="O86:O91" si="53">N86/M86</f>
        <v>419</v>
      </c>
      <c r="S86" t="s">
        <v>196</v>
      </c>
      <c r="T86" t="s">
        <v>197</v>
      </c>
      <c r="U86" t="s">
        <v>82</v>
      </c>
      <c r="V86">
        <f>O117/O72</f>
        <v>20549.956543088632</v>
      </c>
      <c r="Y86" t="s">
        <v>196</v>
      </c>
      <c r="Z86" t="s">
        <v>197</v>
      </c>
      <c r="AA86">
        <f>AVERAGE(V86:V91)</f>
        <v>21227.404571427109</v>
      </c>
      <c r="AB86">
        <f>STDEV(V86:V91)/SQRT(6)</f>
        <v>3015.5270088058555</v>
      </c>
      <c r="AG86" s="47" t="s">
        <v>396</v>
      </c>
      <c r="AH86" s="43">
        <v>15</v>
      </c>
      <c r="AI86" s="43"/>
      <c r="AJ86" s="43"/>
      <c r="AK86" s="43"/>
      <c r="AL86" s="43"/>
      <c r="AM86" s="43"/>
      <c r="AN86" s="43"/>
      <c r="AO86" s="48"/>
    </row>
    <row r="87" spans="2:41" x14ac:dyDescent="0.2">
      <c r="C87" t="s">
        <v>203</v>
      </c>
      <c r="D87" t="s">
        <v>83</v>
      </c>
      <c r="E87">
        <f t="shared" si="40"/>
        <v>100000</v>
      </c>
      <c r="F87">
        <v>41</v>
      </c>
      <c r="G87">
        <f>E87*F87/0.004</f>
        <v>1025000000</v>
      </c>
      <c r="I87">
        <f t="shared" si="42"/>
        <v>1000</v>
      </c>
      <c r="J87">
        <v>28</v>
      </c>
      <c r="K87">
        <f>I87*J87/0.004</f>
        <v>7000000</v>
      </c>
      <c r="M87">
        <f t="shared" si="51"/>
        <v>7000000</v>
      </c>
      <c r="N87">
        <f t="shared" si="52"/>
        <v>1018000000</v>
      </c>
      <c r="O87">
        <f t="shared" si="53"/>
        <v>145.42857142857142</v>
      </c>
      <c r="S87" t="s">
        <v>198</v>
      </c>
      <c r="T87" t="s">
        <v>199</v>
      </c>
      <c r="U87" t="s">
        <v>83</v>
      </c>
      <c r="V87">
        <f t="shared" ref="V87:V91" si="54">O118/O73</f>
        <v>13444.414745491898</v>
      </c>
      <c r="Y87" t="s">
        <v>196</v>
      </c>
      <c r="Z87" t="s">
        <v>200</v>
      </c>
      <c r="AA87">
        <f>AVERAGE(V93:V98)</f>
        <v>21437.271394911175</v>
      </c>
      <c r="AB87">
        <f>STDEV(V93:V98)/SQRT(6)</f>
        <v>2817.146731898446</v>
      </c>
      <c r="AG87" s="47" t="s">
        <v>397</v>
      </c>
      <c r="AH87" s="43">
        <v>0.05</v>
      </c>
      <c r="AI87" s="43"/>
      <c r="AJ87" s="43"/>
      <c r="AK87" s="43"/>
      <c r="AL87" s="43"/>
      <c r="AM87" s="43"/>
      <c r="AN87" s="43"/>
      <c r="AO87" s="48"/>
    </row>
    <row r="88" spans="2:41" x14ac:dyDescent="0.2">
      <c r="D88" t="s">
        <v>84</v>
      </c>
      <c r="E88">
        <f t="shared" si="40"/>
        <v>100000</v>
      </c>
      <c r="F88">
        <v>41</v>
      </c>
      <c r="G88">
        <f>E88*F88/0.004</f>
        <v>1025000000</v>
      </c>
      <c r="I88">
        <f t="shared" si="42"/>
        <v>1000</v>
      </c>
      <c r="J88">
        <v>30</v>
      </c>
      <c r="K88">
        <f>I88*J88/0.004</f>
        <v>7500000</v>
      </c>
      <c r="M88">
        <f t="shared" si="51"/>
        <v>7500000</v>
      </c>
      <c r="N88">
        <f t="shared" si="52"/>
        <v>1017500000</v>
      </c>
      <c r="O88">
        <f t="shared" si="53"/>
        <v>135.66666666666666</v>
      </c>
      <c r="U88" t="s">
        <v>84</v>
      </c>
      <c r="V88">
        <f t="shared" si="54"/>
        <v>27573.518382352941</v>
      </c>
      <c r="Y88" t="s">
        <v>196</v>
      </c>
      <c r="Z88" t="s">
        <v>202</v>
      </c>
      <c r="AA88">
        <f>AVERAGE(V100:V105)</f>
        <v>17061.522762564371</v>
      </c>
      <c r="AB88">
        <f>STDEV(V100:V105)/SQRT(6)</f>
        <v>2394.0676165213981</v>
      </c>
      <c r="AG88" s="47"/>
      <c r="AH88" s="43"/>
      <c r="AI88" s="43"/>
      <c r="AJ88" s="43"/>
      <c r="AK88" s="43"/>
      <c r="AL88" s="43"/>
      <c r="AM88" s="43"/>
      <c r="AN88" s="43"/>
      <c r="AO88" s="48"/>
    </row>
    <row r="89" spans="2:41" x14ac:dyDescent="0.2">
      <c r="D89" t="s">
        <v>85</v>
      </c>
      <c r="E89">
        <f t="shared" si="40"/>
        <v>100000</v>
      </c>
      <c r="F89">
        <v>39</v>
      </c>
      <c r="G89">
        <f t="shared" ref="G89:G91" si="55">E89*F89/0.004</f>
        <v>975000000</v>
      </c>
      <c r="I89">
        <f t="shared" si="42"/>
        <v>1000</v>
      </c>
      <c r="J89">
        <v>30</v>
      </c>
      <c r="K89">
        <f t="shared" ref="K89:K91" si="56">I89*J89/0.004</f>
        <v>7500000</v>
      </c>
      <c r="M89">
        <f t="shared" si="51"/>
        <v>7500000</v>
      </c>
      <c r="N89">
        <f t="shared" si="52"/>
        <v>967500000</v>
      </c>
      <c r="O89">
        <f t="shared" si="53"/>
        <v>129</v>
      </c>
      <c r="U89" t="s">
        <v>85</v>
      </c>
      <c r="V89">
        <f t="shared" si="54"/>
        <v>32485.019461077845</v>
      </c>
      <c r="Y89" t="s">
        <v>196</v>
      </c>
      <c r="Z89" t="s">
        <v>204</v>
      </c>
      <c r="AA89">
        <f>AVERAGE(V107:V112)</f>
        <v>1744.5192920927836</v>
      </c>
      <c r="AB89">
        <f>STDEV(V107:V112)/SQRT(6)</f>
        <v>279.10665442687088</v>
      </c>
      <c r="AG89" s="47" t="s">
        <v>509</v>
      </c>
      <c r="AH89" s="43" t="s">
        <v>399</v>
      </c>
      <c r="AI89" s="43" t="s">
        <v>400</v>
      </c>
      <c r="AJ89" s="43" t="s">
        <v>401</v>
      </c>
      <c r="AK89" s="43" t="s">
        <v>402</v>
      </c>
      <c r="AL89" s="43" t="s">
        <v>403</v>
      </c>
      <c r="AM89" s="43"/>
      <c r="AN89" s="43"/>
      <c r="AO89" s="48"/>
    </row>
    <row r="90" spans="2:41" x14ac:dyDescent="0.2">
      <c r="D90" t="s">
        <v>86</v>
      </c>
      <c r="E90">
        <f t="shared" si="40"/>
        <v>100000</v>
      </c>
      <c r="F90">
        <v>34</v>
      </c>
      <c r="G90">
        <f t="shared" si="55"/>
        <v>850000000</v>
      </c>
      <c r="I90">
        <f t="shared" si="42"/>
        <v>1000</v>
      </c>
      <c r="J90">
        <v>26</v>
      </c>
      <c r="K90">
        <f t="shared" si="56"/>
        <v>6500000</v>
      </c>
      <c r="M90">
        <f t="shared" si="51"/>
        <v>6500000</v>
      </c>
      <c r="N90">
        <f t="shared" si="52"/>
        <v>843500000</v>
      </c>
      <c r="O90">
        <f t="shared" si="53"/>
        <v>129.76923076923077</v>
      </c>
      <c r="U90" t="s">
        <v>86</v>
      </c>
      <c r="V90">
        <f t="shared" si="54"/>
        <v>17872.576823292016</v>
      </c>
      <c r="Y90" t="s">
        <v>196</v>
      </c>
      <c r="Z90" t="s">
        <v>205</v>
      </c>
      <c r="AA90">
        <f>AVERAGE(V114:V119)</f>
        <v>248.37114987917815</v>
      </c>
      <c r="AB90">
        <f>STDEV(V114:V119)/SQRT(6)</f>
        <v>24.247485602904288</v>
      </c>
      <c r="AG90" s="47" t="s">
        <v>510</v>
      </c>
      <c r="AH90" s="43">
        <v>-209.9</v>
      </c>
      <c r="AI90" s="43"/>
      <c r="AJ90" s="43" t="s">
        <v>413</v>
      </c>
      <c r="AK90" s="43" t="s">
        <v>323</v>
      </c>
      <c r="AL90" s="43" t="s">
        <v>455</v>
      </c>
      <c r="AM90" s="43" t="s">
        <v>511</v>
      </c>
      <c r="AN90" s="43"/>
      <c r="AO90" s="48"/>
    </row>
    <row r="91" spans="2:41" x14ac:dyDescent="0.2">
      <c r="D91" t="s">
        <v>87</v>
      </c>
      <c r="E91">
        <f t="shared" si="40"/>
        <v>100000</v>
      </c>
      <c r="F91">
        <v>36</v>
      </c>
      <c r="G91">
        <f t="shared" si="55"/>
        <v>900000000</v>
      </c>
      <c r="I91">
        <f t="shared" si="42"/>
        <v>1000</v>
      </c>
      <c r="J91">
        <v>26</v>
      </c>
      <c r="K91">
        <f t="shared" si="56"/>
        <v>6500000</v>
      </c>
      <c r="M91">
        <f t="shared" si="51"/>
        <v>6500000</v>
      </c>
      <c r="N91">
        <f t="shared" si="52"/>
        <v>893500000</v>
      </c>
      <c r="O91">
        <f t="shared" si="53"/>
        <v>137.46153846153845</v>
      </c>
      <c r="U91" t="s">
        <v>87</v>
      </c>
      <c r="V91">
        <f t="shared" si="54"/>
        <v>15438.941473259334</v>
      </c>
      <c r="Y91" t="s">
        <v>196</v>
      </c>
      <c r="Z91" t="s">
        <v>206</v>
      </c>
      <c r="AA91">
        <f>AVERAGE(V121:V126)</f>
        <v>28492.173137279784</v>
      </c>
      <c r="AB91">
        <f>STDEV(V121:V126)/SQRT(6)</f>
        <v>7997.1383714405129</v>
      </c>
      <c r="AG91" s="47" t="s">
        <v>512</v>
      </c>
      <c r="AH91" s="43">
        <v>4166</v>
      </c>
      <c r="AI91" s="43" t="s">
        <v>513</v>
      </c>
      <c r="AJ91" s="43" t="s">
        <v>413</v>
      </c>
      <c r="AK91" s="43" t="s">
        <v>323</v>
      </c>
      <c r="AL91" s="43">
        <v>0.9788</v>
      </c>
      <c r="AM91" s="43" t="s">
        <v>514</v>
      </c>
      <c r="AN91" s="43"/>
      <c r="AO91" s="48"/>
    </row>
    <row r="92" spans="2:41" x14ac:dyDescent="0.2">
      <c r="AG92" s="47" t="s">
        <v>515</v>
      </c>
      <c r="AH92" s="43">
        <v>19483</v>
      </c>
      <c r="AI92" s="43" t="s">
        <v>516</v>
      </c>
      <c r="AJ92" s="43" t="s">
        <v>406</v>
      </c>
      <c r="AK92" s="43" t="s">
        <v>321</v>
      </c>
      <c r="AL92" s="43">
        <v>1.23E-2</v>
      </c>
      <c r="AM92" s="43" t="s">
        <v>517</v>
      </c>
      <c r="AN92" s="43"/>
      <c r="AO92" s="48"/>
    </row>
    <row r="93" spans="2:41" x14ac:dyDescent="0.2">
      <c r="B93" t="s">
        <v>196</v>
      </c>
      <c r="C93" t="s">
        <v>204</v>
      </c>
      <c r="D93" t="s">
        <v>82</v>
      </c>
      <c r="E93">
        <f t="shared" ref="E93" si="57">10^5</f>
        <v>100000</v>
      </c>
      <c r="F93">
        <v>49</v>
      </c>
      <c r="G93">
        <f t="shared" ref="G93" si="58">E93*F93/0.004</f>
        <v>1225000000</v>
      </c>
      <c r="I93">
        <f>10^4</f>
        <v>10000</v>
      </c>
      <c r="J93">
        <v>47</v>
      </c>
      <c r="K93">
        <f t="shared" ref="K93" si="59">I93*J93/0.004</f>
        <v>117500000</v>
      </c>
      <c r="M93">
        <f t="shared" ref="M93:M98" si="60">K93</f>
        <v>117500000</v>
      </c>
      <c r="N93">
        <f t="shared" ref="N93:N98" si="61">G93-K93</f>
        <v>1107500000</v>
      </c>
      <c r="O93">
        <f t="shared" ref="O93:O98" si="62">N93/M93</f>
        <v>9.4255319148936163</v>
      </c>
      <c r="S93" t="s">
        <v>196</v>
      </c>
      <c r="T93" t="s">
        <v>200</v>
      </c>
      <c r="U93" t="s">
        <v>82</v>
      </c>
      <c r="V93">
        <f t="shared" ref="V93:V126" si="63">O124/O79</f>
        <v>15615.24802110818</v>
      </c>
      <c r="AG93" s="47" t="s">
        <v>518</v>
      </c>
      <c r="AH93" s="43">
        <v>20979</v>
      </c>
      <c r="AI93" s="43" t="s">
        <v>519</v>
      </c>
      <c r="AJ93" s="43" t="s">
        <v>406</v>
      </c>
      <c r="AK93" s="43" t="s">
        <v>502</v>
      </c>
      <c r="AL93" s="43">
        <v>8.6999999999999994E-3</v>
      </c>
      <c r="AM93" s="43" t="s">
        <v>520</v>
      </c>
      <c r="AN93" s="43"/>
      <c r="AO93" s="48"/>
    </row>
    <row r="94" spans="2:41" x14ac:dyDescent="0.2">
      <c r="C94" t="s">
        <v>207</v>
      </c>
      <c r="D94" t="s">
        <v>83</v>
      </c>
      <c r="E94">
        <f t="shared" si="40"/>
        <v>100000</v>
      </c>
      <c r="F94">
        <v>52</v>
      </c>
      <c r="G94">
        <f>E94*F94/0.004</f>
        <v>1300000000</v>
      </c>
      <c r="I94">
        <f t="shared" ref="I94:I95" si="64">10^4</f>
        <v>10000</v>
      </c>
      <c r="J94">
        <v>44</v>
      </c>
      <c r="K94">
        <f>I94*J94/0.004</f>
        <v>110000000</v>
      </c>
      <c r="M94">
        <f t="shared" si="60"/>
        <v>110000000</v>
      </c>
      <c r="N94">
        <f t="shared" si="61"/>
        <v>1190000000</v>
      </c>
      <c r="O94">
        <f t="shared" si="62"/>
        <v>10.818181818181818</v>
      </c>
      <c r="T94" t="s">
        <v>201</v>
      </c>
      <c r="U94" t="s">
        <v>83</v>
      </c>
      <c r="V94">
        <f t="shared" si="63"/>
        <v>16374.263157894737</v>
      </c>
      <c r="AG94" s="47" t="s">
        <v>521</v>
      </c>
      <c r="AH94" s="43">
        <v>-7265</v>
      </c>
      <c r="AI94" s="43" t="s">
        <v>522</v>
      </c>
      <c r="AJ94" s="43" t="s">
        <v>413</v>
      </c>
      <c r="AK94" s="43" t="s">
        <v>323</v>
      </c>
      <c r="AL94" s="43">
        <v>0.995</v>
      </c>
      <c r="AM94" s="43" t="s">
        <v>523</v>
      </c>
      <c r="AN94" s="43"/>
      <c r="AO94" s="48"/>
    </row>
    <row r="95" spans="2:41" x14ac:dyDescent="0.2">
      <c r="D95" t="s">
        <v>84</v>
      </c>
      <c r="E95">
        <f t="shared" si="40"/>
        <v>100000</v>
      </c>
      <c r="F95">
        <v>51</v>
      </c>
      <c r="G95">
        <f>E95*F95/0.004</f>
        <v>1275000000</v>
      </c>
      <c r="I95">
        <f t="shared" si="64"/>
        <v>10000</v>
      </c>
      <c r="J95">
        <v>43</v>
      </c>
      <c r="K95">
        <f>I95*J95/0.004</f>
        <v>107500000</v>
      </c>
      <c r="M95">
        <f t="shared" si="60"/>
        <v>107500000</v>
      </c>
      <c r="N95">
        <f t="shared" si="61"/>
        <v>1167500000</v>
      </c>
      <c r="O95">
        <f t="shared" si="62"/>
        <v>10.86046511627907</v>
      </c>
      <c r="U95" t="s">
        <v>84</v>
      </c>
      <c r="V95">
        <f t="shared" si="63"/>
        <v>24489.232089348949</v>
      </c>
      <c r="AG95" s="47" t="s">
        <v>524</v>
      </c>
      <c r="AH95" s="43">
        <v>4376</v>
      </c>
      <c r="AI95" s="43" t="s">
        <v>525</v>
      </c>
      <c r="AJ95" s="43" t="s">
        <v>413</v>
      </c>
      <c r="AK95" s="43" t="s">
        <v>323</v>
      </c>
      <c r="AL95" s="43">
        <v>0.96</v>
      </c>
      <c r="AM95" s="43" t="s">
        <v>526</v>
      </c>
      <c r="AN95" s="43"/>
      <c r="AO95" s="48"/>
    </row>
    <row r="96" spans="2:41" x14ac:dyDescent="0.2">
      <c r="D96" t="s">
        <v>85</v>
      </c>
      <c r="E96">
        <f t="shared" si="40"/>
        <v>100000</v>
      </c>
      <c r="F96">
        <v>36</v>
      </c>
      <c r="G96">
        <f t="shared" ref="G96:G98" si="65">E96*F96/0.004</f>
        <v>900000000</v>
      </c>
      <c r="I96">
        <f>10^4</f>
        <v>10000</v>
      </c>
      <c r="J96">
        <v>28</v>
      </c>
      <c r="K96">
        <f t="shared" ref="K96:K98" si="66">I96*J96/0.004</f>
        <v>70000000</v>
      </c>
      <c r="M96">
        <f t="shared" si="60"/>
        <v>70000000</v>
      </c>
      <c r="N96">
        <f t="shared" si="61"/>
        <v>830000000</v>
      </c>
      <c r="O96">
        <f t="shared" si="62"/>
        <v>11.857142857142858</v>
      </c>
      <c r="U96" t="s">
        <v>85</v>
      </c>
      <c r="V96">
        <f t="shared" si="63"/>
        <v>32855.928390901434</v>
      </c>
      <c r="AG96" s="47" t="s">
        <v>527</v>
      </c>
      <c r="AH96" s="43">
        <v>19693</v>
      </c>
      <c r="AI96" s="43" t="s">
        <v>528</v>
      </c>
      <c r="AJ96" s="43" t="s">
        <v>406</v>
      </c>
      <c r="AK96" s="43" t="s">
        <v>502</v>
      </c>
      <c r="AL96" s="43">
        <v>8.6999999999999994E-3</v>
      </c>
      <c r="AM96" s="43" t="s">
        <v>529</v>
      </c>
      <c r="AN96" s="43"/>
      <c r="AO96" s="48"/>
    </row>
    <row r="97" spans="2:41" x14ac:dyDescent="0.2">
      <c r="D97" t="s">
        <v>86</v>
      </c>
      <c r="E97">
        <f t="shared" si="40"/>
        <v>100000</v>
      </c>
      <c r="F97">
        <v>37</v>
      </c>
      <c r="G97">
        <f t="shared" si="65"/>
        <v>925000000</v>
      </c>
      <c r="I97">
        <f t="shared" ref="I97:I98" si="67">10^4</f>
        <v>10000</v>
      </c>
      <c r="J97">
        <v>27</v>
      </c>
      <c r="K97">
        <f t="shared" si="66"/>
        <v>67500000</v>
      </c>
      <c r="M97">
        <f t="shared" si="60"/>
        <v>67500000</v>
      </c>
      <c r="N97">
        <f t="shared" si="61"/>
        <v>857500000</v>
      </c>
      <c r="O97">
        <f t="shared" si="62"/>
        <v>12.703703703703704</v>
      </c>
      <c r="U97" t="s">
        <v>86</v>
      </c>
      <c r="V97">
        <f t="shared" si="63"/>
        <v>15617.627398182431</v>
      </c>
      <c r="AG97" s="47" t="s">
        <v>530</v>
      </c>
      <c r="AH97" s="43">
        <v>21189</v>
      </c>
      <c r="AI97" s="43" t="s">
        <v>531</v>
      </c>
      <c r="AJ97" s="43" t="s">
        <v>406</v>
      </c>
      <c r="AK97" s="43" t="s">
        <v>502</v>
      </c>
      <c r="AL97" s="43">
        <v>6.1000000000000004E-3</v>
      </c>
      <c r="AM97" s="43" t="s">
        <v>532</v>
      </c>
      <c r="AN97" s="43"/>
      <c r="AO97" s="48"/>
    </row>
    <row r="98" spans="2:41" x14ac:dyDescent="0.2">
      <c r="D98" t="s">
        <v>87</v>
      </c>
      <c r="E98">
        <f t="shared" si="40"/>
        <v>100000</v>
      </c>
      <c r="F98">
        <v>35</v>
      </c>
      <c r="G98">
        <f t="shared" si="65"/>
        <v>875000000</v>
      </c>
      <c r="I98">
        <f t="shared" si="67"/>
        <v>10000</v>
      </c>
      <c r="J98">
        <v>32</v>
      </c>
      <c r="K98">
        <f t="shared" si="66"/>
        <v>80000000</v>
      </c>
      <c r="M98">
        <f t="shared" si="60"/>
        <v>80000000</v>
      </c>
      <c r="N98">
        <f t="shared" si="61"/>
        <v>795000000</v>
      </c>
      <c r="O98">
        <f t="shared" si="62"/>
        <v>9.9375</v>
      </c>
      <c r="U98" t="s">
        <v>87</v>
      </c>
      <c r="V98">
        <f t="shared" si="63"/>
        <v>23671.329312031303</v>
      </c>
      <c r="AG98" s="47" t="s">
        <v>533</v>
      </c>
      <c r="AH98" s="43">
        <v>-7055</v>
      </c>
      <c r="AI98" s="43" t="s">
        <v>534</v>
      </c>
      <c r="AJ98" s="43" t="s">
        <v>413</v>
      </c>
      <c r="AK98" s="43" t="s">
        <v>323</v>
      </c>
      <c r="AL98" s="43">
        <v>0.99580000000000002</v>
      </c>
      <c r="AM98" s="43" t="s">
        <v>535</v>
      </c>
      <c r="AN98" s="43"/>
      <c r="AO98" s="48"/>
    </row>
    <row r="99" spans="2:41" x14ac:dyDescent="0.2">
      <c r="AG99" s="47" t="s">
        <v>536</v>
      </c>
      <c r="AH99" s="43">
        <v>15317</v>
      </c>
      <c r="AI99" s="43" t="s">
        <v>537</v>
      </c>
      <c r="AJ99" s="43" t="s">
        <v>406</v>
      </c>
      <c r="AK99" s="43" t="s">
        <v>321</v>
      </c>
      <c r="AL99" s="43">
        <v>1.2999999999999999E-2</v>
      </c>
      <c r="AM99" s="43" t="s">
        <v>538</v>
      </c>
      <c r="AN99" s="43"/>
      <c r="AO99" s="48"/>
    </row>
    <row r="100" spans="2:41" x14ac:dyDescent="0.2">
      <c r="B100" t="s">
        <v>196</v>
      </c>
      <c r="C100" t="s">
        <v>205</v>
      </c>
      <c r="D100" t="s">
        <v>82</v>
      </c>
      <c r="E100">
        <f t="shared" ref="E100:E112" si="68">10^5</f>
        <v>100000</v>
      </c>
      <c r="F100">
        <v>39</v>
      </c>
      <c r="G100">
        <f t="shared" ref="G100:G105" si="69">E100*F100/0.004</f>
        <v>975000000</v>
      </c>
      <c r="I100">
        <f>10^4</f>
        <v>10000</v>
      </c>
      <c r="J100">
        <v>52</v>
      </c>
      <c r="K100">
        <f t="shared" ref="K100:K105" si="70">I100*J100/0.004</f>
        <v>130000000</v>
      </c>
      <c r="M100">
        <f t="shared" ref="M100:M105" si="71">K100</f>
        <v>130000000</v>
      </c>
      <c r="N100">
        <f t="shared" ref="N100:N105" si="72">G100-K100</f>
        <v>845000000</v>
      </c>
      <c r="O100">
        <f t="shared" ref="O100:O105" si="73">N100/M100</f>
        <v>6.5</v>
      </c>
      <c r="S100" t="s">
        <v>196</v>
      </c>
      <c r="T100" t="s">
        <v>202</v>
      </c>
      <c r="U100" t="s">
        <v>82</v>
      </c>
      <c r="V100">
        <f t="shared" ref="V100" si="74">O131/O86</f>
        <v>5727.9212410501195</v>
      </c>
      <c r="AG100" s="47" t="s">
        <v>539</v>
      </c>
      <c r="AH100" s="43">
        <v>16813</v>
      </c>
      <c r="AI100" s="43" t="s">
        <v>540</v>
      </c>
      <c r="AJ100" s="43" t="s">
        <v>406</v>
      </c>
      <c r="AK100" s="43" t="s">
        <v>502</v>
      </c>
      <c r="AL100" s="43">
        <v>8.3000000000000001E-3</v>
      </c>
      <c r="AM100" s="43" t="s">
        <v>541</v>
      </c>
      <c r="AN100" s="43"/>
      <c r="AO100" s="48"/>
    </row>
    <row r="101" spans="2:41" x14ac:dyDescent="0.2">
      <c r="C101" t="s">
        <v>208</v>
      </c>
      <c r="D101" t="s">
        <v>83</v>
      </c>
      <c r="E101">
        <f t="shared" si="68"/>
        <v>100000</v>
      </c>
      <c r="F101">
        <v>44</v>
      </c>
      <c r="G101">
        <f t="shared" si="69"/>
        <v>1100000000</v>
      </c>
      <c r="I101">
        <f t="shared" ref="I101:I105" si="75">10^4</f>
        <v>10000</v>
      </c>
      <c r="J101">
        <v>47</v>
      </c>
      <c r="K101">
        <f t="shared" si="70"/>
        <v>117500000</v>
      </c>
      <c r="M101">
        <f t="shared" si="71"/>
        <v>117500000</v>
      </c>
      <c r="N101">
        <f t="shared" si="72"/>
        <v>982500000</v>
      </c>
      <c r="O101">
        <f t="shared" si="73"/>
        <v>8.3617021276595747</v>
      </c>
      <c r="T101" t="s">
        <v>203</v>
      </c>
      <c r="U101" t="s">
        <v>83</v>
      </c>
      <c r="V101">
        <f t="shared" si="63"/>
        <v>17878.185658153245</v>
      </c>
      <c r="AG101" s="47" t="s">
        <v>542</v>
      </c>
      <c r="AH101" s="43">
        <v>-11431</v>
      </c>
      <c r="AI101" s="43" t="s">
        <v>543</v>
      </c>
      <c r="AJ101" s="43" t="s">
        <v>413</v>
      </c>
      <c r="AK101" s="43" t="s">
        <v>323</v>
      </c>
      <c r="AL101" s="43">
        <v>0.88739999999999997</v>
      </c>
      <c r="AM101" s="43" t="s">
        <v>544</v>
      </c>
      <c r="AN101" s="43"/>
      <c r="AO101" s="48"/>
    </row>
    <row r="102" spans="2:41" x14ac:dyDescent="0.2">
      <c r="D102" t="s">
        <v>84</v>
      </c>
      <c r="E102">
        <f t="shared" si="68"/>
        <v>100000</v>
      </c>
      <c r="F102">
        <v>36</v>
      </c>
      <c r="G102">
        <f t="shared" si="69"/>
        <v>900000000</v>
      </c>
      <c r="I102">
        <f t="shared" si="75"/>
        <v>10000</v>
      </c>
      <c r="J102">
        <v>53</v>
      </c>
      <c r="K102">
        <f t="shared" si="70"/>
        <v>132500000</v>
      </c>
      <c r="M102">
        <f t="shared" si="71"/>
        <v>132500000</v>
      </c>
      <c r="N102">
        <f t="shared" si="72"/>
        <v>767500000</v>
      </c>
      <c r="O102">
        <f t="shared" si="73"/>
        <v>5.7924528301886795</v>
      </c>
      <c r="U102" t="s">
        <v>84</v>
      </c>
      <c r="V102">
        <f t="shared" si="63"/>
        <v>22113.014742014744</v>
      </c>
      <c r="AG102" s="47" t="s">
        <v>545</v>
      </c>
      <c r="AH102" s="43">
        <v>1496</v>
      </c>
      <c r="AI102" s="43" t="s">
        <v>546</v>
      </c>
      <c r="AJ102" s="43" t="s">
        <v>406</v>
      </c>
      <c r="AK102" s="43" t="s">
        <v>321</v>
      </c>
      <c r="AL102" s="43">
        <v>2.75E-2</v>
      </c>
      <c r="AM102" s="43" t="s">
        <v>547</v>
      </c>
      <c r="AN102" s="43"/>
      <c r="AO102" s="48"/>
    </row>
    <row r="103" spans="2:41" x14ac:dyDescent="0.2">
      <c r="D103" t="s">
        <v>85</v>
      </c>
      <c r="E103">
        <f t="shared" si="68"/>
        <v>100000</v>
      </c>
      <c r="F103">
        <v>37</v>
      </c>
      <c r="G103">
        <f t="shared" si="69"/>
        <v>925000000</v>
      </c>
      <c r="I103">
        <f t="shared" si="75"/>
        <v>10000</v>
      </c>
      <c r="J103">
        <v>30</v>
      </c>
      <c r="K103">
        <f t="shared" si="70"/>
        <v>75000000</v>
      </c>
      <c r="M103">
        <f t="shared" si="71"/>
        <v>75000000</v>
      </c>
      <c r="N103">
        <f t="shared" si="72"/>
        <v>850000000</v>
      </c>
      <c r="O103">
        <f t="shared" si="73"/>
        <v>11.333333333333334</v>
      </c>
      <c r="U103" t="s">
        <v>85</v>
      </c>
      <c r="V103">
        <f t="shared" si="63"/>
        <v>17829.449612403099</v>
      </c>
      <c r="AG103" s="47" t="s">
        <v>548</v>
      </c>
      <c r="AH103" s="43">
        <v>-26748</v>
      </c>
      <c r="AI103" s="43" t="s">
        <v>549</v>
      </c>
      <c r="AJ103" s="43" t="s">
        <v>413</v>
      </c>
      <c r="AK103" s="43" t="s">
        <v>323</v>
      </c>
      <c r="AL103" s="43">
        <v>0.1603</v>
      </c>
      <c r="AM103" s="43" t="s">
        <v>550</v>
      </c>
      <c r="AN103" s="43"/>
      <c r="AO103" s="48"/>
    </row>
    <row r="104" spans="2:41" x14ac:dyDescent="0.2">
      <c r="D104" t="s">
        <v>86</v>
      </c>
      <c r="E104">
        <f t="shared" si="68"/>
        <v>100000</v>
      </c>
      <c r="F104">
        <v>35</v>
      </c>
      <c r="G104">
        <f t="shared" si="69"/>
        <v>875000000</v>
      </c>
      <c r="I104">
        <f t="shared" si="75"/>
        <v>10000</v>
      </c>
      <c r="J104">
        <v>36</v>
      </c>
      <c r="K104">
        <f t="shared" si="70"/>
        <v>90000000</v>
      </c>
      <c r="M104">
        <f t="shared" si="71"/>
        <v>90000000</v>
      </c>
      <c r="N104">
        <f t="shared" si="72"/>
        <v>785000000</v>
      </c>
      <c r="O104">
        <f t="shared" si="73"/>
        <v>8.7222222222222214</v>
      </c>
      <c r="U104" t="s">
        <v>86</v>
      </c>
      <c r="V104">
        <f t="shared" si="63"/>
        <v>17723.762299940721</v>
      </c>
      <c r="AG104" s="47" t="s">
        <v>551</v>
      </c>
      <c r="AH104" s="43">
        <v>-28244</v>
      </c>
      <c r="AI104" s="43" t="s">
        <v>552</v>
      </c>
      <c r="AJ104" s="43" t="s">
        <v>413</v>
      </c>
      <c r="AK104" s="43" t="s">
        <v>323</v>
      </c>
      <c r="AL104" s="43">
        <v>0.13350000000000001</v>
      </c>
      <c r="AM104" s="43" t="s">
        <v>553</v>
      </c>
      <c r="AN104" s="43"/>
      <c r="AO104" s="48"/>
    </row>
    <row r="105" spans="2:41" x14ac:dyDescent="0.2">
      <c r="D105" t="s">
        <v>87</v>
      </c>
      <c r="E105">
        <f t="shared" si="68"/>
        <v>100000</v>
      </c>
      <c r="F105">
        <v>35</v>
      </c>
      <c r="G105">
        <f t="shared" si="69"/>
        <v>875000000</v>
      </c>
      <c r="I105">
        <f t="shared" si="75"/>
        <v>10000</v>
      </c>
      <c r="J105">
        <v>34</v>
      </c>
      <c r="K105">
        <f t="shared" si="70"/>
        <v>85000000</v>
      </c>
      <c r="M105">
        <f t="shared" si="71"/>
        <v>85000000</v>
      </c>
      <c r="N105">
        <f t="shared" si="72"/>
        <v>790000000</v>
      </c>
      <c r="O105">
        <f t="shared" si="73"/>
        <v>9.2941176470588243</v>
      </c>
      <c r="U105" t="s">
        <v>87</v>
      </c>
      <c r="V105">
        <f t="shared" si="63"/>
        <v>21096.803021824289</v>
      </c>
      <c r="AG105" s="47"/>
      <c r="AH105" s="43"/>
      <c r="AI105" s="43"/>
      <c r="AJ105" s="43"/>
      <c r="AK105" s="43"/>
      <c r="AL105" s="43"/>
      <c r="AM105" s="43"/>
      <c r="AN105" s="43"/>
      <c r="AO105" s="48"/>
    </row>
    <row r="106" spans="2:41" x14ac:dyDescent="0.2">
      <c r="AG106" s="47" t="s">
        <v>414</v>
      </c>
      <c r="AH106" s="43" t="s">
        <v>415</v>
      </c>
      <c r="AI106" s="43" t="s">
        <v>416</v>
      </c>
      <c r="AJ106" s="43" t="s">
        <v>399</v>
      </c>
      <c r="AK106" s="43" t="s">
        <v>417</v>
      </c>
      <c r="AL106" s="43" t="s">
        <v>554</v>
      </c>
      <c r="AM106" s="43" t="s">
        <v>555</v>
      </c>
      <c r="AN106" s="43" t="s">
        <v>556</v>
      </c>
      <c r="AO106" s="48" t="s">
        <v>421</v>
      </c>
    </row>
    <row r="107" spans="2:41" x14ac:dyDescent="0.2">
      <c r="B107" t="s">
        <v>196</v>
      </c>
      <c r="C107" t="s">
        <v>206</v>
      </c>
      <c r="D107" t="s">
        <v>82</v>
      </c>
      <c r="E107">
        <f t="shared" si="68"/>
        <v>100000</v>
      </c>
      <c r="F107">
        <v>42</v>
      </c>
      <c r="G107">
        <f t="shared" ref="G107" si="76">E107*F107/0.004</f>
        <v>1050000000</v>
      </c>
      <c r="I107">
        <f>10^4</f>
        <v>10000</v>
      </c>
      <c r="J107">
        <v>46</v>
      </c>
      <c r="K107">
        <f t="shared" ref="K107" si="77">I107*J107/0.004</f>
        <v>115000000</v>
      </c>
      <c r="M107">
        <f t="shared" ref="M107:M112" si="78">K107</f>
        <v>115000000</v>
      </c>
      <c r="N107">
        <f t="shared" ref="N107:N112" si="79">G107-K107</f>
        <v>935000000</v>
      </c>
      <c r="O107">
        <f t="shared" ref="O107:O112" si="80">N107/M107</f>
        <v>8.1304347826086953</v>
      </c>
      <c r="S107" t="s">
        <v>196</v>
      </c>
      <c r="T107" t="s">
        <v>204</v>
      </c>
      <c r="U107" t="s">
        <v>82</v>
      </c>
      <c r="V107">
        <f t="shared" ref="V107" si="81">O138/O93</f>
        <v>1730.9144588333136</v>
      </c>
      <c r="AG107" s="47" t="s">
        <v>510</v>
      </c>
      <c r="AH107" s="43">
        <v>21227</v>
      </c>
      <c r="AI107" s="43">
        <v>21437</v>
      </c>
      <c r="AJ107" s="43">
        <v>-209.9</v>
      </c>
      <c r="AK107" s="43">
        <v>4127</v>
      </c>
      <c r="AL107" s="43">
        <v>6</v>
      </c>
      <c r="AM107" s="43">
        <v>6</v>
      </c>
      <c r="AN107" s="43">
        <v>5.0860000000000002E-2</v>
      </c>
      <c r="AO107" s="48">
        <v>9.9540000000000006</v>
      </c>
    </row>
    <row r="108" spans="2:41" x14ac:dyDescent="0.2">
      <c r="C108" t="s">
        <v>209</v>
      </c>
      <c r="D108" t="s">
        <v>83</v>
      </c>
      <c r="E108">
        <f t="shared" si="68"/>
        <v>100000</v>
      </c>
      <c r="F108">
        <v>37</v>
      </c>
      <c r="G108">
        <f>E108*F108/0.004</f>
        <v>925000000</v>
      </c>
      <c r="I108">
        <f t="shared" ref="I108:I112" si="82">10^4</f>
        <v>10000</v>
      </c>
      <c r="J108">
        <v>49</v>
      </c>
      <c r="K108">
        <f>I108*J108/0.004</f>
        <v>122500000</v>
      </c>
      <c r="M108">
        <f t="shared" si="78"/>
        <v>122500000</v>
      </c>
      <c r="N108">
        <f t="shared" si="79"/>
        <v>802500000</v>
      </c>
      <c r="O108">
        <f t="shared" si="80"/>
        <v>6.5510204081632653</v>
      </c>
      <c r="T108" t="s">
        <v>207</v>
      </c>
      <c r="U108" t="s">
        <v>83</v>
      </c>
      <c r="V108">
        <f t="shared" si="63"/>
        <v>955.08963585434174</v>
      </c>
      <c r="AG108" s="47" t="s">
        <v>512</v>
      </c>
      <c r="AH108" s="43">
        <v>21227</v>
      </c>
      <c r="AI108" s="43">
        <v>17062</v>
      </c>
      <c r="AJ108" s="43">
        <v>4166</v>
      </c>
      <c r="AK108" s="43">
        <v>3850</v>
      </c>
      <c r="AL108" s="43">
        <v>6</v>
      </c>
      <c r="AM108" s="43">
        <v>6</v>
      </c>
      <c r="AN108" s="43">
        <v>1.0820000000000001</v>
      </c>
      <c r="AO108" s="48">
        <v>9.5109999999999992</v>
      </c>
    </row>
    <row r="109" spans="2:41" x14ac:dyDescent="0.2">
      <c r="D109" t="s">
        <v>84</v>
      </c>
      <c r="E109">
        <f t="shared" si="68"/>
        <v>100000</v>
      </c>
      <c r="F109">
        <v>36</v>
      </c>
      <c r="G109">
        <f>E109*F109/0.004</f>
        <v>900000000</v>
      </c>
      <c r="I109">
        <f t="shared" si="82"/>
        <v>10000</v>
      </c>
      <c r="J109">
        <v>44</v>
      </c>
      <c r="K109">
        <f>I109*J109/0.004</f>
        <v>110000000</v>
      </c>
      <c r="M109">
        <f t="shared" si="78"/>
        <v>110000000</v>
      </c>
      <c r="N109">
        <f t="shared" si="79"/>
        <v>790000000</v>
      </c>
      <c r="O109">
        <f t="shared" si="80"/>
        <v>7.1818181818181817</v>
      </c>
      <c r="U109" t="s">
        <v>84</v>
      </c>
      <c r="V109">
        <f t="shared" si="63"/>
        <v>920.6788008565311</v>
      </c>
      <c r="AG109" s="47" t="s">
        <v>515</v>
      </c>
      <c r="AH109" s="43">
        <v>21227</v>
      </c>
      <c r="AI109" s="43">
        <v>1745</v>
      </c>
      <c r="AJ109" s="43">
        <v>19483</v>
      </c>
      <c r="AK109" s="43">
        <v>3028</v>
      </c>
      <c r="AL109" s="43">
        <v>6</v>
      </c>
      <c r="AM109" s="43">
        <v>6</v>
      </c>
      <c r="AN109" s="43">
        <v>6.4329999999999998</v>
      </c>
      <c r="AO109" s="48">
        <v>5.0860000000000003</v>
      </c>
    </row>
    <row r="110" spans="2:41" x14ac:dyDescent="0.2">
      <c r="D110" t="s">
        <v>85</v>
      </c>
      <c r="E110">
        <f t="shared" si="68"/>
        <v>100000</v>
      </c>
      <c r="F110">
        <v>39</v>
      </c>
      <c r="G110">
        <f t="shared" ref="G110:G112" si="83">E110*F110/0.004</f>
        <v>975000000</v>
      </c>
      <c r="I110">
        <f t="shared" si="82"/>
        <v>10000</v>
      </c>
      <c r="J110">
        <v>29</v>
      </c>
      <c r="K110">
        <f t="shared" ref="K110:K112" si="84">I110*J110/0.004</f>
        <v>72500000</v>
      </c>
      <c r="M110">
        <f t="shared" si="78"/>
        <v>72500000</v>
      </c>
      <c r="N110">
        <f t="shared" si="79"/>
        <v>902500000</v>
      </c>
      <c r="O110">
        <f t="shared" si="80"/>
        <v>12.448275862068966</v>
      </c>
      <c r="U110" t="s">
        <v>85</v>
      </c>
      <c r="V110">
        <f t="shared" si="63"/>
        <v>1967.7871485943774</v>
      </c>
      <c r="AG110" s="47" t="s">
        <v>518</v>
      </c>
      <c r="AH110" s="43">
        <v>21227</v>
      </c>
      <c r="AI110" s="43">
        <v>248.4</v>
      </c>
      <c r="AJ110" s="43">
        <v>20979</v>
      </c>
      <c r="AK110" s="43">
        <v>3016</v>
      </c>
      <c r="AL110" s="43">
        <v>6</v>
      </c>
      <c r="AM110" s="43">
        <v>6</v>
      </c>
      <c r="AN110" s="43">
        <v>6.9569999999999999</v>
      </c>
      <c r="AO110" s="48">
        <v>5.0010000000000003</v>
      </c>
    </row>
    <row r="111" spans="2:41" x14ac:dyDescent="0.2">
      <c r="D111" t="s">
        <v>86</v>
      </c>
      <c r="E111">
        <f t="shared" si="68"/>
        <v>100000</v>
      </c>
      <c r="F111">
        <v>35</v>
      </c>
      <c r="G111">
        <f t="shared" si="83"/>
        <v>875000000</v>
      </c>
      <c r="I111">
        <f t="shared" si="82"/>
        <v>10000</v>
      </c>
      <c r="J111">
        <v>31</v>
      </c>
      <c r="K111">
        <f t="shared" si="84"/>
        <v>77500000</v>
      </c>
      <c r="M111">
        <f t="shared" si="78"/>
        <v>77500000</v>
      </c>
      <c r="N111">
        <f t="shared" si="79"/>
        <v>797500000</v>
      </c>
      <c r="O111">
        <f t="shared" si="80"/>
        <v>10.290322580645162</v>
      </c>
      <c r="U111" t="s">
        <v>86</v>
      </c>
      <c r="V111">
        <f t="shared" si="63"/>
        <v>2448.9008746355685</v>
      </c>
      <c r="AG111" s="47" t="s">
        <v>521</v>
      </c>
      <c r="AH111" s="43">
        <v>21227</v>
      </c>
      <c r="AI111" s="43">
        <v>28492</v>
      </c>
      <c r="AJ111" s="43">
        <v>-7265</v>
      </c>
      <c r="AK111" s="43">
        <v>8547</v>
      </c>
      <c r="AL111" s="43">
        <v>6</v>
      </c>
      <c r="AM111" s="43">
        <v>6</v>
      </c>
      <c r="AN111" s="43">
        <v>0.85</v>
      </c>
      <c r="AO111" s="48">
        <v>6.3940000000000001</v>
      </c>
    </row>
    <row r="112" spans="2:41" x14ac:dyDescent="0.2">
      <c r="D112" t="s">
        <v>87</v>
      </c>
      <c r="E112">
        <f t="shared" si="68"/>
        <v>100000</v>
      </c>
      <c r="F112">
        <v>31</v>
      </c>
      <c r="G112">
        <f t="shared" si="83"/>
        <v>775000000</v>
      </c>
      <c r="I112">
        <f t="shared" si="82"/>
        <v>10000</v>
      </c>
      <c r="J112">
        <v>32</v>
      </c>
      <c r="K112">
        <f t="shared" si="84"/>
        <v>80000000</v>
      </c>
      <c r="M112">
        <f t="shared" si="78"/>
        <v>80000000</v>
      </c>
      <c r="N112">
        <f t="shared" si="79"/>
        <v>695000000</v>
      </c>
      <c r="O112">
        <f t="shared" si="80"/>
        <v>8.6875</v>
      </c>
      <c r="U112" t="s">
        <v>87</v>
      </c>
      <c r="V112">
        <f t="shared" si="63"/>
        <v>2443.7448337825695</v>
      </c>
      <c r="AG112" s="47" t="s">
        <v>524</v>
      </c>
      <c r="AH112" s="43">
        <v>21437</v>
      </c>
      <c r="AI112" s="43">
        <v>17062</v>
      </c>
      <c r="AJ112" s="43">
        <v>4376</v>
      </c>
      <c r="AK112" s="43">
        <v>3697</v>
      </c>
      <c r="AL112" s="43">
        <v>6</v>
      </c>
      <c r="AM112" s="43">
        <v>6</v>
      </c>
      <c r="AN112" s="43">
        <v>1.1839999999999999</v>
      </c>
      <c r="AO112" s="48">
        <v>9.7460000000000004</v>
      </c>
    </row>
    <row r="113" spans="1:41" x14ac:dyDescent="0.2">
      <c r="AG113" s="47" t="s">
        <v>527</v>
      </c>
      <c r="AH113" s="43">
        <v>21437</v>
      </c>
      <c r="AI113" s="43">
        <v>1745</v>
      </c>
      <c r="AJ113" s="43">
        <v>19693</v>
      </c>
      <c r="AK113" s="43">
        <v>2831</v>
      </c>
      <c r="AL113" s="43">
        <v>6</v>
      </c>
      <c r="AM113" s="43">
        <v>6</v>
      </c>
      <c r="AN113" s="43">
        <v>6.9560000000000004</v>
      </c>
      <c r="AO113" s="48">
        <v>5.0979999999999999</v>
      </c>
    </row>
    <row r="114" spans="1:41" x14ac:dyDescent="0.2">
      <c r="S114" t="s">
        <v>196</v>
      </c>
      <c r="T114" t="s">
        <v>205</v>
      </c>
      <c r="U114" t="s">
        <v>82</v>
      </c>
      <c r="V114">
        <f t="shared" ref="V114" si="85">O145/O100</f>
        <v>274.57142857142856</v>
      </c>
      <c r="AG114" s="47" t="s">
        <v>530</v>
      </c>
      <c r="AH114" s="43">
        <v>21437</v>
      </c>
      <c r="AI114" s="43">
        <v>248.4</v>
      </c>
      <c r="AJ114" s="43">
        <v>21189</v>
      </c>
      <c r="AK114" s="43">
        <v>2817</v>
      </c>
      <c r="AL114" s="43">
        <v>6</v>
      </c>
      <c r="AM114" s="43">
        <v>6</v>
      </c>
      <c r="AN114" s="43">
        <v>7.5209999999999999</v>
      </c>
      <c r="AO114" s="48">
        <v>5.0010000000000003</v>
      </c>
    </row>
    <row r="115" spans="1:41" x14ac:dyDescent="0.2">
      <c r="A115" t="s">
        <v>80</v>
      </c>
      <c r="F115" t="s">
        <v>55</v>
      </c>
      <c r="J115" t="s">
        <v>193</v>
      </c>
      <c r="T115" t="s">
        <v>208</v>
      </c>
      <c r="U115" t="s">
        <v>83</v>
      </c>
      <c r="V115">
        <f t="shared" si="63"/>
        <v>216.64249363867685</v>
      </c>
      <c r="AG115" s="47" t="s">
        <v>533</v>
      </c>
      <c r="AH115" s="43">
        <v>21437</v>
      </c>
      <c r="AI115" s="43">
        <v>28492</v>
      </c>
      <c r="AJ115" s="43">
        <v>-7055</v>
      </c>
      <c r="AK115" s="43">
        <v>8479</v>
      </c>
      <c r="AL115" s="43">
        <v>6</v>
      </c>
      <c r="AM115" s="43">
        <v>6</v>
      </c>
      <c r="AN115" s="43">
        <v>0.83209999999999995</v>
      </c>
      <c r="AO115" s="48">
        <v>6.2220000000000004</v>
      </c>
    </row>
    <row r="116" spans="1:41" x14ac:dyDescent="0.2">
      <c r="B116" t="s">
        <v>58</v>
      </c>
      <c r="C116" t="s">
        <v>59</v>
      </c>
      <c r="E116" t="s">
        <v>60</v>
      </c>
      <c r="F116" t="s">
        <v>61</v>
      </c>
      <c r="G116" t="s">
        <v>62</v>
      </c>
      <c r="I116" t="s">
        <v>60</v>
      </c>
      <c r="J116" t="s">
        <v>61</v>
      </c>
      <c r="K116" t="s">
        <v>62</v>
      </c>
      <c r="M116" t="s">
        <v>194</v>
      </c>
      <c r="N116" t="s">
        <v>195</v>
      </c>
      <c r="O116" t="s">
        <v>158</v>
      </c>
      <c r="U116" t="s">
        <v>84</v>
      </c>
      <c r="V116">
        <f t="shared" si="63"/>
        <v>345.10423452768725</v>
      </c>
      <c r="AG116" s="47" t="s">
        <v>536</v>
      </c>
      <c r="AH116" s="43">
        <v>17062</v>
      </c>
      <c r="AI116" s="43">
        <v>1745</v>
      </c>
      <c r="AJ116" s="43">
        <v>15317</v>
      </c>
      <c r="AK116" s="43">
        <v>2410</v>
      </c>
      <c r="AL116" s="43">
        <v>6</v>
      </c>
      <c r="AM116" s="43">
        <v>6</v>
      </c>
      <c r="AN116" s="43">
        <v>6.3550000000000004</v>
      </c>
      <c r="AO116" s="48">
        <v>5.1360000000000001</v>
      </c>
    </row>
    <row r="117" spans="1:41" x14ac:dyDescent="0.2">
      <c r="B117" t="s">
        <v>196</v>
      </c>
      <c r="C117" t="s">
        <v>197</v>
      </c>
      <c r="D117" t="s">
        <v>82</v>
      </c>
      <c r="E117">
        <f>10^5</f>
        <v>100000</v>
      </c>
      <c r="F117">
        <v>31</v>
      </c>
      <c r="G117">
        <f>E117*F117/0.004</f>
        <v>775000000</v>
      </c>
      <c r="I117">
        <f>10^0</f>
        <v>1</v>
      </c>
      <c r="J117">
        <v>1</v>
      </c>
      <c r="K117">
        <f>I117*J117/0.004</f>
        <v>250</v>
      </c>
      <c r="M117">
        <f>K117</f>
        <v>250</v>
      </c>
      <c r="N117">
        <f>G117-K117</f>
        <v>774999750</v>
      </c>
      <c r="O117">
        <f>N117/M117</f>
        <v>3099999</v>
      </c>
      <c r="U117" t="s">
        <v>85</v>
      </c>
      <c r="V117">
        <f t="shared" si="63"/>
        <v>167.55882352941177</v>
      </c>
      <c r="AG117" s="47" t="s">
        <v>539</v>
      </c>
      <c r="AH117" s="43">
        <v>17062</v>
      </c>
      <c r="AI117" s="43">
        <v>248.4</v>
      </c>
      <c r="AJ117" s="43">
        <v>16813</v>
      </c>
      <c r="AK117" s="43">
        <v>2394</v>
      </c>
      <c r="AL117" s="43">
        <v>6</v>
      </c>
      <c r="AM117" s="43">
        <v>6</v>
      </c>
      <c r="AN117" s="43">
        <v>7.0220000000000002</v>
      </c>
      <c r="AO117" s="48">
        <v>5.0010000000000003</v>
      </c>
    </row>
    <row r="118" spans="1:41" x14ac:dyDescent="0.2">
      <c r="B118" t="s">
        <v>198</v>
      </c>
      <c r="C118" t="s">
        <v>199</v>
      </c>
      <c r="D118" t="s">
        <v>83</v>
      </c>
      <c r="E118">
        <f t="shared" ref="E118:E119" si="86">10^5</f>
        <v>100000</v>
      </c>
      <c r="F118">
        <v>31</v>
      </c>
      <c r="G118">
        <f t="shared" ref="G118:G119" si="87">E118*F118/0.004</f>
        <v>775000000</v>
      </c>
      <c r="I118">
        <f t="shared" ref="I118:I119" si="88">10^0</f>
        <v>1</v>
      </c>
      <c r="J118">
        <v>1</v>
      </c>
      <c r="K118">
        <f t="shared" ref="K118:K119" si="89">I118*J118/0.004</f>
        <v>250</v>
      </c>
      <c r="M118">
        <f t="shared" ref="M118:M119" si="90">K118</f>
        <v>250</v>
      </c>
      <c r="N118">
        <f t="shared" ref="N118:N119" si="91">G118-K118</f>
        <v>774999750</v>
      </c>
      <c r="O118">
        <f t="shared" ref="O118:O119" si="92">N118/M118</f>
        <v>3099999</v>
      </c>
      <c r="U118" t="s">
        <v>86</v>
      </c>
      <c r="V118">
        <f t="shared" si="63"/>
        <v>241.92356687898095</v>
      </c>
      <c r="AG118" s="47" t="s">
        <v>542</v>
      </c>
      <c r="AH118" s="43">
        <v>17062</v>
      </c>
      <c r="AI118" s="43">
        <v>28492</v>
      </c>
      <c r="AJ118" s="43">
        <v>-11431</v>
      </c>
      <c r="AK118" s="43">
        <v>8348</v>
      </c>
      <c r="AL118" s="43">
        <v>6</v>
      </c>
      <c r="AM118" s="43">
        <v>6</v>
      </c>
      <c r="AN118" s="43">
        <v>1.369</v>
      </c>
      <c r="AO118" s="48">
        <v>5.8890000000000002</v>
      </c>
    </row>
    <row r="119" spans="1:41" x14ac:dyDescent="0.2">
      <c r="D119" t="s">
        <v>84</v>
      </c>
      <c r="E119">
        <f t="shared" si="86"/>
        <v>100000</v>
      </c>
      <c r="F119">
        <v>25</v>
      </c>
      <c r="G119">
        <f t="shared" si="87"/>
        <v>625000000</v>
      </c>
      <c r="I119">
        <f t="shared" si="88"/>
        <v>1</v>
      </c>
      <c r="J119">
        <v>1</v>
      </c>
      <c r="K119">
        <f t="shared" si="89"/>
        <v>250</v>
      </c>
      <c r="M119">
        <f t="shared" si="90"/>
        <v>250</v>
      </c>
      <c r="N119">
        <f t="shared" si="91"/>
        <v>624999750</v>
      </c>
      <c r="O119">
        <f t="shared" si="92"/>
        <v>2499999</v>
      </c>
      <c r="U119" t="s">
        <v>87</v>
      </c>
      <c r="V119">
        <f t="shared" si="63"/>
        <v>244.42635212888374</v>
      </c>
      <c r="AG119" s="47" t="s">
        <v>545</v>
      </c>
      <c r="AH119" s="43">
        <v>1745</v>
      </c>
      <c r="AI119" s="43">
        <v>248.4</v>
      </c>
      <c r="AJ119" s="43">
        <v>1496</v>
      </c>
      <c r="AK119" s="43">
        <v>280.2</v>
      </c>
      <c r="AL119" s="43">
        <v>6</v>
      </c>
      <c r="AM119" s="43">
        <v>6</v>
      </c>
      <c r="AN119" s="43">
        <v>5.34</v>
      </c>
      <c r="AO119" s="48">
        <v>5.0750000000000002</v>
      </c>
    </row>
    <row r="120" spans="1:41" x14ac:dyDescent="0.2">
      <c r="D120" t="s">
        <v>85</v>
      </c>
      <c r="E120">
        <f>10^5</f>
        <v>100000</v>
      </c>
      <c r="F120">
        <v>31</v>
      </c>
      <c r="G120">
        <f>E120*F120/0.004</f>
        <v>775000000</v>
      </c>
      <c r="I120">
        <f>10^0</f>
        <v>1</v>
      </c>
      <c r="J120">
        <v>1</v>
      </c>
      <c r="K120">
        <f>I120*J120/0.004</f>
        <v>250</v>
      </c>
      <c r="M120">
        <f>K120</f>
        <v>250</v>
      </c>
      <c r="N120">
        <f>G120-K120</f>
        <v>774999750</v>
      </c>
      <c r="O120">
        <f>N120/M120</f>
        <v>3099999</v>
      </c>
      <c r="AG120" s="47" t="s">
        <v>548</v>
      </c>
      <c r="AH120" s="43">
        <v>1745</v>
      </c>
      <c r="AI120" s="43">
        <v>28492</v>
      </c>
      <c r="AJ120" s="43">
        <v>-26748</v>
      </c>
      <c r="AK120" s="43">
        <v>8002</v>
      </c>
      <c r="AL120" s="43">
        <v>6</v>
      </c>
      <c r="AM120" s="43">
        <v>6</v>
      </c>
      <c r="AN120" s="43">
        <v>3.343</v>
      </c>
      <c r="AO120" s="48">
        <v>5.0119999999999996</v>
      </c>
    </row>
    <row r="121" spans="1:41" x14ac:dyDescent="0.2">
      <c r="D121" t="s">
        <v>86</v>
      </c>
      <c r="E121">
        <f t="shared" ref="E121:E122" si="93">10^5</f>
        <v>100000</v>
      </c>
      <c r="F121">
        <v>20</v>
      </c>
      <c r="G121">
        <f t="shared" ref="G121:G122" si="94">E121*F121/0.004</f>
        <v>500000000</v>
      </c>
      <c r="I121">
        <f t="shared" ref="I121:I122" si="95">10^0</f>
        <v>1</v>
      </c>
      <c r="J121">
        <v>1</v>
      </c>
      <c r="K121">
        <f t="shared" ref="K121:K122" si="96">I121*J121/0.004</f>
        <v>250</v>
      </c>
      <c r="M121">
        <f t="shared" ref="M121:M122" si="97">K121</f>
        <v>250</v>
      </c>
      <c r="N121">
        <f t="shared" ref="N121:N122" si="98">G121-K121</f>
        <v>499999750</v>
      </c>
      <c r="O121">
        <f t="shared" ref="O121:O122" si="99">N121/M121</f>
        <v>1999999</v>
      </c>
      <c r="S121" t="s">
        <v>196</v>
      </c>
      <c r="T121" t="s">
        <v>206</v>
      </c>
      <c r="U121" t="s">
        <v>82</v>
      </c>
      <c r="V121">
        <f t="shared" ref="V121" si="100">O152/O107</f>
        <v>46122.871657754011</v>
      </c>
      <c r="AG121" s="49" t="s">
        <v>551</v>
      </c>
      <c r="AH121" s="50">
        <v>248.4</v>
      </c>
      <c r="AI121" s="50">
        <v>28492</v>
      </c>
      <c r="AJ121" s="50">
        <v>-28244</v>
      </c>
      <c r="AK121" s="50">
        <v>7997</v>
      </c>
      <c r="AL121" s="50">
        <v>6</v>
      </c>
      <c r="AM121" s="50">
        <v>6</v>
      </c>
      <c r="AN121" s="50">
        <v>3.532</v>
      </c>
      <c r="AO121" s="51">
        <v>5</v>
      </c>
    </row>
    <row r="122" spans="1:41" x14ac:dyDescent="0.2">
      <c r="D122" t="s">
        <v>87</v>
      </c>
      <c r="E122">
        <f t="shared" si="93"/>
        <v>100000</v>
      </c>
      <c r="F122">
        <v>17</v>
      </c>
      <c r="G122">
        <f t="shared" si="94"/>
        <v>425000000</v>
      </c>
      <c r="I122">
        <f t="shared" si="95"/>
        <v>1</v>
      </c>
      <c r="J122">
        <v>1</v>
      </c>
      <c r="K122">
        <f t="shared" si="96"/>
        <v>250</v>
      </c>
      <c r="M122">
        <f t="shared" si="97"/>
        <v>250</v>
      </c>
      <c r="N122">
        <f t="shared" si="98"/>
        <v>424999750</v>
      </c>
      <c r="O122">
        <f t="shared" si="99"/>
        <v>1699999</v>
      </c>
      <c r="T122" t="s">
        <v>209</v>
      </c>
      <c r="U122" t="s">
        <v>83</v>
      </c>
      <c r="V122">
        <f t="shared" si="63"/>
        <v>58878.352024922126</v>
      </c>
    </row>
    <row r="123" spans="1:41" x14ac:dyDescent="0.2">
      <c r="U123" t="s">
        <v>84</v>
      </c>
      <c r="V123">
        <f t="shared" si="63"/>
        <v>12809.987341772152</v>
      </c>
    </row>
    <row r="124" spans="1:41" x14ac:dyDescent="0.2">
      <c r="B124" t="s">
        <v>196</v>
      </c>
      <c r="C124" t="s">
        <v>200</v>
      </c>
      <c r="D124" t="s">
        <v>82</v>
      </c>
      <c r="E124">
        <f t="shared" ref="E124:E143" si="101">10^5</f>
        <v>100000</v>
      </c>
      <c r="F124">
        <v>21</v>
      </c>
      <c r="G124">
        <f t="shared" ref="G124:G129" si="102">E124*F124/0.004</f>
        <v>525000000</v>
      </c>
      <c r="I124">
        <f t="shared" ref="I124:I136" si="103">10^0</f>
        <v>1</v>
      </c>
      <c r="J124">
        <v>1</v>
      </c>
      <c r="K124">
        <f t="shared" ref="K124:K129" si="104">I124*J124/0.004</f>
        <v>250</v>
      </c>
      <c r="M124">
        <f t="shared" ref="M124:M129" si="105">K124</f>
        <v>250</v>
      </c>
      <c r="N124">
        <f t="shared" ref="N124:N129" si="106">G124-K124</f>
        <v>524999750</v>
      </c>
      <c r="O124">
        <f t="shared" ref="O124:O129" si="107">N124/M124</f>
        <v>2099999</v>
      </c>
      <c r="U124" t="s">
        <v>85</v>
      </c>
      <c r="V124">
        <f t="shared" si="63"/>
        <v>16796.696298161671</v>
      </c>
    </row>
    <row r="125" spans="1:41" x14ac:dyDescent="0.2">
      <c r="C125" t="s">
        <v>201</v>
      </c>
      <c r="D125" t="s">
        <v>83</v>
      </c>
      <c r="E125">
        <f t="shared" si="101"/>
        <v>100000</v>
      </c>
      <c r="F125">
        <v>28</v>
      </c>
      <c r="G125">
        <f t="shared" si="102"/>
        <v>700000000</v>
      </c>
      <c r="I125">
        <f t="shared" si="103"/>
        <v>1</v>
      </c>
      <c r="J125">
        <v>1</v>
      </c>
      <c r="K125">
        <f t="shared" si="104"/>
        <v>250</v>
      </c>
      <c r="M125">
        <f t="shared" si="105"/>
        <v>250</v>
      </c>
      <c r="N125">
        <f t="shared" si="106"/>
        <v>699999750</v>
      </c>
      <c r="O125">
        <f t="shared" si="107"/>
        <v>2799999</v>
      </c>
      <c r="U125" t="s">
        <v>86</v>
      </c>
      <c r="V125">
        <f t="shared" si="63"/>
        <v>24834.455242075932</v>
      </c>
    </row>
    <row r="126" spans="1:41" x14ac:dyDescent="0.2">
      <c r="D126" t="s">
        <v>84</v>
      </c>
      <c r="E126">
        <f t="shared" si="101"/>
        <v>100000</v>
      </c>
      <c r="F126">
        <v>31</v>
      </c>
      <c r="G126">
        <f t="shared" si="102"/>
        <v>775000000</v>
      </c>
      <c r="I126">
        <f t="shared" si="103"/>
        <v>1</v>
      </c>
      <c r="J126">
        <v>1</v>
      </c>
      <c r="K126">
        <f t="shared" si="104"/>
        <v>250</v>
      </c>
      <c r="M126">
        <f t="shared" si="105"/>
        <v>250</v>
      </c>
      <c r="N126">
        <f t="shared" si="106"/>
        <v>774999750</v>
      </c>
      <c r="O126">
        <f t="shared" si="107"/>
        <v>3099999</v>
      </c>
      <c r="U126" t="s">
        <v>87</v>
      </c>
      <c r="V126">
        <f t="shared" si="63"/>
        <v>11510.676258992806</v>
      </c>
    </row>
    <row r="127" spans="1:41" x14ac:dyDescent="0.2">
      <c r="D127" t="s">
        <v>85</v>
      </c>
      <c r="E127">
        <f t="shared" si="101"/>
        <v>100000</v>
      </c>
      <c r="F127">
        <v>30</v>
      </c>
      <c r="G127">
        <f t="shared" si="102"/>
        <v>750000000</v>
      </c>
      <c r="I127">
        <f t="shared" si="103"/>
        <v>1</v>
      </c>
      <c r="J127">
        <v>1</v>
      </c>
      <c r="K127">
        <f t="shared" si="104"/>
        <v>250</v>
      </c>
      <c r="M127">
        <f t="shared" si="105"/>
        <v>250</v>
      </c>
      <c r="N127">
        <f t="shared" si="106"/>
        <v>749999750</v>
      </c>
      <c r="O127">
        <f t="shared" si="107"/>
        <v>2999999</v>
      </c>
    </row>
    <row r="128" spans="1:41" x14ac:dyDescent="0.2">
      <c r="D128" t="s">
        <v>86</v>
      </c>
      <c r="E128">
        <f t="shared" si="101"/>
        <v>100000</v>
      </c>
      <c r="F128">
        <v>16</v>
      </c>
      <c r="G128">
        <f t="shared" si="102"/>
        <v>400000000</v>
      </c>
      <c r="I128">
        <f t="shared" si="103"/>
        <v>1</v>
      </c>
      <c r="J128">
        <v>1</v>
      </c>
      <c r="K128">
        <f t="shared" si="104"/>
        <v>250</v>
      </c>
      <c r="M128">
        <f t="shared" si="105"/>
        <v>250</v>
      </c>
      <c r="N128">
        <f t="shared" si="106"/>
        <v>399999750</v>
      </c>
      <c r="O128">
        <f t="shared" si="107"/>
        <v>1599999</v>
      </c>
    </row>
    <row r="129" spans="2:15" x14ac:dyDescent="0.2">
      <c r="D129" t="s">
        <v>87</v>
      </c>
      <c r="E129">
        <f t="shared" si="101"/>
        <v>100000</v>
      </c>
      <c r="F129">
        <v>22</v>
      </c>
      <c r="G129">
        <f t="shared" si="102"/>
        <v>550000000</v>
      </c>
      <c r="I129">
        <f t="shared" si="103"/>
        <v>1</v>
      </c>
      <c r="J129">
        <v>1</v>
      </c>
      <c r="K129">
        <f t="shared" si="104"/>
        <v>250</v>
      </c>
      <c r="M129">
        <f t="shared" si="105"/>
        <v>250</v>
      </c>
      <c r="N129">
        <f t="shared" si="106"/>
        <v>549999750</v>
      </c>
      <c r="O129">
        <f t="shared" si="107"/>
        <v>2199999</v>
      </c>
    </row>
    <row r="131" spans="2:15" x14ac:dyDescent="0.2">
      <c r="B131" t="s">
        <v>196</v>
      </c>
      <c r="C131" t="s">
        <v>202</v>
      </c>
      <c r="D131" t="s">
        <v>82</v>
      </c>
      <c r="E131">
        <f t="shared" ref="E131" si="108">10^5</f>
        <v>100000</v>
      </c>
      <c r="F131">
        <v>24</v>
      </c>
      <c r="G131">
        <f t="shared" ref="G131:G136" si="109">E131*F131/0.004</f>
        <v>600000000</v>
      </c>
      <c r="I131">
        <f t="shared" ref="I131" si="110">10^0</f>
        <v>1</v>
      </c>
      <c r="J131">
        <v>1</v>
      </c>
      <c r="K131">
        <f t="shared" ref="K131:K136" si="111">I131*J131/0.004</f>
        <v>250</v>
      </c>
      <c r="M131">
        <f t="shared" ref="M131:M136" si="112">K131</f>
        <v>250</v>
      </c>
      <c r="N131">
        <f t="shared" ref="N131:N136" si="113">G131-K131</f>
        <v>599999750</v>
      </c>
      <c r="O131">
        <f t="shared" ref="O131:O136" si="114">N131/M131</f>
        <v>2399999</v>
      </c>
    </row>
    <row r="132" spans="2:15" x14ac:dyDescent="0.2">
      <c r="C132" t="s">
        <v>203</v>
      </c>
      <c r="D132" t="s">
        <v>83</v>
      </c>
      <c r="E132">
        <f t="shared" si="101"/>
        <v>100000</v>
      </c>
      <c r="F132">
        <v>26</v>
      </c>
      <c r="G132">
        <f t="shared" si="109"/>
        <v>650000000</v>
      </c>
      <c r="I132">
        <f t="shared" si="103"/>
        <v>1</v>
      </c>
      <c r="J132">
        <v>1</v>
      </c>
      <c r="K132">
        <f t="shared" si="111"/>
        <v>250</v>
      </c>
      <c r="M132">
        <f t="shared" si="112"/>
        <v>250</v>
      </c>
      <c r="N132">
        <f t="shared" si="113"/>
        <v>649999750</v>
      </c>
      <c r="O132">
        <f t="shared" si="114"/>
        <v>2599999</v>
      </c>
    </row>
    <row r="133" spans="2:15" x14ac:dyDescent="0.2">
      <c r="D133" t="s">
        <v>84</v>
      </c>
      <c r="E133">
        <f t="shared" si="101"/>
        <v>100000</v>
      </c>
      <c r="F133">
        <v>30</v>
      </c>
      <c r="G133">
        <f t="shared" si="109"/>
        <v>750000000</v>
      </c>
      <c r="I133">
        <f t="shared" si="103"/>
        <v>1</v>
      </c>
      <c r="J133">
        <v>1</v>
      </c>
      <c r="K133">
        <f t="shared" si="111"/>
        <v>250</v>
      </c>
      <c r="M133">
        <f t="shared" si="112"/>
        <v>250</v>
      </c>
      <c r="N133">
        <f t="shared" si="113"/>
        <v>749999750</v>
      </c>
      <c r="O133">
        <f t="shared" si="114"/>
        <v>2999999</v>
      </c>
    </row>
    <row r="134" spans="2:15" x14ac:dyDescent="0.2">
      <c r="D134" t="s">
        <v>85</v>
      </c>
      <c r="E134">
        <f t="shared" si="101"/>
        <v>100000</v>
      </c>
      <c r="F134">
        <v>23</v>
      </c>
      <c r="G134">
        <f t="shared" si="109"/>
        <v>575000000</v>
      </c>
      <c r="I134">
        <f t="shared" si="103"/>
        <v>1</v>
      </c>
      <c r="J134">
        <v>1</v>
      </c>
      <c r="K134">
        <f t="shared" si="111"/>
        <v>250</v>
      </c>
      <c r="M134">
        <f t="shared" si="112"/>
        <v>250</v>
      </c>
      <c r="N134">
        <f t="shared" si="113"/>
        <v>574999750</v>
      </c>
      <c r="O134">
        <f t="shared" si="114"/>
        <v>2299999</v>
      </c>
    </row>
    <row r="135" spans="2:15" x14ac:dyDescent="0.2">
      <c r="D135" t="s">
        <v>86</v>
      </c>
      <c r="E135">
        <f t="shared" si="101"/>
        <v>100000</v>
      </c>
      <c r="F135">
        <v>23</v>
      </c>
      <c r="G135">
        <f t="shared" si="109"/>
        <v>575000000</v>
      </c>
      <c r="I135">
        <f t="shared" si="103"/>
        <v>1</v>
      </c>
      <c r="J135">
        <v>1</v>
      </c>
      <c r="K135">
        <f t="shared" si="111"/>
        <v>250</v>
      </c>
      <c r="M135">
        <f t="shared" si="112"/>
        <v>250</v>
      </c>
      <c r="N135">
        <f t="shared" si="113"/>
        <v>574999750</v>
      </c>
      <c r="O135">
        <f t="shared" si="114"/>
        <v>2299999</v>
      </c>
    </row>
    <row r="136" spans="2:15" x14ac:dyDescent="0.2">
      <c r="D136" t="s">
        <v>87</v>
      </c>
      <c r="E136">
        <f t="shared" si="101"/>
        <v>100000</v>
      </c>
      <c r="F136">
        <v>29</v>
      </c>
      <c r="G136">
        <f t="shared" si="109"/>
        <v>725000000</v>
      </c>
      <c r="I136">
        <f t="shared" si="103"/>
        <v>1</v>
      </c>
      <c r="J136">
        <v>1</v>
      </c>
      <c r="K136">
        <f t="shared" si="111"/>
        <v>250</v>
      </c>
      <c r="M136">
        <f t="shared" si="112"/>
        <v>250</v>
      </c>
      <c r="N136">
        <f t="shared" si="113"/>
        <v>724999750</v>
      </c>
      <c r="O136">
        <f t="shared" si="114"/>
        <v>2899999</v>
      </c>
    </row>
    <row r="138" spans="2:15" x14ac:dyDescent="0.2">
      <c r="B138" t="s">
        <v>196</v>
      </c>
      <c r="C138" t="s">
        <v>204</v>
      </c>
      <c r="D138" t="s">
        <v>82</v>
      </c>
      <c r="E138">
        <f t="shared" ref="E138" si="115">10^5</f>
        <v>100000</v>
      </c>
      <c r="F138">
        <v>31</v>
      </c>
      <c r="G138">
        <f t="shared" ref="G138:G143" si="116">E138*F138/0.004</f>
        <v>775000000</v>
      </c>
      <c r="I138">
        <f>10^1</f>
        <v>10</v>
      </c>
      <c r="J138">
        <v>19</v>
      </c>
      <c r="K138">
        <f t="shared" ref="K138:K143" si="117">I138*J138/0.004</f>
        <v>47500</v>
      </c>
      <c r="M138">
        <f t="shared" ref="M138:M143" si="118">K138</f>
        <v>47500</v>
      </c>
      <c r="N138">
        <f t="shared" ref="N138:N143" si="119">G138-K138</f>
        <v>774952500</v>
      </c>
      <c r="O138">
        <f t="shared" ref="O138:O143" si="120">N138/M138</f>
        <v>16314.78947368421</v>
      </c>
    </row>
    <row r="139" spans="2:15" x14ac:dyDescent="0.2">
      <c r="C139" t="s">
        <v>207</v>
      </c>
      <c r="D139" t="s">
        <v>83</v>
      </c>
      <c r="E139">
        <f t="shared" si="101"/>
        <v>100000</v>
      </c>
      <c r="F139">
        <v>31</v>
      </c>
      <c r="G139">
        <f t="shared" si="116"/>
        <v>775000000</v>
      </c>
      <c r="I139">
        <f t="shared" ref="I139:I140" si="121">10^1</f>
        <v>10</v>
      </c>
      <c r="J139">
        <v>30</v>
      </c>
      <c r="K139">
        <f t="shared" si="117"/>
        <v>75000</v>
      </c>
      <c r="M139">
        <f t="shared" si="118"/>
        <v>75000</v>
      </c>
      <c r="N139">
        <f t="shared" si="119"/>
        <v>774925000</v>
      </c>
      <c r="O139">
        <f t="shared" si="120"/>
        <v>10332.333333333334</v>
      </c>
    </row>
    <row r="140" spans="2:15" x14ac:dyDescent="0.2">
      <c r="D140" t="s">
        <v>84</v>
      </c>
      <c r="E140">
        <f t="shared" si="101"/>
        <v>100000</v>
      </c>
      <c r="F140">
        <v>32</v>
      </c>
      <c r="G140">
        <f t="shared" si="116"/>
        <v>800000000</v>
      </c>
      <c r="I140">
        <f t="shared" si="121"/>
        <v>10</v>
      </c>
      <c r="J140">
        <v>32</v>
      </c>
      <c r="K140">
        <f t="shared" si="117"/>
        <v>80000</v>
      </c>
      <c r="M140">
        <f t="shared" si="118"/>
        <v>80000</v>
      </c>
      <c r="N140">
        <f t="shared" si="119"/>
        <v>799920000</v>
      </c>
      <c r="O140">
        <f t="shared" si="120"/>
        <v>9999</v>
      </c>
    </row>
    <row r="141" spans="2:15" x14ac:dyDescent="0.2">
      <c r="D141" t="s">
        <v>85</v>
      </c>
      <c r="E141">
        <f t="shared" si="101"/>
        <v>100000</v>
      </c>
      <c r="F141">
        <v>21</v>
      </c>
      <c r="G141">
        <f t="shared" si="116"/>
        <v>525000000</v>
      </c>
      <c r="I141">
        <f>10^1</f>
        <v>10</v>
      </c>
      <c r="J141">
        <v>9</v>
      </c>
      <c r="K141">
        <f t="shared" si="117"/>
        <v>22500</v>
      </c>
      <c r="M141">
        <f t="shared" si="118"/>
        <v>22500</v>
      </c>
      <c r="N141">
        <f t="shared" si="119"/>
        <v>524977500</v>
      </c>
      <c r="O141">
        <f t="shared" si="120"/>
        <v>23332.333333333332</v>
      </c>
    </row>
    <row r="142" spans="2:15" x14ac:dyDescent="0.2">
      <c r="D142" t="s">
        <v>86</v>
      </c>
      <c r="E142">
        <f t="shared" si="101"/>
        <v>100000</v>
      </c>
      <c r="F142">
        <v>28</v>
      </c>
      <c r="G142">
        <f t="shared" si="116"/>
        <v>700000000</v>
      </c>
      <c r="I142">
        <f t="shared" ref="I142:I143" si="122">10^1</f>
        <v>10</v>
      </c>
      <c r="J142">
        <v>9</v>
      </c>
      <c r="K142">
        <f t="shared" si="117"/>
        <v>22500</v>
      </c>
      <c r="M142">
        <f t="shared" si="118"/>
        <v>22500</v>
      </c>
      <c r="N142">
        <f t="shared" si="119"/>
        <v>699977500</v>
      </c>
      <c r="O142">
        <f t="shared" si="120"/>
        <v>31110.111111111109</v>
      </c>
    </row>
    <row r="143" spans="2:15" x14ac:dyDescent="0.2">
      <c r="D143" t="s">
        <v>87</v>
      </c>
      <c r="E143">
        <f t="shared" si="101"/>
        <v>100000</v>
      </c>
      <c r="F143">
        <v>17</v>
      </c>
      <c r="G143">
        <f t="shared" si="116"/>
        <v>425000000</v>
      </c>
      <c r="I143">
        <f t="shared" si="122"/>
        <v>10</v>
      </c>
      <c r="J143">
        <v>7</v>
      </c>
      <c r="K143">
        <f t="shared" si="117"/>
        <v>17500</v>
      </c>
      <c r="M143">
        <f t="shared" si="118"/>
        <v>17500</v>
      </c>
      <c r="N143">
        <f t="shared" si="119"/>
        <v>424982500</v>
      </c>
      <c r="O143">
        <f t="shared" si="120"/>
        <v>24284.714285714286</v>
      </c>
    </row>
    <row r="145" spans="1:15" x14ac:dyDescent="0.2">
      <c r="B145" t="s">
        <v>196</v>
      </c>
      <c r="C145" t="s">
        <v>205</v>
      </c>
      <c r="D145" t="s">
        <v>82</v>
      </c>
      <c r="E145">
        <f>10^5</f>
        <v>100000</v>
      </c>
      <c r="F145">
        <v>25</v>
      </c>
      <c r="G145">
        <f t="shared" ref="G145:G150" si="123">E145*F145/0.004</f>
        <v>625000000</v>
      </c>
      <c r="I145">
        <f>10^2</f>
        <v>100</v>
      </c>
      <c r="J145">
        <v>14</v>
      </c>
      <c r="K145">
        <f t="shared" ref="K145:K150" si="124">I145*J145/0.004</f>
        <v>350000</v>
      </c>
      <c r="M145">
        <f t="shared" ref="M145:M150" si="125">K145</f>
        <v>350000</v>
      </c>
      <c r="N145">
        <f t="shared" ref="N145:N150" si="126">G145-K145</f>
        <v>624650000</v>
      </c>
      <c r="O145">
        <f t="shared" ref="O145:O150" si="127">N145/M145</f>
        <v>1784.7142857142858</v>
      </c>
    </row>
    <row r="146" spans="1:15" x14ac:dyDescent="0.2">
      <c r="C146" t="s">
        <v>208</v>
      </c>
      <c r="D146" t="s">
        <v>83</v>
      </c>
      <c r="E146">
        <f t="shared" ref="E146:E150" si="128">10^5</f>
        <v>100000</v>
      </c>
      <c r="F146">
        <v>29</v>
      </c>
      <c r="G146">
        <f t="shared" si="123"/>
        <v>725000000</v>
      </c>
      <c r="I146">
        <f t="shared" ref="I146:I147" si="129">10^2</f>
        <v>100</v>
      </c>
      <c r="J146">
        <v>16</v>
      </c>
      <c r="K146">
        <f t="shared" si="124"/>
        <v>400000</v>
      </c>
      <c r="M146">
        <f t="shared" si="125"/>
        <v>400000</v>
      </c>
      <c r="N146">
        <f t="shared" si="126"/>
        <v>724600000</v>
      </c>
      <c r="O146">
        <f t="shared" si="127"/>
        <v>1811.5</v>
      </c>
    </row>
    <row r="147" spans="1:15" x14ac:dyDescent="0.2">
      <c r="D147" t="s">
        <v>84</v>
      </c>
      <c r="E147">
        <f t="shared" si="128"/>
        <v>100000</v>
      </c>
      <c r="F147">
        <v>22</v>
      </c>
      <c r="G147">
        <f t="shared" si="123"/>
        <v>550000000</v>
      </c>
      <c r="I147">
        <f t="shared" si="129"/>
        <v>100</v>
      </c>
      <c r="J147">
        <v>11</v>
      </c>
      <c r="K147">
        <f t="shared" si="124"/>
        <v>275000</v>
      </c>
      <c r="M147">
        <f t="shared" si="125"/>
        <v>275000</v>
      </c>
      <c r="N147">
        <f t="shared" si="126"/>
        <v>549725000</v>
      </c>
      <c r="O147">
        <f t="shared" si="127"/>
        <v>1999</v>
      </c>
    </row>
    <row r="148" spans="1:15" x14ac:dyDescent="0.2">
      <c r="D148" t="s">
        <v>85</v>
      </c>
      <c r="E148">
        <f t="shared" si="128"/>
        <v>100000</v>
      </c>
      <c r="F148">
        <v>19</v>
      </c>
      <c r="G148">
        <f t="shared" si="123"/>
        <v>475000000</v>
      </c>
      <c r="I148">
        <f>10^2</f>
        <v>100</v>
      </c>
      <c r="J148">
        <v>10</v>
      </c>
      <c r="K148">
        <f t="shared" si="124"/>
        <v>250000</v>
      </c>
      <c r="M148">
        <f t="shared" si="125"/>
        <v>250000</v>
      </c>
      <c r="N148">
        <f t="shared" si="126"/>
        <v>474750000</v>
      </c>
      <c r="O148">
        <f t="shared" si="127"/>
        <v>1899</v>
      </c>
    </row>
    <row r="149" spans="1:15" x14ac:dyDescent="0.2">
      <c r="D149" t="s">
        <v>86</v>
      </c>
      <c r="E149">
        <f t="shared" si="128"/>
        <v>100000</v>
      </c>
      <c r="F149">
        <v>19</v>
      </c>
      <c r="G149">
        <f t="shared" si="123"/>
        <v>475000000</v>
      </c>
      <c r="I149">
        <f t="shared" ref="I149:I150" si="130">10^2</f>
        <v>100</v>
      </c>
      <c r="J149">
        <v>9</v>
      </c>
      <c r="K149">
        <f t="shared" si="124"/>
        <v>225000</v>
      </c>
      <c r="M149">
        <f t="shared" si="125"/>
        <v>225000</v>
      </c>
      <c r="N149">
        <f t="shared" si="126"/>
        <v>474775000</v>
      </c>
      <c r="O149">
        <f t="shared" si="127"/>
        <v>2110.1111111111113</v>
      </c>
    </row>
    <row r="150" spans="1:15" x14ac:dyDescent="0.2">
      <c r="D150" t="s">
        <v>87</v>
      </c>
      <c r="E150">
        <f t="shared" si="128"/>
        <v>100000</v>
      </c>
      <c r="F150">
        <v>25</v>
      </c>
      <c r="G150">
        <f t="shared" si="123"/>
        <v>625000000</v>
      </c>
      <c r="I150">
        <f t="shared" si="130"/>
        <v>100</v>
      </c>
      <c r="J150">
        <v>11</v>
      </c>
      <c r="K150">
        <f t="shared" si="124"/>
        <v>275000</v>
      </c>
      <c r="M150">
        <f t="shared" si="125"/>
        <v>275000</v>
      </c>
      <c r="N150">
        <f t="shared" si="126"/>
        <v>624725000</v>
      </c>
      <c r="O150">
        <f t="shared" si="127"/>
        <v>2271.7272727272725</v>
      </c>
    </row>
    <row r="152" spans="1:15" x14ac:dyDescent="0.2">
      <c r="B152" t="s">
        <v>196</v>
      </c>
      <c r="C152" t="s">
        <v>206</v>
      </c>
      <c r="D152" t="s">
        <v>82</v>
      </c>
      <c r="E152">
        <f>10^5</f>
        <v>100000</v>
      </c>
      <c r="F152">
        <v>30</v>
      </c>
      <c r="G152">
        <f t="shared" ref="G152:G157" si="131">E152*F152/0.004</f>
        <v>750000000</v>
      </c>
      <c r="I152">
        <f>10^0</f>
        <v>1</v>
      </c>
      <c r="J152">
        <v>8</v>
      </c>
      <c r="K152">
        <f t="shared" ref="K152:K157" si="132">I152*J152/0.004</f>
        <v>2000</v>
      </c>
      <c r="M152">
        <f t="shared" ref="M152:M157" si="133">K152</f>
        <v>2000</v>
      </c>
      <c r="N152">
        <f t="shared" ref="N152:N157" si="134">G152-K152</f>
        <v>749998000</v>
      </c>
      <c r="O152">
        <f t="shared" ref="O152:O157" si="135">N152/M152</f>
        <v>374999</v>
      </c>
    </row>
    <row r="153" spans="1:15" x14ac:dyDescent="0.2">
      <c r="C153" t="s">
        <v>209</v>
      </c>
      <c r="D153" t="s">
        <v>83</v>
      </c>
      <c r="E153">
        <f t="shared" ref="E153:E157" si="136">10^5</f>
        <v>100000</v>
      </c>
      <c r="F153">
        <v>27</v>
      </c>
      <c r="G153">
        <f t="shared" si="131"/>
        <v>675000000</v>
      </c>
      <c r="I153">
        <f t="shared" ref="I153:I154" si="137">10^0</f>
        <v>1</v>
      </c>
      <c r="J153">
        <v>7</v>
      </c>
      <c r="K153">
        <f t="shared" si="132"/>
        <v>1750</v>
      </c>
      <c r="M153">
        <f t="shared" si="133"/>
        <v>1750</v>
      </c>
      <c r="N153">
        <f t="shared" si="134"/>
        <v>674998250</v>
      </c>
      <c r="O153">
        <f t="shared" si="135"/>
        <v>385713.28571428574</v>
      </c>
    </row>
    <row r="154" spans="1:15" x14ac:dyDescent="0.2">
      <c r="D154" t="s">
        <v>84</v>
      </c>
      <c r="E154">
        <f t="shared" si="136"/>
        <v>100000</v>
      </c>
      <c r="F154">
        <v>23</v>
      </c>
      <c r="G154">
        <f t="shared" si="131"/>
        <v>575000000</v>
      </c>
      <c r="I154">
        <f t="shared" si="137"/>
        <v>1</v>
      </c>
      <c r="J154">
        <v>25</v>
      </c>
      <c r="K154">
        <f t="shared" si="132"/>
        <v>6250</v>
      </c>
      <c r="M154">
        <f t="shared" si="133"/>
        <v>6250</v>
      </c>
      <c r="N154">
        <f t="shared" si="134"/>
        <v>574993750</v>
      </c>
      <c r="O154">
        <f t="shared" si="135"/>
        <v>91999</v>
      </c>
    </row>
    <row r="155" spans="1:15" x14ac:dyDescent="0.2">
      <c r="D155" t="s">
        <v>85</v>
      </c>
      <c r="E155">
        <f t="shared" si="136"/>
        <v>100000</v>
      </c>
      <c r="F155">
        <v>23</v>
      </c>
      <c r="G155">
        <f t="shared" si="131"/>
        <v>575000000</v>
      </c>
      <c r="I155">
        <f>10^0</f>
        <v>1</v>
      </c>
      <c r="J155">
        <v>11</v>
      </c>
      <c r="K155">
        <f t="shared" si="132"/>
        <v>2750</v>
      </c>
      <c r="M155">
        <f t="shared" si="133"/>
        <v>2750</v>
      </c>
      <c r="N155">
        <f t="shared" si="134"/>
        <v>574997250</v>
      </c>
      <c r="O155">
        <f t="shared" si="135"/>
        <v>209089.90909090909</v>
      </c>
    </row>
    <row r="156" spans="1:15" x14ac:dyDescent="0.2">
      <c r="D156" t="s">
        <v>86</v>
      </c>
      <c r="E156">
        <f t="shared" si="136"/>
        <v>100000</v>
      </c>
      <c r="F156">
        <v>23</v>
      </c>
      <c r="G156">
        <f t="shared" si="131"/>
        <v>575000000</v>
      </c>
      <c r="I156">
        <f t="shared" ref="I156:I157" si="138">10^0</f>
        <v>1</v>
      </c>
      <c r="J156">
        <v>9</v>
      </c>
      <c r="K156">
        <f t="shared" si="132"/>
        <v>2250</v>
      </c>
      <c r="M156">
        <f t="shared" si="133"/>
        <v>2250</v>
      </c>
      <c r="N156">
        <f t="shared" si="134"/>
        <v>574997750</v>
      </c>
      <c r="O156">
        <f t="shared" si="135"/>
        <v>255554.55555555556</v>
      </c>
    </row>
    <row r="157" spans="1:15" x14ac:dyDescent="0.2">
      <c r="D157" t="s">
        <v>87</v>
      </c>
      <c r="E157">
        <f t="shared" si="136"/>
        <v>100000</v>
      </c>
      <c r="F157">
        <v>13</v>
      </c>
      <c r="G157">
        <f t="shared" si="131"/>
        <v>325000000</v>
      </c>
      <c r="I157">
        <f t="shared" si="138"/>
        <v>1</v>
      </c>
      <c r="J157">
        <v>13</v>
      </c>
      <c r="K157">
        <f t="shared" si="132"/>
        <v>3250</v>
      </c>
      <c r="M157">
        <f t="shared" si="133"/>
        <v>3250</v>
      </c>
      <c r="N157">
        <f t="shared" si="134"/>
        <v>324996750</v>
      </c>
      <c r="O157">
        <f t="shared" si="135"/>
        <v>99999</v>
      </c>
    </row>
    <row r="160" spans="1:15" s="19" customFormat="1" ht="21" x14ac:dyDescent="0.25">
      <c r="A160" s="41" t="s">
        <v>655</v>
      </c>
    </row>
    <row r="162" spans="1:7" x14ac:dyDescent="0.2">
      <c r="A162" t="s">
        <v>347</v>
      </c>
    </row>
    <row r="163" spans="1:7" x14ac:dyDescent="0.2">
      <c r="A163" t="s">
        <v>342</v>
      </c>
    </row>
    <row r="166" spans="1:7" x14ac:dyDescent="0.2">
      <c r="F166" t="s">
        <v>324</v>
      </c>
    </row>
    <row r="167" spans="1:7" x14ac:dyDescent="0.2">
      <c r="E167" t="s">
        <v>82</v>
      </c>
      <c r="F167" t="s">
        <v>83</v>
      </c>
      <c r="G167" t="s">
        <v>84</v>
      </c>
    </row>
    <row r="168" spans="1:7" x14ac:dyDescent="0.2">
      <c r="C168" t="s">
        <v>325</v>
      </c>
      <c r="D168" t="s">
        <v>326</v>
      </c>
      <c r="E168">
        <v>0.4</v>
      </c>
      <c r="F168">
        <v>0.5</v>
      </c>
      <c r="G168">
        <v>0.4</v>
      </c>
    </row>
    <row r="169" spans="1:7" x14ac:dyDescent="0.2">
      <c r="C169" t="s">
        <v>327</v>
      </c>
      <c r="D169" t="s">
        <v>328</v>
      </c>
      <c r="E169">
        <v>1.3</v>
      </c>
      <c r="F169">
        <v>1.4</v>
      </c>
      <c r="G169">
        <v>1.4</v>
      </c>
    </row>
    <row r="170" spans="1:7" x14ac:dyDescent="0.2">
      <c r="C170" t="s">
        <v>329</v>
      </c>
      <c r="D170" t="s">
        <v>330</v>
      </c>
      <c r="E170">
        <v>1.2</v>
      </c>
      <c r="F170">
        <v>1.1000000000000001</v>
      </c>
      <c r="G170">
        <v>1.1000000000000001</v>
      </c>
    </row>
    <row r="171" spans="1:7" x14ac:dyDescent="0.2">
      <c r="C171" t="s">
        <v>109</v>
      </c>
      <c r="D171" t="s">
        <v>331</v>
      </c>
      <c r="E171">
        <v>1.2</v>
      </c>
      <c r="F171">
        <v>1.1000000000000001</v>
      </c>
      <c r="G171">
        <v>1.3</v>
      </c>
    </row>
    <row r="173" spans="1:7" x14ac:dyDescent="0.2">
      <c r="C173" t="s">
        <v>325</v>
      </c>
      <c r="D173" t="s">
        <v>332</v>
      </c>
      <c r="E173">
        <v>0.4</v>
      </c>
      <c r="F173">
        <v>0.5</v>
      </c>
      <c r="G173">
        <v>0.4</v>
      </c>
    </row>
    <row r="174" spans="1:7" x14ac:dyDescent="0.2">
      <c r="C174" t="s">
        <v>327</v>
      </c>
      <c r="D174" t="s">
        <v>333</v>
      </c>
      <c r="E174">
        <v>1.3</v>
      </c>
      <c r="F174">
        <v>1.3</v>
      </c>
      <c r="G174">
        <v>1.3</v>
      </c>
    </row>
    <row r="175" spans="1:7" x14ac:dyDescent="0.2">
      <c r="C175" t="s">
        <v>329</v>
      </c>
      <c r="D175" t="s">
        <v>334</v>
      </c>
      <c r="E175">
        <v>1.2</v>
      </c>
      <c r="F175">
        <v>1.2</v>
      </c>
      <c r="G175">
        <v>1.2</v>
      </c>
    </row>
    <row r="176" spans="1:7" x14ac:dyDescent="0.2">
      <c r="C176" t="s">
        <v>109</v>
      </c>
      <c r="D176" t="s">
        <v>335</v>
      </c>
      <c r="E176">
        <v>1.1000000000000001</v>
      </c>
      <c r="F176">
        <v>1.1000000000000001</v>
      </c>
      <c r="G176">
        <v>1.2</v>
      </c>
    </row>
    <row r="181" spans="1:18" x14ac:dyDescent="0.2">
      <c r="E181" t="s">
        <v>336</v>
      </c>
      <c r="F181" t="s">
        <v>341</v>
      </c>
    </row>
    <row r="182" spans="1:18" x14ac:dyDescent="0.2">
      <c r="D182" t="s">
        <v>337</v>
      </c>
      <c r="E182">
        <f>_xlfn.T.TEST(E168:G168,E173:G173,2,3)</f>
        <v>1</v>
      </c>
      <c r="F182" t="s">
        <v>323</v>
      </c>
    </row>
    <row r="183" spans="1:18" x14ac:dyDescent="0.2">
      <c r="D183" t="s">
        <v>338</v>
      </c>
      <c r="E183">
        <f>_xlfn.T.TEST(E169:G169,E174:G174,2,3)</f>
        <v>0.18350341907227463</v>
      </c>
      <c r="F183" t="s">
        <v>323</v>
      </c>
    </row>
    <row r="184" spans="1:18" x14ac:dyDescent="0.2">
      <c r="D184" t="s">
        <v>339</v>
      </c>
      <c r="E184">
        <f>_xlfn.T.TEST(E170:G170,E175:G175,2,3)</f>
        <v>0.18350341907227363</v>
      </c>
      <c r="F184" t="s">
        <v>323</v>
      </c>
    </row>
    <row r="185" spans="1:18" x14ac:dyDescent="0.2">
      <c r="D185" t="s">
        <v>340</v>
      </c>
      <c r="E185">
        <f>_xlfn.T.TEST(E171:G171,E176:G176,2,3)</f>
        <v>0.38680875391800795</v>
      </c>
      <c r="F185" t="s">
        <v>323</v>
      </c>
    </row>
    <row r="188" spans="1:18" s="19" customFormat="1" ht="21" x14ac:dyDescent="0.25">
      <c r="A188" s="41" t="s">
        <v>654</v>
      </c>
    </row>
    <row r="190" spans="1:18" x14ac:dyDescent="0.2">
      <c r="A190" t="s">
        <v>347</v>
      </c>
      <c r="J190" s="45"/>
      <c r="K190" s="46"/>
      <c r="L190" s="46"/>
      <c r="M190" s="46"/>
      <c r="N190" s="46"/>
      <c r="O190" s="46"/>
      <c r="P190" s="2"/>
      <c r="Q190" s="2"/>
      <c r="R190" s="3"/>
    </row>
    <row r="191" spans="1:18" x14ac:dyDescent="0.2">
      <c r="A191" t="s">
        <v>342</v>
      </c>
      <c r="J191" s="47"/>
      <c r="K191" s="43"/>
      <c r="L191" s="43"/>
      <c r="M191" s="43"/>
      <c r="N191" s="43"/>
      <c r="O191" s="43"/>
      <c r="R191" s="5"/>
    </row>
    <row r="192" spans="1:18" x14ac:dyDescent="0.2">
      <c r="J192" s="47"/>
      <c r="K192" s="43"/>
      <c r="L192" s="43"/>
      <c r="M192" s="43"/>
      <c r="N192" s="43"/>
      <c r="O192" s="43"/>
      <c r="R192" s="5"/>
    </row>
    <row r="193" spans="1:18" x14ac:dyDescent="0.2">
      <c r="J193" s="47"/>
      <c r="K193" s="43"/>
      <c r="L193" s="43"/>
      <c r="M193" s="43"/>
      <c r="N193" s="43"/>
      <c r="O193" s="43"/>
      <c r="R193" s="5"/>
    </row>
    <row r="194" spans="1:18" x14ac:dyDescent="0.2">
      <c r="J194" s="47"/>
      <c r="K194" s="43"/>
      <c r="L194" s="43"/>
      <c r="M194" s="43"/>
      <c r="N194" s="43"/>
      <c r="O194" s="43"/>
      <c r="R194" s="5"/>
    </row>
    <row r="195" spans="1:18" x14ac:dyDescent="0.2">
      <c r="J195" s="47"/>
      <c r="K195" s="43"/>
      <c r="L195" s="43"/>
      <c r="M195" s="43"/>
      <c r="N195" s="43"/>
      <c r="O195" s="43"/>
      <c r="R195" s="5"/>
    </row>
    <row r="196" spans="1:18" x14ac:dyDescent="0.2">
      <c r="A196" t="s">
        <v>343</v>
      </c>
      <c r="D196" s="64" t="s">
        <v>732</v>
      </c>
      <c r="F196" t="s">
        <v>703</v>
      </c>
      <c r="G196" t="s">
        <v>704</v>
      </c>
      <c r="H196" t="s">
        <v>705</v>
      </c>
      <c r="I196" t="s">
        <v>706</v>
      </c>
      <c r="J196" t="s">
        <v>707</v>
      </c>
      <c r="K196" t="s">
        <v>708</v>
      </c>
      <c r="L196" t="s">
        <v>709</v>
      </c>
      <c r="N196" s="43"/>
      <c r="O196" s="43"/>
      <c r="R196" s="5"/>
    </row>
    <row r="197" spans="1:18" x14ac:dyDescent="0.2">
      <c r="A197" t="s">
        <v>344</v>
      </c>
      <c r="D197" t="s">
        <v>710</v>
      </c>
      <c r="E197" t="s">
        <v>711</v>
      </c>
      <c r="G197">
        <v>7.4299991130828857E-2</v>
      </c>
      <c r="H197">
        <v>7.4699997901916504E-2</v>
      </c>
      <c r="I197">
        <v>7.3799997568130493E-2</v>
      </c>
      <c r="J197">
        <f>AVERAGE(F197:I197)</f>
        <v>7.4266662200291947E-2</v>
      </c>
      <c r="K197">
        <f>STDEV(F197:I197)/SQRT(3)</f>
        <v>2.6034161110086564E-4</v>
      </c>
      <c r="L197">
        <f>_xlfn.T.TEST(F215:I215,F197:I197,2,3)</f>
        <v>4.4853413371059446E-4</v>
      </c>
      <c r="M197" t="s">
        <v>557</v>
      </c>
      <c r="N197" s="43"/>
      <c r="O197" s="43"/>
      <c r="R197" s="5"/>
    </row>
    <row r="198" spans="1:18" x14ac:dyDescent="0.2">
      <c r="A198" t="s">
        <v>345</v>
      </c>
      <c r="D198" t="s">
        <v>712</v>
      </c>
      <c r="E198" t="s">
        <v>713</v>
      </c>
      <c r="F198">
        <v>0.27480000257492065</v>
      </c>
      <c r="G198">
        <v>0.27169999480247498</v>
      </c>
      <c r="H198">
        <v>0.26789999008178711</v>
      </c>
      <c r="I198">
        <v>0.29490000009536743</v>
      </c>
      <c r="J198">
        <f t="shared" ref="J198:J218" si="139">AVERAGE(F198:I198)</f>
        <v>0.27732499688863754</v>
      </c>
      <c r="K198">
        <f t="shared" ref="K198:K218" si="140">STDEV(F198:I198)/SQRT(4)</f>
        <v>6.025831448711585E-3</v>
      </c>
      <c r="L198">
        <f>_xlfn.T.TEST(F216:I216,F198:I198,2,3)</f>
        <v>1.036624934623217E-3</v>
      </c>
      <c r="M198" t="s">
        <v>502</v>
      </c>
      <c r="N198" s="43"/>
      <c r="O198" s="43"/>
      <c r="R198" s="5"/>
    </row>
    <row r="199" spans="1:18" x14ac:dyDescent="0.2">
      <c r="A199" t="s">
        <v>346</v>
      </c>
      <c r="D199" t="s">
        <v>714</v>
      </c>
      <c r="E199" t="s">
        <v>715</v>
      </c>
      <c r="F199">
        <v>7.1999996900558472E-2</v>
      </c>
      <c r="G199">
        <v>8.129999041557312E-2</v>
      </c>
      <c r="H199">
        <v>8.5999995470046997E-2</v>
      </c>
      <c r="I199">
        <v>8.6099997162818909E-2</v>
      </c>
      <c r="J199">
        <f t="shared" si="139"/>
        <v>8.1349994987249374E-2</v>
      </c>
      <c r="K199">
        <f t="shared" si="140"/>
        <v>3.3117214787811576E-3</v>
      </c>
      <c r="L199">
        <f>_xlfn.T.TEST(F217:I217,F199:I199,2,3)</f>
        <v>1.9790349361850362E-6</v>
      </c>
      <c r="M199" t="s">
        <v>407</v>
      </c>
      <c r="N199" s="43"/>
      <c r="O199" s="43"/>
      <c r="R199" s="5"/>
    </row>
    <row r="200" spans="1:18" x14ac:dyDescent="0.2">
      <c r="A200" t="s">
        <v>731</v>
      </c>
      <c r="D200" t="s">
        <v>716</v>
      </c>
      <c r="E200" t="s">
        <v>717</v>
      </c>
      <c r="F200">
        <v>0.11589999496936798</v>
      </c>
      <c r="G200">
        <v>0.15979999303817749</v>
      </c>
      <c r="H200">
        <v>0.15569999814033508</v>
      </c>
      <c r="I200">
        <v>0.1574999988079071</v>
      </c>
      <c r="J200">
        <f t="shared" si="139"/>
        <v>0.14722499623894691</v>
      </c>
      <c r="K200">
        <f t="shared" si="140"/>
        <v>1.0475318547505101E-2</v>
      </c>
      <c r="L200">
        <f>_xlfn.T.TEST(F218:I218,F200:I200,2,3)</f>
        <v>1.2931740720109722E-4</v>
      </c>
      <c r="M200" t="s">
        <v>557</v>
      </c>
      <c r="N200" s="43"/>
      <c r="O200" s="43"/>
      <c r="R200" s="5"/>
    </row>
    <row r="201" spans="1:18" x14ac:dyDescent="0.2">
      <c r="N201" s="43"/>
      <c r="O201" s="43"/>
      <c r="R201" s="5"/>
    </row>
    <row r="202" spans="1:18" x14ac:dyDescent="0.2">
      <c r="D202" s="64" t="s">
        <v>733</v>
      </c>
      <c r="N202" s="43"/>
      <c r="O202" s="43"/>
      <c r="R202" s="5"/>
    </row>
    <row r="203" spans="1:18" x14ac:dyDescent="0.2">
      <c r="D203" t="s">
        <v>710</v>
      </c>
      <c r="E203" t="s">
        <v>718</v>
      </c>
      <c r="G203">
        <v>6.2899991869926453E-2</v>
      </c>
      <c r="H203">
        <v>5.8499991893768311E-2</v>
      </c>
      <c r="I203">
        <v>6.7399993538856506E-2</v>
      </c>
      <c r="J203">
        <f>AVERAGE(F203:I203)</f>
        <v>6.293332576751709E-2</v>
      </c>
      <c r="K203">
        <f>STDEV(F203:I203)/SQRT(4)</f>
        <v>2.2250472288352433E-3</v>
      </c>
      <c r="L203">
        <f>_xlfn.T.TEST(F215:I215,F203:I203,2,3)</f>
        <v>3.2821856915307452E-4</v>
      </c>
      <c r="M203" t="s">
        <v>502</v>
      </c>
      <c r="N203" s="43"/>
      <c r="O203" s="43"/>
      <c r="R203" s="5"/>
    </row>
    <row r="204" spans="1:18" x14ac:dyDescent="0.2">
      <c r="D204" t="s">
        <v>712</v>
      </c>
      <c r="E204" t="s">
        <v>719</v>
      </c>
      <c r="F204">
        <v>0.28819999098777771</v>
      </c>
      <c r="G204">
        <v>0.30149999260902405</v>
      </c>
      <c r="H204">
        <v>0.28700000047683716</v>
      </c>
      <c r="I204">
        <v>0.29899999499320984</v>
      </c>
      <c r="J204">
        <f>AVERAGE(F204:I204)</f>
        <v>0.29392499476671219</v>
      </c>
      <c r="K204">
        <f>STDEV(F204:I204)/SQRT(4)</f>
        <v>3.6953510635391188E-3</v>
      </c>
      <c r="L204">
        <f>_xlfn.T.TEST(F216:I216,F204:I204,2,3)</f>
        <v>3.6328561865579057E-3</v>
      </c>
      <c r="N204" s="43"/>
      <c r="O204" s="43"/>
      <c r="R204" s="5"/>
    </row>
    <row r="205" spans="1:18" x14ac:dyDescent="0.2">
      <c r="D205" t="s">
        <v>714</v>
      </c>
      <c r="E205" t="s">
        <v>720</v>
      </c>
      <c r="F205">
        <v>6.1999991536140442E-2</v>
      </c>
      <c r="G205">
        <v>7.0500001311302185E-2</v>
      </c>
      <c r="H205">
        <v>7.8199997544288635E-2</v>
      </c>
      <c r="I205">
        <v>0.10859999060630798</v>
      </c>
      <c r="J205">
        <f>AVERAGE(F205:I205)</f>
        <v>7.9824995249509811E-2</v>
      </c>
      <c r="K205">
        <f>STDEV(F205:I205)/SQRT(4)</f>
        <v>1.0146129166070227E-2</v>
      </c>
      <c r="L205">
        <f>_xlfn.T.TEST(F217:I217,F205:I205,2,3)</f>
        <v>1.9328654299657654E-6</v>
      </c>
      <c r="M205" t="s">
        <v>407</v>
      </c>
      <c r="N205" s="43"/>
      <c r="O205" s="43"/>
      <c r="R205" s="5"/>
    </row>
    <row r="206" spans="1:18" x14ac:dyDescent="0.2">
      <c r="D206" t="s">
        <v>716</v>
      </c>
      <c r="E206" t="s">
        <v>721</v>
      </c>
      <c r="F206">
        <v>5.3000003099441528E-2</v>
      </c>
      <c r="G206">
        <v>5.589999258518219E-2</v>
      </c>
      <c r="H206">
        <v>6.2899991869926453E-2</v>
      </c>
      <c r="I206">
        <v>3.219999372959137E-2</v>
      </c>
      <c r="J206">
        <f>AVERAGE(F206:I206)</f>
        <v>5.0999995321035385E-2</v>
      </c>
      <c r="K206">
        <f>STDEV(F206:I206)/SQRT(4)</f>
        <v>6.6021460021486456E-3</v>
      </c>
      <c r="L206">
        <f>_xlfn.T.TEST(F218:I218,F206:I206,2,3)</f>
        <v>4.5481454123015621E-7</v>
      </c>
      <c r="N206" s="43"/>
      <c r="O206" s="43"/>
      <c r="R206" s="5"/>
    </row>
    <row r="207" spans="1:18" x14ac:dyDescent="0.2">
      <c r="N207" s="43"/>
      <c r="O207" s="43"/>
      <c r="R207" s="5"/>
    </row>
    <row r="208" spans="1:18" x14ac:dyDescent="0.2">
      <c r="D208" s="64" t="s">
        <v>734</v>
      </c>
      <c r="N208" s="43"/>
      <c r="O208" s="43"/>
      <c r="R208" s="5"/>
    </row>
    <row r="209" spans="4:18" x14ac:dyDescent="0.2">
      <c r="D209" t="s">
        <v>710</v>
      </c>
      <c r="E209" t="s">
        <v>722</v>
      </c>
      <c r="G209">
        <v>2.5499999523162842E-2</v>
      </c>
      <c r="H209">
        <v>3.4199997782707214E-2</v>
      </c>
      <c r="I209">
        <v>2.6899993419647217E-2</v>
      </c>
      <c r="J209">
        <f>AVERAGE(F209:I209)</f>
        <v>2.8866663575172424E-2</v>
      </c>
      <c r="K209">
        <f>STDEV(F209:I209)/SQRT(3)</f>
        <v>2.6971179713720307E-3</v>
      </c>
      <c r="L209">
        <f>_xlfn.T.TEST(F215:I215,F209:I209,2,3)</f>
        <v>2.3388666039932259E-4</v>
      </c>
      <c r="M209" t="s">
        <v>502</v>
      </c>
      <c r="N209" s="43"/>
      <c r="O209" s="43"/>
      <c r="R209" s="5"/>
    </row>
    <row r="210" spans="4:18" x14ac:dyDescent="0.2">
      <c r="D210" t="s">
        <v>712</v>
      </c>
      <c r="E210" t="s">
        <v>723</v>
      </c>
      <c r="F210">
        <v>0.17329999804496765</v>
      </c>
      <c r="G210">
        <v>0.16330000758171082</v>
      </c>
      <c r="H210">
        <v>0.16670000553131104</v>
      </c>
      <c r="I210">
        <v>0.17309999465942383</v>
      </c>
      <c r="J210">
        <f>AVERAGE(F210:I210)</f>
        <v>0.16910000145435333</v>
      </c>
      <c r="K210">
        <f>STDEV(F210:I210)/SQRT(4)</f>
        <v>2.4671141433378601E-3</v>
      </c>
      <c r="L210">
        <f>_xlfn.T.TEST(F216:I216,F210:I210,2,3)</f>
        <v>2.5624116117519948E-4</v>
      </c>
      <c r="N210" s="43"/>
      <c r="O210" s="43"/>
      <c r="R210" s="5"/>
    </row>
    <row r="211" spans="4:18" x14ac:dyDescent="0.2">
      <c r="D211" t="s">
        <v>714</v>
      </c>
      <c r="E211" t="s">
        <v>724</v>
      </c>
      <c r="F211">
        <v>2.7899995446205139E-2</v>
      </c>
      <c r="G211">
        <v>2.709999680519104E-2</v>
      </c>
      <c r="H211">
        <v>2.4399995803833008E-2</v>
      </c>
      <c r="I211">
        <v>3.1199999153614044E-2</v>
      </c>
      <c r="J211">
        <f>AVERAGE(F211:I211)</f>
        <v>2.7649996802210808E-2</v>
      </c>
      <c r="K211">
        <f>STDEV(F211:I211)/SQRT(4)</f>
        <v>1.4002982570136607E-3</v>
      </c>
      <c r="L211">
        <f>_xlfn.T.TEST(F217:I217,F211:I211,2,3)</f>
        <v>1.1645995409839266E-5</v>
      </c>
      <c r="M211" t="s">
        <v>407</v>
      </c>
      <c r="N211" s="43"/>
      <c r="O211" s="43"/>
      <c r="R211" s="5"/>
    </row>
    <row r="212" spans="4:18" x14ac:dyDescent="0.2">
      <c r="D212" t="s">
        <v>716</v>
      </c>
      <c r="E212" t="s">
        <v>725</v>
      </c>
      <c r="F212">
        <v>5.589999258518219E-2</v>
      </c>
      <c r="G212">
        <v>4.8399999737739563E-2</v>
      </c>
      <c r="H212">
        <v>5.3999990224838257E-2</v>
      </c>
      <c r="I212">
        <v>2.6599995791912079E-2</v>
      </c>
      <c r="J212">
        <f>AVERAGE(F212:I212)</f>
        <v>4.6224994584918022E-2</v>
      </c>
      <c r="K212">
        <f>STDEV(F212:I212)/SQRT(4)</f>
        <v>6.7325538031404999E-3</v>
      </c>
      <c r="L212">
        <f>_xlfn.T.TEST(F218:I218,F212:I212,2,3)</f>
        <v>5.1367336366897317E-7</v>
      </c>
      <c r="M212" t="s">
        <v>726</v>
      </c>
      <c r="N212" s="43"/>
      <c r="O212" s="43"/>
      <c r="R212" s="5"/>
    </row>
    <row r="213" spans="4:18" x14ac:dyDescent="0.2">
      <c r="N213" s="43"/>
      <c r="O213" s="43"/>
      <c r="P213" s="43"/>
      <c r="Q213" s="43"/>
      <c r="R213" s="48"/>
    </row>
    <row r="214" spans="4:18" x14ac:dyDescent="0.2">
      <c r="D214" s="64" t="s">
        <v>735</v>
      </c>
      <c r="N214" s="43"/>
      <c r="O214" s="43"/>
      <c r="P214" s="43"/>
      <c r="Q214" s="43"/>
      <c r="R214" s="48"/>
    </row>
    <row r="215" spans="4:18" x14ac:dyDescent="0.2">
      <c r="D215" t="s">
        <v>710</v>
      </c>
      <c r="E215" t="s">
        <v>727</v>
      </c>
      <c r="F215">
        <v>0.32679998874664307</v>
      </c>
      <c r="G215">
        <v>0.39050000905990601</v>
      </c>
      <c r="H215">
        <v>0.40939998626708984</v>
      </c>
      <c r="I215">
        <v>0.38960000872612</v>
      </c>
      <c r="J215">
        <f t="shared" si="139"/>
        <v>0.37907499819993973</v>
      </c>
      <c r="K215">
        <f t="shared" si="140"/>
        <v>1.8012931082839731E-2</v>
      </c>
      <c r="N215" s="43"/>
      <c r="O215" s="43"/>
      <c r="P215" s="43"/>
      <c r="Q215" s="43"/>
      <c r="R215" s="48"/>
    </row>
    <row r="216" spans="4:18" x14ac:dyDescent="0.2">
      <c r="D216" t="s">
        <v>712</v>
      </c>
      <c r="E216" t="s">
        <v>728</v>
      </c>
      <c r="F216">
        <v>0.38979998230934143</v>
      </c>
      <c r="G216">
        <v>0.3822999894618988</v>
      </c>
      <c r="H216">
        <v>0.34389999508857727</v>
      </c>
      <c r="I216">
        <v>0.39710000157356262</v>
      </c>
      <c r="J216">
        <f t="shared" si="139"/>
        <v>0.37827499210834503</v>
      </c>
      <c r="K216">
        <f t="shared" si="140"/>
        <v>1.1849920549324907E-2</v>
      </c>
      <c r="N216" s="43"/>
      <c r="O216" s="43"/>
      <c r="P216" s="43"/>
      <c r="Q216" s="43"/>
      <c r="R216" s="48"/>
    </row>
    <row r="217" spans="4:18" x14ac:dyDescent="0.2">
      <c r="D217" t="s">
        <v>714</v>
      </c>
      <c r="E217" t="s">
        <v>729</v>
      </c>
      <c r="F217">
        <v>0.3432999849319458</v>
      </c>
      <c r="G217">
        <v>0.36410000920295715</v>
      </c>
      <c r="H217">
        <v>0.33680000901222229</v>
      </c>
      <c r="I217">
        <v>0.36349999904632568</v>
      </c>
      <c r="J217">
        <f t="shared" si="139"/>
        <v>0.35192500054836273</v>
      </c>
      <c r="K217">
        <f t="shared" si="140"/>
        <v>6.984313908795013E-3</v>
      </c>
      <c r="N217" s="43"/>
      <c r="O217" s="43"/>
      <c r="P217" s="43"/>
      <c r="Q217" s="43"/>
      <c r="R217" s="48"/>
    </row>
    <row r="218" spans="4:18" x14ac:dyDescent="0.2">
      <c r="D218" t="s">
        <v>716</v>
      </c>
      <c r="E218" t="s">
        <v>730</v>
      </c>
      <c r="F218">
        <v>0.31459999084472656</v>
      </c>
      <c r="G218">
        <v>0.31990000605583191</v>
      </c>
      <c r="H218">
        <v>0.33250001072883606</v>
      </c>
      <c r="I218">
        <v>0.32659998536109924</v>
      </c>
      <c r="J218">
        <f t="shared" si="139"/>
        <v>0.32339999824762344</v>
      </c>
      <c r="K218">
        <f t="shared" si="140"/>
        <v>3.9023520719163526E-3</v>
      </c>
      <c r="N218" s="43"/>
      <c r="O218" s="43"/>
      <c r="P218" s="43"/>
      <c r="Q218" s="43"/>
      <c r="R218" s="48"/>
    </row>
    <row r="219" spans="4:18" x14ac:dyDescent="0.2">
      <c r="J219" s="47"/>
      <c r="K219" s="43"/>
      <c r="L219" s="43"/>
      <c r="M219" s="43"/>
      <c r="N219" s="43"/>
      <c r="O219" s="43"/>
      <c r="P219" s="43"/>
      <c r="Q219" s="43"/>
      <c r="R219" s="48"/>
    </row>
    <row r="220" spans="4:18" x14ac:dyDescent="0.2">
      <c r="J220" s="47"/>
      <c r="K220" s="43"/>
      <c r="L220" s="43"/>
      <c r="M220" s="43"/>
      <c r="N220" s="43"/>
      <c r="O220" s="43"/>
      <c r="P220" s="43"/>
      <c r="Q220" s="43"/>
      <c r="R220" s="48"/>
    </row>
    <row r="221" spans="4:18" x14ac:dyDescent="0.2">
      <c r="J221" s="47"/>
      <c r="K221" s="43"/>
      <c r="L221" s="43"/>
      <c r="M221" s="43"/>
      <c r="N221" s="43"/>
      <c r="O221" s="43"/>
      <c r="P221" s="43"/>
      <c r="Q221" s="43"/>
      <c r="R221" s="48"/>
    </row>
    <row r="222" spans="4:18" x14ac:dyDescent="0.2">
      <c r="J222" s="47"/>
      <c r="K222" s="43"/>
      <c r="L222" s="43"/>
      <c r="M222" s="43"/>
      <c r="N222" s="43"/>
      <c r="O222" s="43"/>
      <c r="P222" s="43"/>
      <c r="Q222" s="43"/>
      <c r="R222" s="48"/>
    </row>
    <row r="223" spans="4:18" x14ac:dyDescent="0.2">
      <c r="J223" s="47"/>
      <c r="K223" s="43"/>
      <c r="L223" s="43"/>
      <c r="M223" s="43"/>
      <c r="N223" s="43"/>
      <c r="O223" s="43"/>
      <c r="P223" s="43"/>
      <c r="Q223" s="43"/>
      <c r="R223" s="48"/>
    </row>
    <row r="224" spans="4:18" x14ac:dyDescent="0.2">
      <c r="J224" s="47"/>
      <c r="K224" s="43"/>
      <c r="L224" s="43"/>
      <c r="M224" s="43"/>
      <c r="N224" s="43"/>
      <c r="O224" s="43"/>
      <c r="P224" s="43"/>
      <c r="Q224" s="43"/>
      <c r="R224" s="48"/>
    </row>
    <row r="225" spans="10:18" x14ac:dyDescent="0.2">
      <c r="J225" s="47"/>
      <c r="K225" s="43"/>
      <c r="L225" s="43"/>
      <c r="M225" s="43"/>
      <c r="N225" s="43"/>
      <c r="O225" s="43"/>
      <c r="P225" s="43"/>
      <c r="Q225" s="43"/>
      <c r="R225" s="48"/>
    </row>
    <row r="226" spans="10:18" x14ac:dyDescent="0.2">
      <c r="J226" s="47"/>
      <c r="K226" s="43"/>
      <c r="L226" s="43"/>
      <c r="M226" s="43"/>
      <c r="N226" s="43"/>
      <c r="O226" s="43"/>
      <c r="P226" s="43"/>
      <c r="Q226" s="43"/>
      <c r="R226" s="48"/>
    </row>
    <row r="227" spans="10:18" x14ac:dyDescent="0.2">
      <c r="J227" s="47"/>
      <c r="K227" s="43"/>
      <c r="L227" s="43"/>
      <c r="M227" s="43"/>
      <c r="N227" s="43"/>
      <c r="O227" s="43"/>
      <c r="P227" s="43"/>
      <c r="Q227" s="43"/>
      <c r="R227" s="48"/>
    </row>
    <row r="228" spans="10:18" x14ac:dyDescent="0.2">
      <c r="J228" s="47"/>
      <c r="K228" s="43"/>
      <c r="L228" s="43"/>
      <c r="M228" s="43"/>
      <c r="N228" s="43"/>
      <c r="O228" s="43"/>
      <c r="P228" s="43"/>
      <c r="Q228" s="43"/>
      <c r="R228" s="48"/>
    </row>
    <row r="229" spans="10:18" x14ac:dyDescent="0.2">
      <c r="J229" s="47"/>
      <c r="K229" s="43"/>
      <c r="L229" s="43"/>
      <c r="M229" s="43"/>
      <c r="N229" s="43"/>
      <c r="O229" s="43"/>
      <c r="P229" s="43"/>
      <c r="Q229" s="43"/>
      <c r="R229" s="48"/>
    </row>
    <row r="230" spans="10:18" x14ac:dyDescent="0.2">
      <c r="J230" s="47"/>
      <c r="K230" s="43"/>
      <c r="L230" s="43"/>
      <c r="M230" s="43"/>
      <c r="N230" s="43"/>
      <c r="O230" s="43"/>
      <c r="P230" s="43"/>
      <c r="Q230" s="43"/>
      <c r="R230" s="48"/>
    </row>
    <row r="231" spans="10:18" x14ac:dyDescent="0.2">
      <c r="J231" s="47"/>
      <c r="K231" s="43"/>
      <c r="L231" s="43"/>
      <c r="M231" s="43"/>
      <c r="N231" s="43"/>
      <c r="O231" s="43"/>
      <c r="P231" s="43"/>
      <c r="Q231" s="43"/>
      <c r="R231" s="48"/>
    </row>
    <row r="232" spans="10:18" x14ac:dyDescent="0.2">
      <c r="J232" s="47"/>
      <c r="K232" s="43"/>
      <c r="L232" s="43"/>
      <c r="M232" s="43"/>
      <c r="N232" s="43"/>
      <c r="O232" s="43"/>
      <c r="P232" s="43"/>
      <c r="Q232" s="43"/>
      <c r="R232" s="48"/>
    </row>
    <row r="233" spans="10:18" x14ac:dyDescent="0.2">
      <c r="J233" s="47"/>
      <c r="K233" s="43"/>
      <c r="L233" s="43"/>
      <c r="M233" s="43"/>
      <c r="N233" s="43"/>
      <c r="O233" s="43"/>
      <c r="P233" s="43"/>
      <c r="Q233" s="43"/>
      <c r="R233" s="48"/>
    </row>
    <row r="234" spans="10:18" x14ac:dyDescent="0.2">
      <c r="J234" s="47"/>
      <c r="K234" s="43"/>
      <c r="L234" s="43"/>
      <c r="M234" s="43"/>
      <c r="N234" s="43"/>
      <c r="O234" s="43"/>
      <c r="P234" s="43"/>
      <c r="Q234" s="43"/>
      <c r="R234" s="48"/>
    </row>
    <row r="235" spans="10:18" x14ac:dyDescent="0.2">
      <c r="J235" s="47"/>
      <c r="K235" s="43"/>
      <c r="L235" s="43"/>
      <c r="M235" s="43"/>
      <c r="N235" s="43"/>
      <c r="O235" s="43"/>
      <c r="P235" s="43"/>
      <c r="Q235" s="43"/>
      <c r="R235" s="48"/>
    </row>
    <row r="236" spans="10:18" x14ac:dyDescent="0.2">
      <c r="J236" s="47"/>
      <c r="K236" s="43"/>
      <c r="L236" s="43"/>
      <c r="M236" s="43"/>
      <c r="N236" s="43"/>
      <c r="O236" s="43"/>
      <c r="P236" s="43"/>
      <c r="Q236" s="43"/>
      <c r="R236" s="48"/>
    </row>
    <row r="237" spans="10:18" x14ac:dyDescent="0.2">
      <c r="J237" s="47"/>
      <c r="K237" s="43"/>
      <c r="L237" s="43"/>
      <c r="M237" s="43"/>
      <c r="N237" s="43"/>
      <c r="O237" s="43"/>
      <c r="P237" s="43"/>
      <c r="Q237" s="43"/>
      <c r="R237" s="48"/>
    </row>
    <row r="238" spans="10:18" x14ac:dyDescent="0.2">
      <c r="J238" s="47"/>
      <c r="K238" s="43"/>
      <c r="L238" s="43"/>
      <c r="M238" s="43"/>
      <c r="N238" s="43"/>
      <c r="O238" s="43"/>
      <c r="P238" s="43"/>
      <c r="Q238" s="43"/>
      <c r="R238" s="48"/>
    </row>
    <row r="239" spans="10:18" x14ac:dyDescent="0.2">
      <c r="J239" s="47"/>
      <c r="K239" s="43"/>
      <c r="L239" s="43"/>
      <c r="M239" s="43"/>
      <c r="N239" s="43"/>
      <c r="O239" s="43"/>
      <c r="P239" s="43"/>
      <c r="Q239" s="43"/>
      <c r="R239" s="48"/>
    </row>
    <row r="240" spans="10:18" x14ac:dyDescent="0.2">
      <c r="J240" s="47"/>
      <c r="K240" s="43"/>
      <c r="L240" s="43"/>
      <c r="M240" s="43"/>
      <c r="N240" s="43"/>
      <c r="O240" s="43"/>
      <c r="P240" s="43"/>
      <c r="Q240" s="43"/>
      <c r="R240" s="48"/>
    </row>
    <row r="241" spans="10:18" x14ac:dyDescent="0.2">
      <c r="J241" s="47"/>
      <c r="K241" s="43"/>
      <c r="L241" s="43"/>
      <c r="M241" s="43"/>
      <c r="N241" s="43"/>
      <c r="O241" s="43"/>
      <c r="P241" s="43"/>
      <c r="Q241" s="43"/>
      <c r="R241" s="48"/>
    </row>
    <row r="242" spans="10:18" x14ac:dyDescent="0.2">
      <c r="J242" s="47"/>
      <c r="K242" s="43"/>
      <c r="L242" s="43"/>
      <c r="M242" s="43"/>
      <c r="N242" s="43"/>
      <c r="O242" s="43"/>
      <c r="P242" s="43"/>
      <c r="Q242" s="43"/>
      <c r="R242" s="48"/>
    </row>
    <row r="243" spans="10:18" x14ac:dyDescent="0.2">
      <c r="J243" s="47"/>
      <c r="K243" s="43"/>
      <c r="L243" s="43"/>
      <c r="M243" s="43"/>
      <c r="N243" s="43"/>
      <c r="O243" s="43"/>
      <c r="P243" s="43"/>
      <c r="Q243" s="43"/>
      <c r="R243" s="48"/>
    </row>
    <row r="244" spans="10:18" x14ac:dyDescent="0.2">
      <c r="J244" s="47"/>
      <c r="K244" s="43"/>
      <c r="L244" s="43"/>
      <c r="M244" s="43"/>
      <c r="N244" s="43"/>
      <c r="O244" s="43"/>
      <c r="P244" s="43"/>
      <c r="Q244" s="43"/>
      <c r="R244" s="48"/>
    </row>
    <row r="245" spans="10:18" x14ac:dyDescent="0.2">
      <c r="J245" s="47"/>
      <c r="K245" s="43"/>
      <c r="L245" s="43"/>
      <c r="M245" s="43"/>
      <c r="N245" s="43"/>
      <c r="O245" s="43"/>
      <c r="P245" s="43"/>
      <c r="Q245" s="43"/>
      <c r="R245" s="48"/>
    </row>
    <row r="246" spans="10:18" x14ac:dyDescent="0.2">
      <c r="J246" s="47"/>
      <c r="K246" s="43"/>
      <c r="L246" s="43"/>
      <c r="M246" s="43"/>
      <c r="N246" s="43"/>
      <c r="O246" s="43"/>
      <c r="P246" s="43"/>
      <c r="Q246" s="43"/>
      <c r="R246" s="48"/>
    </row>
    <row r="247" spans="10:18" x14ac:dyDescent="0.2">
      <c r="J247" s="47"/>
      <c r="K247" s="43"/>
      <c r="L247" s="43"/>
      <c r="M247" s="43"/>
      <c r="N247" s="43"/>
      <c r="O247" s="43"/>
      <c r="P247" s="43"/>
      <c r="Q247" s="43"/>
      <c r="R247" s="48"/>
    </row>
    <row r="248" spans="10:18" x14ac:dyDescent="0.2">
      <c r="J248" s="47"/>
      <c r="K248" s="43"/>
      <c r="L248" s="43"/>
      <c r="M248" s="43"/>
      <c r="N248" s="43"/>
      <c r="O248" s="43"/>
      <c r="P248" s="43"/>
      <c r="Q248" s="43"/>
      <c r="R248" s="48"/>
    </row>
    <row r="249" spans="10:18" x14ac:dyDescent="0.2">
      <c r="J249" s="47"/>
      <c r="K249" s="43"/>
      <c r="L249" s="43"/>
      <c r="M249" s="43"/>
      <c r="N249" s="43"/>
      <c r="O249" s="43"/>
      <c r="P249" s="43"/>
      <c r="Q249" s="43"/>
      <c r="R249" s="48"/>
    </row>
    <row r="250" spans="10:18" x14ac:dyDescent="0.2">
      <c r="J250" s="47"/>
      <c r="K250" s="43"/>
      <c r="L250" s="43"/>
      <c r="M250" s="43"/>
      <c r="N250" s="43"/>
      <c r="O250" s="43"/>
      <c r="P250" s="43"/>
      <c r="Q250" s="43"/>
      <c r="R250" s="48"/>
    </row>
    <row r="251" spans="10:18" x14ac:dyDescent="0.2">
      <c r="J251" s="47"/>
      <c r="K251" s="43"/>
      <c r="L251" s="43"/>
      <c r="M251" s="43"/>
      <c r="N251" s="43"/>
      <c r="O251" s="43"/>
      <c r="P251" s="43"/>
      <c r="Q251" s="43"/>
      <c r="R251" s="48"/>
    </row>
    <row r="252" spans="10:18" x14ac:dyDescent="0.2">
      <c r="J252" s="47"/>
      <c r="K252" s="43"/>
      <c r="L252" s="43"/>
      <c r="M252" s="43"/>
      <c r="N252" s="43"/>
      <c r="O252" s="43"/>
      <c r="P252" s="43"/>
      <c r="Q252" s="43"/>
      <c r="R252" s="48" t="s">
        <v>421</v>
      </c>
    </row>
    <row r="253" spans="10:18" x14ac:dyDescent="0.2">
      <c r="J253" s="47"/>
      <c r="K253" s="43"/>
      <c r="L253" s="43"/>
      <c r="M253" s="43"/>
      <c r="N253" s="43"/>
      <c r="O253" s="43"/>
      <c r="P253" s="43"/>
      <c r="Q253" s="43"/>
      <c r="R253" s="48"/>
    </row>
    <row r="254" spans="10:18" x14ac:dyDescent="0.2">
      <c r="J254" s="47"/>
      <c r="K254" s="43"/>
      <c r="L254" s="43"/>
      <c r="M254" s="43"/>
      <c r="N254" s="43"/>
      <c r="O254" s="43"/>
      <c r="P254" s="43"/>
      <c r="Q254" s="43"/>
      <c r="R254" s="48"/>
    </row>
    <row r="255" spans="10:18" x14ac:dyDescent="0.2">
      <c r="J255" s="47"/>
      <c r="K255" s="43"/>
      <c r="L255" s="43"/>
      <c r="M255" s="43"/>
      <c r="N255" s="43"/>
      <c r="O255" s="43"/>
      <c r="P255" s="43"/>
      <c r="Q255" s="43"/>
      <c r="R255" s="48">
        <v>2</v>
      </c>
    </row>
    <row r="256" spans="10:18" x14ac:dyDescent="0.2">
      <c r="J256" s="47"/>
      <c r="K256" s="43"/>
      <c r="L256" s="43"/>
      <c r="M256" s="43"/>
      <c r="N256" s="43"/>
      <c r="O256" s="43"/>
      <c r="P256" s="43"/>
      <c r="Q256" s="43"/>
      <c r="R256" s="48">
        <v>2.04</v>
      </c>
    </row>
    <row r="257" spans="10:18" x14ac:dyDescent="0.2">
      <c r="J257" s="47"/>
      <c r="K257" s="43"/>
      <c r="L257" s="43"/>
      <c r="M257" s="43"/>
      <c r="N257" s="43"/>
      <c r="O257" s="43"/>
      <c r="P257" s="43"/>
      <c r="Q257" s="43"/>
      <c r="R257" s="48">
        <v>2</v>
      </c>
    </row>
    <row r="258" spans="10:18" x14ac:dyDescent="0.2">
      <c r="J258" s="47"/>
      <c r="K258" s="43"/>
      <c r="L258" s="43"/>
      <c r="M258" s="43"/>
      <c r="N258" s="43"/>
      <c r="O258" s="43"/>
      <c r="P258" s="43"/>
      <c r="Q258" s="43"/>
      <c r="R258" s="48"/>
    </row>
    <row r="259" spans="10:18" x14ac:dyDescent="0.2">
      <c r="J259" s="47"/>
      <c r="K259" s="43"/>
      <c r="L259" s="43"/>
      <c r="M259" s="43"/>
      <c r="N259" s="43"/>
      <c r="O259" s="43"/>
      <c r="P259" s="43"/>
      <c r="Q259" s="43"/>
      <c r="R259" s="48"/>
    </row>
    <row r="260" spans="10:18" x14ac:dyDescent="0.2">
      <c r="J260" s="47"/>
      <c r="K260" s="43"/>
      <c r="L260" s="43"/>
      <c r="M260" s="43"/>
      <c r="N260" s="43"/>
      <c r="O260" s="43"/>
      <c r="P260" s="43"/>
      <c r="Q260" s="43"/>
      <c r="R260" s="48">
        <v>2</v>
      </c>
    </row>
    <row r="261" spans="10:18" x14ac:dyDescent="0.2">
      <c r="J261" s="47"/>
      <c r="K261" s="43"/>
      <c r="L261" s="43"/>
      <c r="M261" s="43"/>
      <c r="N261" s="43"/>
      <c r="O261" s="43"/>
      <c r="P261" s="43"/>
      <c r="Q261" s="43"/>
      <c r="R261" s="48">
        <v>2</v>
      </c>
    </row>
    <row r="262" spans="10:18" x14ac:dyDescent="0.2">
      <c r="J262" s="47"/>
      <c r="K262" s="43"/>
      <c r="L262" s="43"/>
      <c r="M262" s="43"/>
      <c r="N262" s="43"/>
      <c r="O262" s="43"/>
      <c r="P262" s="43"/>
      <c r="Q262" s="43"/>
      <c r="R262" s="48"/>
    </row>
    <row r="263" spans="10:18" x14ac:dyDescent="0.2">
      <c r="J263" s="47"/>
      <c r="K263" s="43"/>
      <c r="L263" s="43"/>
      <c r="M263" s="43"/>
      <c r="N263" s="43"/>
      <c r="O263" s="43"/>
      <c r="P263" s="43"/>
      <c r="Q263" s="43"/>
      <c r="R263" s="48"/>
    </row>
    <row r="264" spans="10:18" x14ac:dyDescent="0.2">
      <c r="J264" s="47"/>
      <c r="K264" s="43"/>
      <c r="L264" s="43"/>
      <c r="M264" s="43"/>
      <c r="N264" s="43"/>
      <c r="O264" s="43"/>
      <c r="P264" s="43"/>
      <c r="Q264" s="43"/>
      <c r="R264" s="48"/>
    </row>
    <row r="265" spans="10:18" x14ac:dyDescent="0.2">
      <c r="J265" s="47"/>
      <c r="K265" s="43"/>
      <c r="L265" s="43"/>
      <c r="M265" s="43"/>
      <c r="N265" s="43"/>
      <c r="O265" s="43"/>
      <c r="P265" s="43"/>
      <c r="Q265" s="43"/>
      <c r="R265" s="48">
        <v>2.04</v>
      </c>
    </row>
    <row r="266" spans="10:18" x14ac:dyDescent="0.2">
      <c r="J266" s="47"/>
      <c r="K266" s="43"/>
      <c r="L266" s="43"/>
      <c r="M266" s="43"/>
      <c r="N266" s="43"/>
      <c r="O266" s="43"/>
      <c r="P266" s="43"/>
      <c r="Q266" s="43"/>
      <c r="R266" s="48">
        <v>3.452</v>
      </c>
    </row>
    <row r="267" spans="10:18" x14ac:dyDescent="0.2">
      <c r="J267" s="47"/>
      <c r="K267" s="43"/>
      <c r="L267" s="43"/>
      <c r="M267" s="43"/>
      <c r="N267" s="43"/>
      <c r="O267" s="43"/>
      <c r="P267" s="43"/>
      <c r="Q267" s="43"/>
      <c r="R267" s="48">
        <v>2.093</v>
      </c>
    </row>
    <row r="268" spans="10:18" x14ac:dyDescent="0.2">
      <c r="J268" s="47"/>
      <c r="K268" s="43"/>
      <c r="L268" s="43"/>
      <c r="M268" s="43"/>
      <c r="N268" s="43"/>
      <c r="O268" s="43"/>
      <c r="P268" s="43"/>
      <c r="Q268" s="43"/>
      <c r="R268" s="48"/>
    </row>
    <row r="269" spans="10:18" x14ac:dyDescent="0.2">
      <c r="J269" s="47"/>
      <c r="K269" s="43"/>
      <c r="L269" s="43"/>
      <c r="M269" s="43"/>
      <c r="N269" s="43"/>
      <c r="O269" s="43"/>
      <c r="P269" s="43"/>
      <c r="Q269" s="43"/>
      <c r="R269" s="48"/>
    </row>
    <row r="270" spans="10:18" x14ac:dyDescent="0.2">
      <c r="J270" s="47"/>
      <c r="K270" s="43"/>
      <c r="L270" s="43"/>
      <c r="M270" s="43"/>
      <c r="N270" s="43"/>
      <c r="O270" s="43"/>
      <c r="P270" s="43"/>
      <c r="Q270" s="43"/>
      <c r="R270" s="48">
        <v>2.12</v>
      </c>
    </row>
    <row r="271" spans="10:18" x14ac:dyDescent="0.2">
      <c r="J271" s="47"/>
      <c r="K271" s="43"/>
      <c r="L271" s="43"/>
      <c r="M271" s="43"/>
      <c r="N271" s="43"/>
      <c r="O271" s="43"/>
      <c r="P271" s="43"/>
      <c r="Q271" s="43"/>
      <c r="R271" s="48">
        <v>2.2789999999999999</v>
      </c>
    </row>
    <row r="272" spans="10:18" x14ac:dyDescent="0.2">
      <c r="J272" s="47"/>
      <c r="K272" s="43"/>
      <c r="L272" s="43"/>
      <c r="M272" s="43"/>
      <c r="N272" s="43"/>
      <c r="O272" s="43"/>
      <c r="P272" s="43"/>
      <c r="Q272" s="43"/>
      <c r="R272" s="48">
        <v>3.448</v>
      </c>
    </row>
    <row r="273" spans="10:18" x14ac:dyDescent="0.2">
      <c r="J273" s="47"/>
      <c r="K273" s="43"/>
      <c r="L273" s="43"/>
      <c r="M273" s="43"/>
      <c r="N273" s="43"/>
      <c r="O273" s="43"/>
      <c r="P273" s="43"/>
      <c r="Q273" s="43"/>
      <c r="R273" s="48"/>
    </row>
    <row r="274" spans="10:18" x14ac:dyDescent="0.2">
      <c r="J274" s="47"/>
      <c r="K274" s="43"/>
      <c r="L274" s="43"/>
      <c r="M274" s="43"/>
      <c r="N274" s="43"/>
      <c r="O274" s="43"/>
      <c r="P274" s="43"/>
      <c r="Q274" s="43"/>
      <c r="R274" s="48"/>
    </row>
    <row r="275" spans="10:18" x14ac:dyDescent="0.2">
      <c r="J275" s="47"/>
      <c r="K275" s="43"/>
      <c r="L275" s="43"/>
      <c r="M275" s="43"/>
      <c r="N275" s="43"/>
      <c r="O275" s="43"/>
      <c r="P275" s="43"/>
      <c r="Q275" s="43"/>
      <c r="R275" s="48">
        <v>3.31</v>
      </c>
    </row>
    <row r="276" spans="10:18" x14ac:dyDescent="0.2">
      <c r="J276" s="47"/>
      <c r="K276" s="43"/>
      <c r="L276" s="43"/>
      <c r="M276" s="43"/>
      <c r="N276" s="43"/>
      <c r="O276" s="43"/>
      <c r="P276" s="43"/>
      <c r="Q276" s="43"/>
      <c r="R276" s="48">
        <v>2.06</v>
      </c>
    </row>
    <row r="277" spans="10:18" x14ac:dyDescent="0.2">
      <c r="J277" s="47"/>
      <c r="K277" s="43"/>
      <c r="L277" s="43"/>
      <c r="M277" s="43"/>
      <c r="N277" s="43"/>
      <c r="O277" s="43"/>
      <c r="P277" s="43"/>
      <c r="Q277" s="43"/>
      <c r="R277" s="48">
        <v>2.16</v>
      </c>
    </row>
    <row r="278" spans="10:18" x14ac:dyDescent="0.2">
      <c r="J278" s="47"/>
      <c r="K278" s="43"/>
      <c r="L278" s="43"/>
      <c r="M278" s="43"/>
      <c r="N278" s="43"/>
      <c r="O278" s="43"/>
      <c r="P278" s="43"/>
      <c r="Q278" s="43"/>
      <c r="R278" s="48"/>
    </row>
    <row r="279" spans="10:18" x14ac:dyDescent="0.2">
      <c r="J279" s="47"/>
      <c r="K279" s="43"/>
      <c r="L279" s="43"/>
      <c r="M279" s="43"/>
      <c r="N279" s="43"/>
      <c r="O279" s="43"/>
      <c r="P279" s="43"/>
      <c r="Q279" s="43"/>
      <c r="R279" s="48"/>
    </row>
    <row r="280" spans="10:18" x14ac:dyDescent="0.2">
      <c r="J280" s="47"/>
      <c r="K280" s="43"/>
      <c r="L280" s="43"/>
      <c r="M280" s="43"/>
      <c r="N280" s="43"/>
      <c r="O280" s="43"/>
      <c r="P280" s="43"/>
      <c r="Q280" s="43"/>
      <c r="R280" s="48">
        <v>3.3889999999999998</v>
      </c>
    </row>
    <row r="281" spans="10:18" x14ac:dyDescent="0.2">
      <c r="J281" s="47"/>
      <c r="K281" s="43"/>
      <c r="L281" s="43"/>
      <c r="M281" s="43"/>
      <c r="N281" s="43"/>
      <c r="O281" s="43"/>
      <c r="P281" s="43"/>
      <c r="Q281" s="43"/>
      <c r="R281" s="48">
        <v>3.8620000000000001</v>
      </c>
    </row>
    <row r="282" spans="10:18" x14ac:dyDescent="0.2">
      <c r="J282" s="49"/>
      <c r="K282" s="50"/>
      <c r="L282" s="50"/>
      <c r="M282" s="50"/>
      <c r="N282" s="50"/>
      <c r="O282" s="50"/>
      <c r="P282" s="50"/>
      <c r="Q282" s="50"/>
      <c r="R282" s="51">
        <v>3.0249999999999999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2807-F0AB-9640-AB03-8EFFEEEC3DDA}">
  <dimension ref="A1:AS275"/>
  <sheetViews>
    <sheetView topLeftCell="O1" workbookViewId="0">
      <selection activeCell="A127" sqref="A127"/>
    </sheetView>
  </sheetViews>
  <sheetFormatPr baseColWidth="10" defaultRowHeight="16" x14ac:dyDescent="0.2"/>
  <cols>
    <col min="4" max="4" width="22.33203125" customWidth="1"/>
    <col min="21" max="21" width="20.33203125" customWidth="1"/>
    <col min="26" max="26" width="33" customWidth="1"/>
    <col min="27" max="27" width="17" customWidth="1"/>
    <col min="28" max="28" width="16.5" customWidth="1"/>
    <col min="37" max="37" width="31" customWidth="1"/>
  </cols>
  <sheetData>
    <row r="1" spans="1:14" s="15" customFormat="1" ht="21" x14ac:dyDescent="0.25">
      <c r="A1" s="14" t="s">
        <v>650</v>
      </c>
      <c r="B1" s="14"/>
    </row>
    <row r="2" spans="1:14" ht="21" x14ac:dyDescent="0.25">
      <c r="A2" t="s">
        <v>192</v>
      </c>
      <c r="B2" s="13"/>
    </row>
    <row r="3" spans="1:14" x14ac:dyDescent="0.2">
      <c r="F3" t="s">
        <v>55</v>
      </c>
      <c r="I3" t="s">
        <v>56</v>
      </c>
    </row>
    <row r="4" spans="1:14" x14ac:dyDescent="0.2">
      <c r="A4" t="s">
        <v>57</v>
      </c>
      <c r="B4" t="s">
        <v>58</v>
      </c>
      <c r="C4" t="s">
        <v>59</v>
      </c>
      <c r="D4" t="s">
        <v>88</v>
      </c>
      <c r="E4" t="s">
        <v>60</v>
      </c>
      <c r="F4" t="s">
        <v>61</v>
      </c>
      <c r="G4" t="s">
        <v>62</v>
      </c>
      <c r="H4" t="s">
        <v>60</v>
      </c>
      <c r="I4" t="s">
        <v>61</v>
      </c>
      <c r="J4" t="s">
        <v>62</v>
      </c>
      <c r="L4" t="s">
        <v>63</v>
      </c>
      <c r="M4" t="s">
        <v>64</v>
      </c>
      <c r="N4" t="s">
        <v>65</v>
      </c>
    </row>
    <row r="5" spans="1:14" x14ac:dyDescent="0.2">
      <c r="B5" t="s">
        <v>66</v>
      </c>
      <c r="C5" t="s">
        <v>89</v>
      </c>
      <c r="D5" t="s">
        <v>82</v>
      </c>
      <c r="E5">
        <f>10^5</f>
        <v>100000</v>
      </c>
      <c r="F5">
        <v>31</v>
      </c>
      <c r="G5">
        <f>E5*F5/0.004</f>
        <v>775000000</v>
      </c>
      <c r="H5">
        <f>10^4</f>
        <v>10000</v>
      </c>
      <c r="I5">
        <v>43</v>
      </c>
      <c r="J5">
        <f>H5*I5/0.004</f>
        <v>107500000</v>
      </c>
      <c r="L5">
        <f>J5</f>
        <v>107500000</v>
      </c>
      <c r="M5">
        <f>G5-J5</f>
        <v>667500000</v>
      </c>
      <c r="N5">
        <f>M5/L5</f>
        <v>6.2093023255813957</v>
      </c>
    </row>
    <row r="6" spans="1:14" x14ac:dyDescent="0.2">
      <c r="B6" t="s">
        <v>66</v>
      </c>
      <c r="C6" t="s">
        <v>89</v>
      </c>
      <c r="D6" t="s">
        <v>83</v>
      </c>
      <c r="E6">
        <f t="shared" ref="E6:E10" si="0">10^5</f>
        <v>100000</v>
      </c>
      <c r="F6">
        <v>26</v>
      </c>
      <c r="G6">
        <f t="shared" ref="G6:G31" si="1">E6*F6/0.004</f>
        <v>650000000</v>
      </c>
      <c r="H6">
        <f t="shared" ref="H6:H10" si="2">10^4</f>
        <v>10000</v>
      </c>
      <c r="I6">
        <v>34</v>
      </c>
      <c r="J6">
        <f t="shared" ref="J6:J10" si="3">H6*I6/0.004</f>
        <v>85000000</v>
      </c>
      <c r="L6">
        <f t="shared" ref="L6:L10" si="4">J6</f>
        <v>85000000</v>
      </c>
      <c r="M6">
        <f t="shared" ref="M6:M10" si="5">G6-J6</f>
        <v>565000000</v>
      </c>
      <c r="N6">
        <f t="shared" ref="N6:N10" si="6">M6/L6</f>
        <v>6.6470588235294121</v>
      </c>
    </row>
    <row r="7" spans="1:14" x14ac:dyDescent="0.2">
      <c r="B7" t="s">
        <v>66</v>
      </c>
      <c r="C7" t="s">
        <v>89</v>
      </c>
      <c r="D7" t="s">
        <v>84</v>
      </c>
      <c r="E7">
        <f t="shared" si="0"/>
        <v>100000</v>
      </c>
      <c r="F7">
        <v>33</v>
      </c>
      <c r="G7">
        <f t="shared" si="1"/>
        <v>825000000</v>
      </c>
      <c r="H7">
        <f t="shared" si="2"/>
        <v>10000</v>
      </c>
      <c r="I7">
        <v>43</v>
      </c>
      <c r="J7">
        <f t="shared" si="3"/>
        <v>107500000</v>
      </c>
      <c r="L7">
        <f t="shared" si="4"/>
        <v>107500000</v>
      </c>
      <c r="M7">
        <f t="shared" si="5"/>
        <v>717500000</v>
      </c>
      <c r="N7">
        <f t="shared" si="6"/>
        <v>6.6744186046511631</v>
      </c>
    </row>
    <row r="8" spans="1:14" x14ac:dyDescent="0.2">
      <c r="B8" t="s">
        <v>66</v>
      </c>
      <c r="C8" t="s">
        <v>89</v>
      </c>
      <c r="D8" t="s">
        <v>85</v>
      </c>
      <c r="E8">
        <f t="shared" si="0"/>
        <v>100000</v>
      </c>
      <c r="F8">
        <v>30</v>
      </c>
      <c r="G8">
        <f t="shared" si="1"/>
        <v>750000000</v>
      </c>
      <c r="H8">
        <f t="shared" si="2"/>
        <v>10000</v>
      </c>
      <c r="I8">
        <v>37</v>
      </c>
      <c r="J8">
        <f t="shared" si="3"/>
        <v>92500000</v>
      </c>
      <c r="L8">
        <f t="shared" si="4"/>
        <v>92500000</v>
      </c>
      <c r="M8">
        <f t="shared" si="5"/>
        <v>657500000</v>
      </c>
      <c r="N8">
        <f t="shared" si="6"/>
        <v>7.1081081081081079</v>
      </c>
    </row>
    <row r="9" spans="1:14" x14ac:dyDescent="0.2">
      <c r="B9" t="s">
        <v>66</v>
      </c>
      <c r="C9" t="s">
        <v>89</v>
      </c>
      <c r="D9" t="s">
        <v>86</v>
      </c>
      <c r="E9">
        <f t="shared" si="0"/>
        <v>100000</v>
      </c>
      <c r="F9">
        <v>26</v>
      </c>
      <c r="G9">
        <f t="shared" si="1"/>
        <v>650000000</v>
      </c>
      <c r="H9">
        <f t="shared" si="2"/>
        <v>10000</v>
      </c>
      <c r="I9">
        <v>35</v>
      </c>
      <c r="J9">
        <f t="shared" si="3"/>
        <v>87500000</v>
      </c>
      <c r="L9">
        <f t="shared" si="4"/>
        <v>87500000</v>
      </c>
      <c r="M9">
        <f t="shared" si="5"/>
        <v>562500000</v>
      </c>
      <c r="N9">
        <f t="shared" si="6"/>
        <v>6.4285714285714288</v>
      </c>
    </row>
    <row r="10" spans="1:14" x14ac:dyDescent="0.2">
      <c r="B10" t="s">
        <v>66</v>
      </c>
      <c r="C10" t="s">
        <v>89</v>
      </c>
      <c r="D10" t="s">
        <v>87</v>
      </c>
      <c r="E10">
        <f t="shared" si="0"/>
        <v>100000</v>
      </c>
      <c r="F10">
        <v>29</v>
      </c>
      <c r="G10">
        <f t="shared" si="1"/>
        <v>725000000</v>
      </c>
      <c r="H10">
        <f t="shared" si="2"/>
        <v>10000</v>
      </c>
      <c r="I10">
        <v>44</v>
      </c>
      <c r="J10">
        <f t="shared" si="3"/>
        <v>110000000</v>
      </c>
      <c r="L10">
        <f t="shared" si="4"/>
        <v>110000000</v>
      </c>
      <c r="M10">
        <f t="shared" si="5"/>
        <v>615000000</v>
      </c>
      <c r="N10">
        <f t="shared" si="6"/>
        <v>5.5909090909090908</v>
      </c>
    </row>
    <row r="12" spans="1:14" x14ac:dyDescent="0.2">
      <c r="B12" t="s">
        <v>66</v>
      </c>
      <c r="C12" t="s">
        <v>90</v>
      </c>
      <c r="D12" t="s">
        <v>82</v>
      </c>
      <c r="E12">
        <f>10^5</f>
        <v>100000</v>
      </c>
      <c r="F12">
        <v>35</v>
      </c>
      <c r="G12">
        <f t="shared" si="1"/>
        <v>875000000</v>
      </c>
      <c r="H12">
        <f t="shared" ref="H12:H31" si="7">10^4</f>
        <v>10000</v>
      </c>
      <c r="I12">
        <v>50</v>
      </c>
      <c r="J12">
        <f t="shared" ref="J12:J30" si="8">H12*I12/0.004</f>
        <v>125000000</v>
      </c>
      <c r="L12">
        <f t="shared" ref="L12:L17" si="9">J12</f>
        <v>125000000</v>
      </c>
      <c r="M12">
        <f t="shared" ref="M12:M17" si="10">G12-J12</f>
        <v>750000000</v>
      </c>
      <c r="N12">
        <f t="shared" ref="N12:N17" si="11">M12/L12</f>
        <v>6</v>
      </c>
    </row>
    <row r="13" spans="1:14" x14ac:dyDescent="0.2">
      <c r="B13" t="s">
        <v>66</v>
      </c>
      <c r="C13" t="s">
        <v>90</v>
      </c>
      <c r="D13" t="s">
        <v>83</v>
      </c>
      <c r="E13">
        <f t="shared" ref="E13:E17" si="12">10^5</f>
        <v>100000</v>
      </c>
      <c r="F13">
        <v>29</v>
      </c>
      <c r="G13">
        <f t="shared" si="1"/>
        <v>725000000</v>
      </c>
      <c r="H13">
        <f t="shared" si="7"/>
        <v>10000</v>
      </c>
      <c r="I13">
        <v>38</v>
      </c>
      <c r="J13">
        <f t="shared" si="8"/>
        <v>95000000</v>
      </c>
      <c r="L13">
        <f t="shared" si="9"/>
        <v>95000000</v>
      </c>
      <c r="M13">
        <f t="shared" si="10"/>
        <v>630000000</v>
      </c>
      <c r="N13">
        <f t="shared" si="11"/>
        <v>6.6315789473684212</v>
      </c>
    </row>
    <row r="14" spans="1:14" x14ac:dyDescent="0.2">
      <c r="B14" t="s">
        <v>66</v>
      </c>
      <c r="C14" t="s">
        <v>90</v>
      </c>
      <c r="D14" t="s">
        <v>84</v>
      </c>
      <c r="E14">
        <f t="shared" si="12"/>
        <v>100000</v>
      </c>
      <c r="F14">
        <v>42</v>
      </c>
      <c r="G14">
        <f t="shared" si="1"/>
        <v>1050000000</v>
      </c>
      <c r="H14">
        <f t="shared" si="7"/>
        <v>10000</v>
      </c>
      <c r="I14">
        <v>45</v>
      </c>
      <c r="J14">
        <f t="shared" si="8"/>
        <v>112500000</v>
      </c>
      <c r="L14">
        <f t="shared" si="9"/>
        <v>112500000</v>
      </c>
      <c r="M14">
        <f t="shared" si="10"/>
        <v>937500000</v>
      </c>
      <c r="N14">
        <f t="shared" si="11"/>
        <v>8.3333333333333339</v>
      </c>
    </row>
    <row r="15" spans="1:14" x14ac:dyDescent="0.2">
      <c r="B15" t="s">
        <v>66</v>
      </c>
      <c r="C15" t="s">
        <v>90</v>
      </c>
      <c r="D15" t="s">
        <v>85</v>
      </c>
      <c r="E15">
        <f t="shared" si="12"/>
        <v>100000</v>
      </c>
      <c r="F15">
        <v>34</v>
      </c>
      <c r="G15">
        <f t="shared" si="1"/>
        <v>850000000</v>
      </c>
      <c r="H15">
        <f t="shared" si="7"/>
        <v>10000</v>
      </c>
      <c r="I15">
        <v>34</v>
      </c>
      <c r="J15">
        <f t="shared" si="8"/>
        <v>85000000</v>
      </c>
      <c r="L15">
        <f t="shared" si="9"/>
        <v>85000000</v>
      </c>
      <c r="M15">
        <f t="shared" si="10"/>
        <v>765000000</v>
      </c>
      <c r="N15">
        <f t="shared" si="11"/>
        <v>9</v>
      </c>
    </row>
    <row r="16" spans="1:14" x14ac:dyDescent="0.2">
      <c r="B16" t="s">
        <v>66</v>
      </c>
      <c r="C16" t="s">
        <v>90</v>
      </c>
      <c r="D16" t="s">
        <v>86</v>
      </c>
      <c r="E16">
        <f t="shared" si="12"/>
        <v>100000</v>
      </c>
      <c r="F16">
        <v>38</v>
      </c>
      <c r="G16">
        <f t="shared" si="1"/>
        <v>950000000</v>
      </c>
      <c r="H16">
        <f t="shared" si="7"/>
        <v>10000</v>
      </c>
      <c r="I16">
        <v>44</v>
      </c>
      <c r="J16">
        <f t="shared" si="8"/>
        <v>110000000</v>
      </c>
      <c r="L16">
        <f t="shared" si="9"/>
        <v>110000000</v>
      </c>
      <c r="M16">
        <f t="shared" si="10"/>
        <v>840000000</v>
      </c>
      <c r="N16">
        <f t="shared" si="11"/>
        <v>7.6363636363636367</v>
      </c>
    </row>
    <row r="17" spans="2:28" x14ac:dyDescent="0.2">
      <c r="B17" t="s">
        <v>66</v>
      </c>
      <c r="C17" t="s">
        <v>90</v>
      </c>
      <c r="D17" t="s">
        <v>87</v>
      </c>
      <c r="E17">
        <f t="shared" si="12"/>
        <v>100000</v>
      </c>
      <c r="F17">
        <v>40</v>
      </c>
      <c r="G17">
        <f t="shared" si="1"/>
        <v>1000000000</v>
      </c>
      <c r="H17">
        <f t="shared" si="7"/>
        <v>10000</v>
      </c>
      <c r="I17">
        <v>39</v>
      </c>
      <c r="J17">
        <f t="shared" si="8"/>
        <v>97500000</v>
      </c>
      <c r="L17">
        <f t="shared" si="9"/>
        <v>97500000</v>
      </c>
      <c r="M17">
        <f t="shared" si="10"/>
        <v>902500000</v>
      </c>
      <c r="N17">
        <f t="shared" si="11"/>
        <v>9.2564102564102573</v>
      </c>
    </row>
    <row r="19" spans="2:28" x14ac:dyDescent="0.2">
      <c r="B19" t="s">
        <v>79</v>
      </c>
      <c r="C19" t="s">
        <v>89</v>
      </c>
      <c r="D19" t="s">
        <v>82</v>
      </c>
      <c r="E19">
        <f>10^5</f>
        <v>100000</v>
      </c>
      <c r="F19">
        <v>28</v>
      </c>
      <c r="G19">
        <f t="shared" si="1"/>
        <v>700000000</v>
      </c>
      <c r="H19">
        <f t="shared" ref="H19" si="13">10^4</f>
        <v>10000</v>
      </c>
      <c r="I19">
        <v>30</v>
      </c>
      <c r="J19">
        <f t="shared" ref="J19" si="14">H19*I19/0.004</f>
        <v>75000000</v>
      </c>
      <c r="L19">
        <f t="shared" ref="L19:L24" si="15">J19</f>
        <v>75000000</v>
      </c>
      <c r="M19">
        <f t="shared" ref="M19:M24" si="16">G19-J19</f>
        <v>625000000</v>
      </c>
      <c r="N19">
        <f t="shared" ref="N19:N24" si="17">M19/L19</f>
        <v>8.3333333333333339</v>
      </c>
      <c r="R19" t="s">
        <v>58</v>
      </c>
      <c r="S19" t="s">
        <v>59</v>
      </c>
      <c r="T19" t="s">
        <v>88</v>
      </c>
      <c r="U19" t="s">
        <v>93</v>
      </c>
    </row>
    <row r="20" spans="2:28" x14ac:dyDescent="0.2">
      <c r="B20" t="s">
        <v>79</v>
      </c>
      <c r="C20" t="s">
        <v>89</v>
      </c>
      <c r="D20" t="s">
        <v>83</v>
      </c>
      <c r="E20">
        <f t="shared" ref="E20:E24" si="18">10^5</f>
        <v>100000</v>
      </c>
      <c r="F20">
        <v>34</v>
      </c>
      <c r="G20">
        <f t="shared" si="1"/>
        <v>850000000</v>
      </c>
      <c r="H20">
        <f t="shared" si="7"/>
        <v>10000</v>
      </c>
      <c r="I20">
        <v>38</v>
      </c>
      <c r="J20">
        <f t="shared" si="8"/>
        <v>95000000</v>
      </c>
      <c r="L20">
        <f t="shared" si="15"/>
        <v>95000000</v>
      </c>
      <c r="M20">
        <f t="shared" si="16"/>
        <v>755000000</v>
      </c>
      <c r="N20">
        <f t="shared" si="17"/>
        <v>7.9473684210526319</v>
      </c>
      <c r="R20" t="s">
        <v>66</v>
      </c>
      <c r="S20" t="s">
        <v>89</v>
      </c>
      <c r="T20" t="s">
        <v>82</v>
      </c>
      <c r="U20">
        <f t="shared" ref="U20:U25" si="19">N64/N5</f>
        <v>9.2661916506805522</v>
      </c>
    </row>
    <row r="21" spans="2:28" x14ac:dyDescent="0.2">
      <c r="B21" t="s">
        <v>79</v>
      </c>
      <c r="C21" t="s">
        <v>89</v>
      </c>
      <c r="D21" t="s">
        <v>84</v>
      </c>
      <c r="E21">
        <f t="shared" si="18"/>
        <v>100000</v>
      </c>
      <c r="F21">
        <v>32</v>
      </c>
      <c r="G21">
        <f t="shared" si="1"/>
        <v>800000000</v>
      </c>
      <c r="H21">
        <f t="shared" si="7"/>
        <v>10000</v>
      </c>
      <c r="I21">
        <v>36</v>
      </c>
      <c r="J21">
        <f t="shared" si="8"/>
        <v>90000000</v>
      </c>
      <c r="L21">
        <f t="shared" si="15"/>
        <v>90000000</v>
      </c>
      <c r="M21">
        <f t="shared" si="16"/>
        <v>710000000</v>
      </c>
      <c r="N21">
        <f t="shared" si="17"/>
        <v>7.8888888888888893</v>
      </c>
      <c r="R21" t="s">
        <v>66</v>
      </c>
      <c r="S21" t="s">
        <v>89</v>
      </c>
      <c r="T21" t="s">
        <v>83</v>
      </c>
      <c r="U21">
        <f t="shared" si="19"/>
        <v>10.264805990469705</v>
      </c>
    </row>
    <row r="22" spans="2:28" x14ac:dyDescent="0.2">
      <c r="B22" t="s">
        <v>79</v>
      </c>
      <c r="C22" t="s">
        <v>89</v>
      </c>
      <c r="D22" t="s">
        <v>85</v>
      </c>
      <c r="E22">
        <f t="shared" si="18"/>
        <v>100000</v>
      </c>
      <c r="F22">
        <v>33</v>
      </c>
      <c r="G22">
        <f t="shared" si="1"/>
        <v>825000000</v>
      </c>
      <c r="H22">
        <f t="shared" si="7"/>
        <v>10000</v>
      </c>
      <c r="I22">
        <v>29</v>
      </c>
      <c r="J22">
        <f t="shared" si="8"/>
        <v>72500000</v>
      </c>
      <c r="L22">
        <f t="shared" si="15"/>
        <v>72500000</v>
      </c>
      <c r="M22">
        <f t="shared" si="16"/>
        <v>752500000</v>
      </c>
      <c r="N22">
        <f t="shared" si="17"/>
        <v>10.379310344827585</v>
      </c>
      <c r="R22" t="s">
        <v>66</v>
      </c>
      <c r="S22" t="s">
        <v>89</v>
      </c>
      <c r="T22" t="s">
        <v>84</v>
      </c>
      <c r="U22">
        <f t="shared" si="19"/>
        <v>7.0533369069954439</v>
      </c>
    </row>
    <row r="23" spans="2:28" x14ac:dyDescent="0.2">
      <c r="B23" t="s">
        <v>79</v>
      </c>
      <c r="C23" t="s">
        <v>89</v>
      </c>
      <c r="D23" t="s">
        <v>86</v>
      </c>
      <c r="E23">
        <f t="shared" si="18"/>
        <v>100000</v>
      </c>
      <c r="F23">
        <v>27</v>
      </c>
      <c r="G23">
        <f t="shared" si="1"/>
        <v>675000000</v>
      </c>
      <c r="H23">
        <f t="shared" si="7"/>
        <v>10000</v>
      </c>
      <c r="I23">
        <v>31</v>
      </c>
      <c r="J23">
        <f t="shared" si="8"/>
        <v>77500000</v>
      </c>
      <c r="L23">
        <f t="shared" si="15"/>
        <v>77500000</v>
      </c>
      <c r="M23">
        <f t="shared" si="16"/>
        <v>597500000</v>
      </c>
      <c r="N23">
        <f t="shared" si="17"/>
        <v>7.709677419354839</v>
      </c>
      <c r="R23" t="s">
        <v>66</v>
      </c>
      <c r="S23" t="s">
        <v>89</v>
      </c>
      <c r="T23" t="s">
        <v>85</v>
      </c>
      <c r="U23">
        <f t="shared" si="19"/>
        <v>6.8935361216730042</v>
      </c>
    </row>
    <row r="24" spans="2:28" x14ac:dyDescent="0.2">
      <c r="B24" t="s">
        <v>79</v>
      </c>
      <c r="C24" t="s">
        <v>89</v>
      </c>
      <c r="D24" t="s">
        <v>87</v>
      </c>
      <c r="E24">
        <f t="shared" si="18"/>
        <v>100000</v>
      </c>
      <c r="F24">
        <v>29</v>
      </c>
      <c r="G24">
        <f t="shared" si="1"/>
        <v>725000000</v>
      </c>
      <c r="H24">
        <f t="shared" si="7"/>
        <v>10000</v>
      </c>
      <c r="I24">
        <v>34</v>
      </c>
      <c r="J24">
        <f t="shared" si="8"/>
        <v>85000000</v>
      </c>
      <c r="L24">
        <f t="shared" si="15"/>
        <v>85000000</v>
      </c>
      <c r="M24">
        <f t="shared" si="16"/>
        <v>640000000</v>
      </c>
      <c r="N24">
        <f t="shared" si="17"/>
        <v>7.5294117647058822</v>
      </c>
      <c r="R24" t="s">
        <v>66</v>
      </c>
      <c r="S24" t="s">
        <v>89</v>
      </c>
      <c r="T24" t="s">
        <v>86</v>
      </c>
      <c r="U24">
        <f t="shared" si="19"/>
        <v>8.9185185185185194</v>
      </c>
    </row>
    <row r="25" spans="2:28" x14ac:dyDescent="0.2">
      <c r="R25" t="s">
        <v>66</v>
      </c>
      <c r="S25" t="s">
        <v>89</v>
      </c>
      <c r="T25" t="s">
        <v>87</v>
      </c>
      <c r="U25">
        <f t="shared" si="19"/>
        <v>11.051994705993572</v>
      </c>
    </row>
    <row r="26" spans="2:28" x14ac:dyDescent="0.2">
      <c r="B26" t="s">
        <v>79</v>
      </c>
      <c r="C26" t="s">
        <v>90</v>
      </c>
      <c r="D26" t="s">
        <v>82</v>
      </c>
      <c r="E26">
        <f>10^5</f>
        <v>100000</v>
      </c>
      <c r="F26">
        <v>27</v>
      </c>
      <c r="G26">
        <f t="shared" si="1"/>
        <v>675000000</v>
      </c>
      <c r="H26">
        <f t="shared" ref="H26" si="20">10^4</f>
        <v>10000</v>
      </c>
      <c r="I26">
        <v>38</v>
      </c>
      <c r="J26">
        <f t="shared" ref="J26" si="21">H26*I26/0.004</f>
        <v>95000000</v>
      </c>
      <c r="L26">
        <f t="shared" ref="L26:L31" si="22">J26</f>
        <v>95000000</v>
      </c>
      <c r="M26">
        <f t="shared" ref="M26:M31" si="23">G26-J26</f>
        <v>580000000</v>
      </c>
      <c r="N26">
        <f t="shared" ref="N26:N31" si="24">M26/L26</f>
        <v>6.1052631578947372</v>
      </c>
    </row>
    <row r="27" spans="2:28" x14ac:dyDescent="0.2">
      <c r="B27" t="s">
        <v>79</v>
      </c>
      <c r="C27" t="s">
        <v>90</v>
      </c>
      <c r="D27" t="s">
        <v>83</v>
      </c>
      <c r="E27">
        <f t="shared" ref="E27:E31" si="25">10^5</f>
        <v>100000</v>
      </c>
      <c r="F27">
        <v>26</v>
      </c>
      <c r="G27">
        <f t="shared" si="1"/>
        <v>650000000</v>
      </c>
      <c r="H27">
        <f t="shared" si="7"/>
        <v>10000</v>
      </c>
      <c r="I27">
        <v>34</v>
      </c>
      <c r="J27">
        <f t="shared" si="8"/>
        <v>85000000</v>
      </c>
      <c r="L27">
        <f t="shared" si="22"/>
        <v>85000000</v>
      </c>
      <c r="M27">
        <f t="shared" si="23"/>
        <v>565000000</v>
      </c>
      <c r="N27">
        <f t="shared" si="24"/>
        <v>6.6470588235294121</v>
      </c>
      <c r="R27" t="s">
        <v>66</v>
      </c>
      <c r="S27" t="s">
        <v>90</v>
      </c>
      <c r="T27" t="s">
        <v>82</v>
      </c>
      <c r="U27">
        <f t="shared" ref="U27:U32" si="26">N71/N12</f>
        <v>1.7083333333333333</v>
      </c>
    </row>
    <row r="28" spans="2:28" x14ac:dyDescent="0.2">
      <c r="B28" t="s">
        <v>79</v>
      </c>
      <c r="C28" t="s">
        <v>90</v>
      </c>
      <c r="D28" t="s">
        <v>84</v>
      </c>
      <c r="E28">
        <f t="shared" si="25"/>
        <v>100000</v>
      </c>
      <c r="F28">
        <v>32</v>
      </c>
      <c r="G28">
        <f t="shared" si="1"/>
        <v>800000000</v>
      </c>
      <c r="H28">
        <f t="shared" si="7"/>
        <v>10000</v>
      </c>
      <c r="I28">
        <v>38</v>
      </c>
      <c r="J28">
        <f t="shared" si="8"/>
        <v>95000000</v>
      </c>
      <c r="L28">
        <f t="shared" si="22"/>
        <v>95000000</v>
      </c>
      <c r="M28">
        <f t="shared" si="23"/>
        <v>705000000</v>
      </c>
      <c r="N28">
        <f t="shared" si="24"/>
        <v>7.4210526315789478</v>
      </c>
      <c r="R28" t="s">
        <v>66</v>
      </c>
      <c r="S28" t="s">
        <v>90</v>
      </c>
      <c r="T28" t="s">
        <v>83</v>
      </c>
      <c r="U28">
        <f t="shared" si="26"/>
        <v>2.3624338624338623</v>
      </c>
    </row>
    <row r="29" spans="2:28" x14ac:dyDescent="0.2">
      <c r="B29" t="s">
        <v>79</v>
      </c>
      <c r="C29" t="s">
        <v>90</v>
      </c>
      <c r="D29" t="s">
        <v>85</v>
      </c>
      <c r="E29">
        <f t="shared" si="25"/>
        <v>100000</v>
      </c>
      <c r="F29">
        <v>34</v>
      </c>
      <c r="G29">
        <f t="shared" si="1"/>
        <v>850000000</v>
      </c>
      <c r="H29">
        <f t="shared" si="7"/>
        <v>10000</v>
      </c>
      <c r="I29">
        <v>33</v>
      </c>
      <c r="J29">
        <f t="shared" si="8"/>
        <v>82500000</v>
      </c>
      <c r="L29">
        <f t="shared" si="22"/>
        <v>82500000</v>
      </c>
      <c r="M29">
        <f t="shared" si="23"/>
        <v>767500000</v>
      </c>
      <c r="N29">
        <f t="shared" si="24"/>
        <v>9.3030303030303028</v>
      </c>
      <c r="R29" t="s">
        <v>66</v>
      </c>
      <c r="S29" t="s">
        <v>90</v>
      </c>
      <c r="T29" t="s">
        <v>84</v>
      </c>
      <c r="U29">
        <f t="shared" si="26"/>
        <v>1.9527272727272726</v>
      </c>
    </row>
    <row r="30" spans="2:28" x14ac:dyDescent="0.2">
      <c r="B30" t="s">
        <v>79</v>
      </c>
      <c r="C30" t="s">
        <v>90</v>
      </c>
      <c r="D30" t="s">
        <v>86</v>
      </c>
      <c r="E30">
        <f t="shared" si="25"/>
        <v>100000</v>
      </c>
      <c r="F30">
        <v>25</v>
      </c>
      <c r="G30">
        <f t="shared" si="1"/>
        <v>625000000</v>
      </c>
      <c r="H30">
        <f t="shared" si="7"/>
        <v>10000</v>
      </c>
      <c r="I30">
        <v>36</v>
      </c>
      <c r="J30">
        <f t="shared" si="8"/>
        <v>90000000</v>
      </c>
      <c r="L30">
        <f t="shared" si="22"/>
        <v>90000000</v>
      </c>
      <c r="M30">
        <f t="shared" si="23"/>
        <v>535000000</v>
      </c>
      <c r="N30">
        <f t="shared" si="24"/>
        <v>5.9444444444444446</v>
      </c>
      <c r="R30" t="s">
        <v>66</v>
      </c>
      <c r="S30" t="s">
        <v>90</v>
      </c>
      <c r="T30" t="s">
        <v>85</v>
      </c>
      <c r="U30">
        <f t="shared" si="26"/>
        <v>1.3703703703703705</v>
      </c>
    </row>
    <row r="31" spans="2:28" x14ac:dyDescent="0.2">
      <c r="B31" t="s">
        <v>79</v>
      </c>
      <c r="C31" t="s">
        <v>90</v>
      </c>
      <c r="D31" t="s">
        <v>87</v>
      </c>
      <c r="E31">
        <f t="shared" si="25"/>
        <v>100000</v>
      </c>
      <c r="F31">
        <v>29</v>
      </c>
      <c r="G31">
        <f t="shared" si="1"/>
        <v>725000000</v>
      </c>
      <c r="H31">
        <f t="shared" si="7"/>
        <v>10000</v>
      </c>
      <c r="I31">
        <v>41</v>
      </c>
      <c r="J31">
        <f>H31*I31/0.004</f>
        <v>102500000</v>
      </c>
      <c r="L31">
        <f t="shared" si="22"/>
        <v>102500000</v>
      </c>
      <c r="M31">
        <f t="shared" si="23"/>
        <v>622500000</v>
      </c>
      <c r="N31">
        <f t="shared" si="24"/>
        <v>6.0731707317073171</v>
      </c>
      <c r="R31" t="s">
        <v>66</v>
      </c>
      <c r="S31" t="s">
        <v>90</v>
      </c>
      <c r="T31" t="s">
        <v>86</v>
      </c>
      <c r="U31">
        <f t="shared" si="26"/>
        <v>1.906084656084656</v>
      </c>
      <c r="AA31" t="s">
        <v>94</v>
      </c>
      <c r="AB31" t="s">
        <v>99</v>
      </c>
    </row>
    <row r="32" spans="2:28" x14ac:dyDescent="0.2">
      <c r="R32" t="s">
        <v>66</v>
      </c>
      <c r="S32" t="s">
        <v>90</v>
      </c>
      <c r="T32" t="s">
        <v>87</v>
      </c>
      <c r="U32">
        <f t="shared" si="26"/>
        <v>0.86054064380552098</v>
      </c>
      <c r="Z32" t="s">
        <v>95</v>
      </c>
      <c r="AA32">
        <f>AVERAGE(U20:U25)</f>
        <v>8.908063982388466</v>
      </c>
      <c r="AB32">
        <f>STDEV(U20:U25)/SQRT(6)</f>
        <v>0.68468697407470058</v>
      </c>
    </row>
    <row r="33" spans="2:45" x14ac:dyDescent="0.2">
      <c r="Z33" t="s">
        <v>96</v>
      </c>
      <c r="AA33">
        <f>AVERAGE(U27:U32)</f>
        <v>1.693415023125836</v>
      </c>
      <c r="AB33">
        <f>STDEV(U27:U32)/SQRT(6)</f>
        <v>0.21278451998103634</v>
      </c>
    </row>
    <row r="34" spans="2:45" x14ac:dyDescent="0.2">
      <c r="B34" t="s">
        <v>66</v>
      </c>
      <c r="C34" t="s">
        <v>81</v>
      </c>
      <c r="D34" t="s">
        <v>82</v>
      </c>
      <c r="E34">
        <f>10^5</f>
        <v>100000</v>
      </c>
      <c r="F34">
        <v>29</v>
      </c>
      <c r="G34">
        <f>E34*F34/0.004</f>
        <v>725000000</v>
      </c>
      <c r="H34">
        <f>10^4</f>
        <v>10000</v>
      </c>
      <c r="I34">
        <v>44</v>
      </c>
      <c r="J34">
        <f>H34*I34/0.004</f>
        <v>110000000</v>
      </c>
      <c r="L34">
        <f>J34</f>
        <v>110000000</v>
      </c>
      <c r="M34">
        <f>G34-J34</f>
        <v>615000000</v>
      </c>
      <c r="N34">
        <f>M34/L34</f>
        <v>5.5909090909090908</v>
      </c>
      <c r="R34" t="s">
        <v>79</v>
      </c>
      <c r="S34" t="s">
        <v>89</v>
      </c>
      <c r="T34" t="s">
        <v>82</v>
      </c>
      <c r="U34">
        <f t="shared" ref="U34:U39" si="27">N78/N19</f>
        <v>1.0799999999999998</v>
      </c>
      <c r="Z34" t="s">
        <v>97</v>
      </c>
      <c r="AA34">
        <f>AVERAGE(U34:U39)</f>
        <v>1.2774227275693024</v>
      </c>
      <c r="AB34">
        <f>STDEV(U34:U39)/SQRT(6)</f>
        <v>0.12802984591633687</v>
      </c>
    </row>
    <row r="35" spans="2:45" x14ac:dyDescent="0.2">
      <c r="B35" t="s">
        <v>66</v>
      </c>
      <c r="C35" t="s">
        <v>81</v>
      </c>
      <c r="D35" t="s">
        <v>83</v>
      </c>
      <c r="E35">
        <f t="shared" ref="E35:E39" si="28">10^5</f>
        <v>100000</v>
      </c>
      <c r="F35">
        <v>30</v>
      </c>
      <c r="G35">
        <f t="shared" ref="G35:G60" si="29">E35*F35/0.004</f>
        <v>750000000</v>
      </c>
      <c r="H35">
        <f t="shared" ref="H35:H39" si="30">10^4</f>
        <v>10000</v>
      </c>
      <c r="I35">
        <v>37</v>
      </c>
      <c r="J35">
        <f t="shared" ref="J35:J39" si="31">H35*I35/0.004</f>
        <v>92500000</v>
      </c>
      <c r="L35">
        <f t="shared" ref="L35:L39" si="32">J35</f>
        <v>92500000</v>
      </c>
      <c r="M35">
        <f t="shared" ref="M35:M39" si="33">G35-J35</f>
        <v>657500000</v>
      </c>
      <c r="N35">
        <f t="shared" ref="N35:N39" si="34">M35/L35</f>
        <v>7.1081081081081079</v>
      </c>
      <c r="R35" t="s">
        <v>79</v>
      </c>
      <c r="S35" t="s">
        <v>89</v>
      </c>
      <c r="T35" t="s">
        <v>83</v>
      </c>
      <c r="U35">
        <f t="shared" si="27"/>
        <v>1.4606968039159227</v>
      </c>
      <c r="Z35" t="s">
        <v>98</v>
      </c>
      <c r="AA35">
        <f>AVERAGE(U41:U46)</f>
        <v>1.6240252050448278</v>
      </c>
      <c r="AB35">
        <f>STDEV(U41:U46)/SQRT(6)</f>
        <v>0.19286543017223098</v>
      </c>
    </row>
    <row r="36" spans="2:45" x14ac:dyDescent="0.2">
      <c r="B36" t="s">
        <v>66</v>
      </c>
      <c r="C36" t="s">
        <v>81</v>
      </c>
      <c r="D36" t="s">
        <v>84</v>
      </c>
      <c r="E36">
        <f t="shared" si="28"/>
        <v>100000</v>
      </c>
      <c r="F36">
        <v>29</v>
      </c>
      <c r="G36">
        <f t="shared" si="29"/>
        <v>725000000</v>
      </c>
      <c r="H36">
        <f t="shared" si="30"/>
        <v>10000</v>
      </c>
      <c r="I36">
        <v>33</v>
      </c>
      <c r="J36">
        <f t="shared" si="31"/>
        <v>82500000</v>
      </c>
      <c r="L36">
        <f t="shared" si="32"/>
        <v>82500000</v>
      </c>
      <c r="M36">
        <f t="shared" si="33"/>
        <v>642500000</v>
      </c>
      <c r="N36">
        <f t="shared" si="34"/>
        <v>7.7878787878787881</v>
      </c>
      <c r="R36" t="s">
        <v>79</v>
      </c>
      <c r="S36" t="s">
        <v>89</v>
      </c>
      <c r="T36" t="s">
        <v>84</v>
      </c>
      <c r="U36">
        <f t="shared" si="27"/>
        <v>1.8169014084507042</v>
      </c>
    </row>
    <row r="37" spans="2:45" x14ac:dyDescent="0.2">
      <c r="B37" t="s">
        <v>66</v>
      </c>
      <c r="C37" t="s">
        <v>81</v>
      </c>
      <c r="D37" t="s">
        <v>85</v>
      </c>
      <c r="E37">
        <f t="shared" si="28"/>
        <v>100000</v>
      </c>
      <c r="F37">
        <v>32</v>
      </c>
      <c r="G37">
        <f t="shared" si="29"/>
        <v>800000000</v>
      </c>
      <c r="H37">
        <f t="shared" si="30"/>
        <v>10000</v>
      </c>
      <c r="I37">
        <v>36</v>
      </c>
      <c r="J37">
        <f t="shared" si="31"/>
        <v>90000000</v>
      </c>
      <c r="L37">
        <f t="shared" si="32"/>
        <v>90000000</v>
      </c>
      <c r="M37">
        <f t="shared" si="33"/>
        <v>710000000</v>
      </c>
      <c r="N37">
        <f t="shared" si="34"/>
        <v>7.8888888888888893</v>
      </c>
      <c r="R37" t="s">
        <v>79</v>
      </c>
      <c r="S37" t="s">
        <v>89</v>
      </c>
      <c r="T37" t="s">
        <v>85</v>
      </c>
      <c r="U37">
        <f t="shared" si="27"/>
        <v>1.0678294573643412</v>
      </c>
      <c r="Z37" t="s">
        <v>100</v>
      </c>
      <c r="AA37">
        <f>AVERAGE(U49:U54)</f>
        <v>13.889038931288908</v>
      </c>
      <c r="AB37">
        <f>STDEV(U49:U54)/SQRT(6)</f>
        <v>1.8826304130015437</v>
      </c>
    </row>
    <row r="38" spans="2:45" x14ac:dyDescent="0.2">
      <c r="B38" t="s">
        <v>66</v>
      </c>
      <c r="C38" t="s">
        <v>81</v>
      </c>
      <c r="D38" t="s">
        <v>86</v>
      </c>
      <c r="E38">
        <f t="shared" si="28"/>
        <v>100000</v>
      </c>
      <c r="F38">
        <v>37</v>
      </c>
      <c r="G38">
        <f t="shared" si="29"/>
        <v>925000000</v>
      </c>
      <c r="H38">
        <f t="shared" si="30"/>
        <v>10000</v>
      </c>
      <c r="I38">
        <v>47</v>
      </c>
      <c r="J38">
        <f t="shared" si="31"/>
        <v>117500000</v>
      </c>
      <c r="L38">
        <f t="shared" si="32"/>
        <v>117500000</v>
      </c>
      <c r="M38">
        <f t="shared" si="33"/>
        <v>807500000</v>
      </c>
      <c r="N38">
        <f t="shared" si="34"/>
        <v>6.8723404255319149</v>
      </c>
      <c r="R38" t="s">
        <v>79</v>
      </c>
      <c r="S38" t="s">
        <v>89</v>
      </c>
      <c r="T38" t="s">
        <v>86</v>
      </c>
      <c r="U38">
        <f t="shared" si="27"/>
        <v>0.9884576540181792</v>
      </c>
      <c r="Z38" t="s">
        <v>101</v>
      </c>
      <c r="AA38">
        <f>AVERAGE(U56:U61)</f>
        <v>1.4142823781421476</v>
      </c>
      <c r="AB38">
        <f>STDEV(U56:U61)/SQRT(6)</f>
        <v>0.16853655083982463</v>
      </c>
    </row>
    <row r="39" spans="2:45" x14ac:dyDescent="0.2">
      <c r="B39" t="s">
        <v>66</v>
      </c>
      <c r="C39" t="s">
        <v>81</v>
      </c>
      <c r="D39" t="s">
        <v>87</v>
      </c>
      <c r="E39">
        <f t="shared" si="28"/>
        <v>100000</v>
      </c>
      <c r="F39">
        <v>35</v>
      </c>
      <c r="G39">
        <f t="shared" si="29"/>
        <v>875000000</v>
      </c>
      <c r="H39">
        <f t="shared" si="30"/>
        <v>10000</v>
      </c>
      <c r="I39">
        <v>42</v>
      </c>
      <c r="J39">
        <f t="shared" si="31"/>
        <v>105000000</v>
      </c>
      <c r="L39">
        <f t="shared" si="32"/>
        <v>105000000</v>
      </c>
      <c r="M39">
        <f t="shared" si="33"/>
        <v>770000000</v>
      </c>
      <c r="N39">
        <f t="shared" si="34"/>
        <v>7.333333333333333</v>
      </c>
      <c r="R39" t="s">
        <v>79</v>
      </c>
      <c r="S39" t="s">
        <v>89</v>
      </c>
      <c r="T39" t="s">
        <v>87</v>
      </c>
      <c r="U39">
        <f t="shared" si="27"/>
        <v>1.2506510416666665</v>
      </c>
      <c r="Z39" t="s">
        <v>102</v>
      </c>
      <c r="AA39">
        <f>AVERAGE(U63:U68)</f>
        <v>1.4011516735457403</v>
      </c>
      <c r="AB39">
        <f>STDEV(U63:U68)/SQRT(6)</f>
        <v>6.3236926479774885E-2</v>
      </c>
    </row>
    <row r="40" spans="2:45" x14ac:dyDescent="0.2">
      <c r="Z40" t="s">
        <v>103</v>
      </c>
      <c r="AA40">
        <f>AVERAGE(U70:U75)</f>
        <v>1.2303609093972747</v>
      </c>
      <c r="AB40">
        <f>STDEV(U70:U75)/SQRT(6)</f>
        <v>0.13796555434962884</v>
      </c>
    </row>
    <row r="41" spans="2:45" x14ac:dyDescent="0.2">
      <c r="B41" t="s">
        <v>66</v>
      </c>
      <c r="C41" t="s">
        <v>91</v>
      </c>
      <c r="D41" t="s">
        <v>82</v>
      </c>
      <c r="E41">
        <f>10^5</f>
        <v>100000</v>
      </c>
      <c r="F41">
        <v>33</v>
      </c>
      <c r="G41">
        <f t="shared" si="29"/>
        <v>825000000</v>
      </c>
      <c r="H41">
        <f>10^4</f>
        <v>10000</v>
      </c>
      <c r="I41">
        <v>37</v>
      </c>
      <c r="J41">
        <f t="shared" ref="J41:J59" si="35">H41*I41/0.004</f>
        <v>92500000</v>
      </c>
      <c r="L41">
        <f t="shared" ref="L41:L46" si="36">J41</f>
        <v>92500000</v>
      </c>
      <c r="M41">
        <f t="shared" ref="M41:M46" si="37">G41-J41</f>
        <v>732500000</v>
      </c>
      <c r="N41">
        <f t="shared" ref="N41:N46" si="38">M41/L41</f>
        <v>7.9189189189189193</v>
      </c>
      <c r="R41" t="s">
        <v>79</v>
      </c>
      <c r="S41" t="s">
        <v>90</v>
      </c>
      <c r="T41" s="1" t="s">
        <v>82</v>
      </c>
      <c r="U41">
        <f t="shared" ref="U41:U46" si="39">N85/N26</f>
        <v>2.3954741379310343</v>
      </c>
    </row>
    <row r="42" spans="2:45" x14ac:dyDescent="0.2">
      <c r="B42" t="s">
        <v>66</v>
      </c>
      <c r="C42" t="s">
        <v>91</v>
      </c>
      <c r="D42" t="s">
        <v>83</v>
      </c>
      <c r="E42">
        <f t="shared" ref="E42:E46" si="40">10^5</f>
        <v>100000</v>
      </c>
      <c r="F42">
        <v>32</v>
      </c>
      <c r="G42">
        <f t="shared" si="29"/>
        <v>800000000</v>
      </c>
      <c r="H42">
        <f t="shared" ref="H42:H46" si="41">10^4</f>
        <v>10000</v>
      </c>
      <c r="I42">
        <v>34</v>
      </c>
      <c r="J42">
        <f t="shared" si="35"/>
        <v>85000000</v>
      </c>
      <c r="L42">
        <f t="shared" si="36"/>
        <v>85000000</v>
      </c>
      <c r="M42">
        <f t="shared" si="37"/>
        <v>715000000</v>
      </c>
      <c r="N42">
        <f t="shared" si="38"/>
        <v>8.4117647058823533</v>
      </c>
      <c r="R42" t="s">
        <v>79</v>
      </c>
      <c r="S42" t="s">
        <v>90</v>
      </c>
      <c r="T42" s="1" t="s">
        <v>83</v>
      </c>
      <c r="U42">
        <f t="shared" si="39"/>
        <v>1.8849557522123892</v>
      </c>
    </row>
    <row r="43" spans="2:45" x14ac:dyDescent="0.2">
      <c r="B43" t="s">
        <v>66</v>
      </c>
      <c r="C43" t="s">
        <v>91</v>
      </c>
      <c r="D43" t="s">
        <v>84</v>
      </c>
      <c r="E43">
        <f t="shared" si="40"/>
        <v>100000</v>
      </c>
      <c r="F43">
        <v>29</v>
      </c>
      <c r="G43">
        <f t="shared" si="29"/>
        <v>725000000</v>
      </c>
      <c r="H43">
        <f t="shared" si="41"/>
        <v>10000</v>
      </c>
      <c r="I43">
        <v>42</v>
      </c>
      <c r="J43">
        <f t="shared" si="35"/>
        <v>105000000</v>
      </c>
      <c r="L43">
        <f t="shared" si="36"/>
        <v>105000000</v>
      </c>
      <c r="M43">
        <f t="shared" si="37"/>
        <v>620000000</v>
      </c>
      <c r="N43">
        <f t="shared" si="38"/>
        <v>5.9047619047619051</v>
      </c>
      <c r="R43" t="s">
        <v>79</v>
      </c>
      <c r="S43" t="s">
        <v>90</v>
      </c>
      <c r="T43" s="1" t="s">
        <v>84</v>
      </c>
      <c r="U43">
        <f t="shared" si="39"/>
        <v>1.3624901497241921</v>
      </c>
    </row>
    <row r="44" spans="2:45" x14ac:dyDescent="0.2">
      <c r="B44" t="s">
        <v>66</v>
      </c>
      <c r="C44" t="s">
        <v>91</v>
      </c>
      <c r="D44" t="s">
        <v>85</v>
      </c>
      <c r="E44">
        <f t="shared" si="40"/>
        <v>100000</v>
      </c>
      <c r="F44">
        <v>41</v>
      </c>
      <c r="G44">
        <f t="shared" si="29"/>
        <v>1025000000</v>
      </c>
      <c r="H44">
        <f t="shared" si="41"/>
        <v>10000</v>
      </c>
      <c r="I44">
        <v>37</v>
      </c>
      <c r="J44">
        <f t="shared" si="35"/>
        <v>92500000</v>
      </c>
      <c r="L44">
        <f t="shared" si="36"/>
        <v>92500000</v>
      </c>
      <c r="M44">
        <f t="shared" si="37"/>
        <v>932500000</v>
      </c>
      <c r="N44">
        <f t="shared" si="38"/>
        <v>10.081081081081081</v>
      </c>
      <c r="R44" t="s">
        <v>79</v>
      </c>
      <c r="S44" t="s">
        <v>90</v>
      </c>
      <c r="T44" s="1" t="s">
        <v>85</v>
      </c>
      <c r="U44">
        <f t="shared" si="39"/>
        <v>1.0211726384364821</v>
      </c>
    </row>
    <row r="45" spans="2:45" x14ac:dyDescent="0.2">
      <c r="B45" t="s">
        <v>66</v>
      </c>
      <c r="C45" t="s">
        <v>91</v>
      </c>
      <c r="D45" t="s">
        <v>86</v>
      </c>
      <c r="E45">
        <f t="shared" si="40"/>
        <v>100000</v>
      </c>
      <c r="F45">
        <v>33</v>
      </c>
      <c r="G45">
        <f t="shared" si="29"/>
        <v>825000000</v>
      </c>
      <c r="H45">
        <f t="shared" si="41"/>
        <v>10000</v>
      </c>
      <c r="I45">
        <v>39</v>
      </c>
      <c r="J45">
        <f t="shared" si="35"/>
        <v>97500000</v>
      </c>
      <c r="L45">
        <f t="shared" si="36"/>
        <v>97500000</v>
      </c>
      <c r="M45">
        <f t="shared" si="37"/>
        <v>727500000</v>
      </c>
      <c r="N45">
        <f t="shared" si="38"/>
        <v>7.4615384615384617</v>
      </c>
      <c r="R45" t="s">
        <v>79</v>
      </c>
      <c r="S45" t="s">
        <v>90</v>
      </c>
      <c r="T45" s="1" t="s">
        <v>86</v>
      </c>
      <c r="U45">
        <f t="shared" si="39"/>
        <v>1.5981308411214952</v>
      </c>
    </row>
    <row r="46" spans="2:45" x14ac:dyDescent="0.2">
      <c r="B46" t="s">
        <v>66</v>
      </c>
      <c r="C46" t="s">
        <v>91</v>
      </c>
      <c r="D46" t="s">
        <v>87</v>
      </c>
      <c r="E46">
        <f t="shared" si="40"/>
        <v>100000</v>
      </c>
      <c r="F46">
        <v>36</v>
      </c>
      <c r="G46">
        <f t="shared" si="29"/>
        <v>900000000</v>
      </c>
      <c r="H46">
        <f t="shared" si="41"/>
        <v>10000</v>
      </c>
      <c r="I46">
        <v>34</v>
      </c>
      <c r="J46">
        <f t="shared" si="35"/>
        <v>85000000</v>
      </c>
      <c r="L46">
        <f t="shared" si="36"/>
        <v>85000000</v>
      </c>
      <c r="M46">
        <f t="shared" si="37"/>
        <v>815000000</v>
      </c>
      <c r="N46">
        <f t="shared" si="38"/>
        <v>9.5882352941176467</v>
      </c>
      <c r="R46" t="s">
        <v>79</v>
      </c>
      <c r="S46" t="s">
        <v>90</v>
      </c>
      <c r="T46" s="1" t="s">
        <v>87</v>
      </c>
      <c r="U46">
        <f t="shared" si="39"/>
        <v>1.4819277108433735</v>
      </c>
      <c r="Z46" s="45" t="s">
        <v>423</v>
      </c>
      <c r="AA46" s="46" t="s">
        <v>424</v>
      </c>
      <c r="AB46" s="46"/>
      <c r="AC46" s="46"/>
      <c r="AD46" s="46"/>
      <c r="AE46" s="46"/>
      <c r="AF46" s="2"/>
      <c r="AG46" s="2"/>
      <c r="AH46" s="3"/>
      <c r="AK46" s="45" t="s">
        <v>423</v>
      </c>
      <c r="AL46" s="46" t="s">
        <v>424</v>
      </c>
      <c r="AM46" s="46"/>
      <c r="AN46" s="46"/>
      <c r="AO46" s="46"/>
      <c r="AP46" s="46"/>
      <c r="AQ46" s="2"/>
      <c r="AR46" s="2"/>
      <c r="AS46" s="3"/>
    </row>
    <row r="47" spans="2:45" x14ac:dyDescent="0.2">
      <c r="Z47" s="47"/>
      <c r="AA47" s="43"/>
      <c r="AB47" s="43"/>
      <c r="AC47" s="43"/>
      <c r="AD47" s="43"/>
      <c r="AE47" s="43"/>
      <c r="AH47" s="5"/>
      <c r="AK47" s="47"/>
      <c r="AL47" s="43"/>
      <c r="AM47" s="43"/>
      <c r="AN47" s="43"/>
      <c r="AO47" s="43"/>
      <c r="AP47" s="43"/>
      <c r="AS47" s="5"/>
    </row>
    <row r="48" spans="2:45" x14ac:dyDescent="0.2">
      <c r="B48" t="s">
        <v>92</v>
      </c>
      <c r="C48" t="s">
        <v>81</v>
      </c>
      <c r="D48" t="s">
        <v>82</v>
      </c>
      <c r="E48">
        <f>10^5</f>
        <v>100000</v>
      </c>
      <c r="F48">
        <v>27</v>
      </c>
      <c r="G48">
        <f t="shared" si="29"/>
        <v>675000000</v>
      </c>
      <c r="H48">
        <f>10^4</f>
        <v>10000</v>
      </c>
      <c r="I48">
        <v>33</v>
      </c>
      <c r="J48">
        <f t="shared" ref="J48" si="42">H48*I48/0.004</f>
        <v>82500000</v>
      </c>
      <c r="L48">
        <f t="shared" ref="L48:L53" si="43">J48</f>
        <v>82500000</v>
      </c>
      <c r="M48">
        <f t="shared" ref="M48:M53" si="44">G48-J48</f>
        <v>592500000</v>
      </c>
      <c r="N48">
        <f t="shared" ref="N48:N53" si="45">M48/L48</f>
        <v>7.1818181818181817</v>
      </c>
      <c r="Z48" s="47" t="s">
        <v>422</v>
      </c>
      <c r="AA48" s="43" t="s">
        <v>425</v>
      </c>
      <c r="AB48" s="43"/>
      <c r="AC48" s="43"/>
      <c r="AD48" s="43"/>
      <c r="AE48" s="43"/>
      <c r="AH48" s="5"/>
      <c r="AK48" s="47" t="s">
        <v>422</v>
      </c>
      <c r="AL48" s="43" t="s">
        <v>425</v>
      </c>
      <c r="AM48" s="43"/>
      <c r="AN48" s="43"/>
      <c r="AO48" s="43"/>
      <c r="AP48" s="43"/>
      <c r="AS48" s="5"/>
    </row>
    <row r="49" spans="1:45" x14ac:dyDescent="0.2">
      <c r="B49" t="s">
        <v>92</v>
      </c>
      <c r="C49" t="s">
        <v>81</v>
      </c>
      <c r="D49" t="s">
        <v>83</v>
      </c>
      <c r="E49">
        <f t="shared" ref="E49:E53" si="46">10^5</f>
        <v>100000</v>
      </c>
      <c r="F49">
        <v>29</v>
      </c>
      <c r="G49">
        <f t="shared" si="29"/>
        <v>725000000</v>
      </c>
      <c r="H49">
        <f t="shared" ref="H49:H53" si="47">10^4</f>
        <v>10000</v>
      </c>
      <c r="I49">
        <v>36</v>
      </c>
      <c r="J49">
        <f t="shared" si="35"/>
        <v>90000000</v>
      </c>
      <c r="L49">
        <f t="shared" si="43"/>
        <v>90000000</v>
      </c>
      <c r="M49">
        <f t="shared" si="44"/>
        <v>635000000</v>
      </c>
      <c r="N49">
        <f t="shared" si="45"/>
        <v>7.0555555555555554</v>
      </c>
      <c r="R49" t="s">
        <v>66</v>
      </c>
      <c r="S49" t="s">
        <v>81</v>
      </c>
      <c r="T49" s="1" t="s">
        <v>82</v>
      </c>
      <c r="U49">
        <f>N92/N34</f>
        <v>12.937669376693766</v>
      </c>
      <c r="Z49" s="47" t="s">
        <v>397</v>
      </c>
      <c r="AA49" s="43">
        <v>0.05</v>
      </c>
      <c r="AB49" s="43"/>
      <c r="AC49" s="43"/>
      <c r="AD49" s="43"/>
      <c r="AE49" s="43"/>
      <c r="AH49" s="5"/>
      <c r="AK49" s="47" t="s">
        <v>397</v>
      </c>
      <c r="AL49" s="43">
        <v>0.05</v>
      </c>
      <c r="AM49" s="43"/>
      <c r="AN49" s="43"/>
      <c r="AO49" s="43"/>
      <c r="AP49" s="43"/>
      <c r="AS49" s="5"/>
    </row>
    <row r="50" spans="1:45" x14ac:dyDescent="0.2">
      <c r="B50" t="s">
        <v>92</v>
      </c>
      <c r="C50" t="s">
        <v>81</v>
      </c>
      <c r="D50" t="s">
        <v>84</v>
      </c>
      <c r="E50">
        <f t="shared" si="46"/>
        <v>100000</v>
      </c>
      <c r="F50">
        <v>31</v>
      </c>
      <c r="G50">
        <f t="shared" si="29"/>
        <v>775000000</v>
      </c>
      <c r="H50">
        <f t="shared" si="47"/>
        <v>10000</v>
      </c>
      <c r="I50">
        <v>32</v>
      </c>
      <c r="J50">
        <f t="shared" si="35"/>
        <v>80000000</v>
      </c>
      <c r="L50">
        <f t="shared" si="43"/>
        <v>80000000</v>
      </c>
      <c r="M50">
        <f t="shared" si="44"/>
        <v>695000000</v>
      </c>
      <c r="N50">
        <f t="shared" si="45"/>
        <v>8.6875</v>
      </c>
      <c r="R50" t="s">
        <v>66</v>
      </c>
      <c r="S50" t="s">
        <v>81</v>
      </c>
      <c r="T50" s="1" t="s">
        <v>83</v>
      </c>
      <c r="U50">
        <f t="shared" ref="U50:U54" si="48">N93/N35</f>
        <v>10.751011897461058</v>
      </c>
      <c r="Z50" s="47"/>
      <c r="AA50" s="43"/>
      <c r="AB50" s="43"/>
      <c r="AC50" s="43"/>
      <c r="AD50" s="43"/>
      <c r="AE50" s="43"/>
      <c r="AH50" s="5"/>
      <c r="AK50" s="47"/>
      <c r="AL50" s="43"/>
      <c r="AM50" s="43"/>
      <c r="AN50" s="43"/>
      <c r="AO50" s="43"/>
      <c r="AP50" s="43"/>
      <c r="AS50" s="5"/>
    </row>
    <row r="51" spans="1:45" x14ac:dyDescent="0.2">
      <c r="B51" t="s">
        <v>92</v>
      </c>
      <c r="C51" t="s">
        <v>81</v>
      </c>
      <c r="D51" t="s">
        <v>85</v>
      </c>
      <c r="E51">
        <f t="shared" si="46"/>
        <v>100000</v>
      </c>
      <c r="F51">
        <v>22</v>
      </c>
      <c r="G51">
        <f t="shared" si="29"/>
        <v>550000000</v>
      </c>
      <c r="H51">
        <f t="shared" si="47"/>
        <v>10000</v>
      </c>
      <c r="I51">
        <v>36</v>
      </c>
      <c r="J51">
        <f t="shared" si="35"/>
        <v>90000000</v>
      </c>
      <c r="L51">
        <f t="shared" si="43"/>
        <v>90000000</v>
      </c>
      <c r="M51">
        <f t="shared" si="44"/>
        <v>460000000</v>
      </c>
      <c r="N51">
        <f t="shared" si="45"/>
        <v>5.1111111111111107</v>
      </c>
      <c r="R51" t="s">
        <v>66</v>
      </c>
      <c r="S51" t="s">
        <v>81</v>
      </c>
      <c r="T51" s="1" t="s">
        <v>84</v>
      </c>
      <c r="U51">
        <f t="shared" si="48"/>
        <v>14.945186939604127</v>
      </c>
      <c r="Z51" s="47" t="s">
        <v>426</v>
      </c>
      <c r="AA51" s="43" t="s">
        <v>427</v>
      </c>
      <c r="AB51" s="43" t="s">
        <v>428</v>
      </c>
      <c r="AC51" s="43" t="s">
        <v>429</v>
      </c>
      <c r="AD51" s="43" t="s">
        <v>430</v>
      </c>
      <c r="AE51" s="43"/>
      <c r="AH51" s="5"/>
      <c r="AK51" s="47" t="s">
        <v>426</v>
      </c>
      <c r="AL51" s="43" t="s">
        <v>427</v>
      </c>
      <c r="AM51" s="43" t="s">
        <v>428</v>
      </c>
      <c r="AN51" s="43" t="s">
        <v>429</v>
      </c>
      <c r="AO51" s="43" t="s">
        <v>430</v>
      </c>
      <c r="AP51" s="43"/>
      <c r="AS51" s="5"/>
    </row>
    <row r="52" spans="1:45" x14ac:dyDescent="0.2">
      <c r="B52" t="s">
        <v>92</v>
      </c>
      <c r="C52" t="s">
        <v>81</v>
      </c>
      <c r="D52" t="s">
        <v>86</v>
      </c>
      <c r="E52">
        <f t="shared" si="46"/>
        <v>100000</v>
      </c>
      <c r="F52">
        <v>33</v>
      </c>
      <c r="G52">
        <f t="shared" si="29"/>
        <v>825000000</v>
      </c>
      <c r="H52">
        <f t="shared" si="47"/>
        <v>10000</v>
      </c>
      <c r="I52">
        <v>38</v>
      </c>
      <c r="J52">
        <f t="shared" si="35"/>
        <v>95000000</v>
      </c>
      <c r="L52">
        <f t="shared" si="43"/>
        <v>95000000</v>
      </c>
      <c r="M52">
        <f t="shared" si="44"/>
        <v>730000000</v>
      </c>
      <c r="N52">
        <f t="shared" si="45"/>
        <v>7.6842105263157894</v>
      </c>
      <c r="R52" t="s">
        <v>66</v>
      </c>
      <c r="S52" t="s">
        <v>81</v>
      </c>
      <c r="T52" s="1" t="s">
        <v>85</v>
      </c>
      <c r="U52">
        <f t="shared" si="48"/>
        <v>22.69014084507042</v>
      </c>
      <c r="Z52" s="47" t="s">
        <v>431</v>
      </c>
      <c r="AA52" s="43">
        <v>1.994</v>
      </c>
      <c r="AB52" s="43">
        <v>0.54849999999999999</v>
      </c>
      <c r="AC52" s="43" t="s">
        <v>323</v>
      </c>
      <c r="AD52" s="43" t="s">
        <v>413</v>
      </c>
      <c r="AE52" s="43"/>
      <c r="AH52" s="5"/>
      <c r="AK52" s="47" t="s">
        <v>431</v>
      </c>
      <c r="AL52" s="43">
        <v>4.3970000000000002</v>
      </c>
      <c r="AM52" s="43">
        <v>0.54259999999999997</v>
      </c>
      <c r="AN52" s="43" t="s">
        <v>323</v>
      </c>
      <c r="AO52" s="43" t="s">
        <v>413</v>
      </c>
      <c r="AP52" s="43"/>
      <c r="AS52" s="5"/>
    </row>
    <row r="53" spans="1:45" x14ac:dyDescent="0.2">
      <c r="B53" t="s">
        <v>92</v>
      </c>
      <c r="C53" t="s">
        <v>81</v>
      </c>
      <c r="D53" t="s">
        <v>87</v>
      </c>
      <c r="E53">
        <f t="shared" si="46"/>
        <v>100000</v>
      </c>
      <c r="F53">
        <v>31</v>
      </c>
      <c r="G53">
        <f t="shared" si="29"/>
        <v>775000000</v>
      </c>
      <c r="H53">
        <f t="shared" si="47"/>
        <v>10000</v>
      </c>
      <c r="I53">
        <v>42</v>
      </c>
      <c r="J53">
        <f t="shared" si="35"/>
        <v>105000000</v>
      </c>
      <c r="L53">
        <f t="shared" si="43"/>
        <v>105000000</v>
      </c>
      <c r="M53">
        <f t="shared" si="44"/>
        <v>670000000</v>
      </c>
      <c r="N53">
        <f t="shared" si="45"/>
        <v>6.3809523809523814</v>
      </c>
      <c r="R53" t="s">
        <v>66</v>
      </c>
      <c r="S53" t="s">
        <v>81</v>
      </c>
      <c r="T53" s="1" t="s">
        <v>86</v>
      </c>
      <c r="U53">
        <f t="shared" si="48"/>
        <v>10.576340231383412</v>
      </c>
      <c r="Z53" s="47" t="s">
        <v>432</v>
      </c>
      <c r="AA53" s="43">
        <v>93.28</v>
      </c>
      <c r="AB53" s="43" t="s">
        <v>408</v>
      </c>
      <c r="AC53" s="43" t="s">
        <v>407</v>
      </c>
      <c r="AD53" s="43" t="s">
        <v>406</v>
      </c>
      <c r="AE53" s="43"/>
      <c r="AH53" s="5"/>
      <c r="AK53" s="47" t="s">
        <v>432</v>
      </c>
      <c r="AL53" s="43">
        <v>85.31</v>
      </c>
      <c r="AM53" s="43" t="s">
        <v>408</v>
      </c>
      <c r="AN53" s="43" t="s">
        <v>407</v>
      </c>
      <c r="AO53" s="43" t="s">
        <v>406</v>
      </c>
      <c r="AP53" s="43"/>
      <c r="AS53" s="5"/>
    </row>
    <row r="54" spans="1:45" x14ac:dyDescent="0.2">
      <c r="R54" t="s">
        <v>66</v>
      </c>
      <c r="S54" t="s">
        <v>81</v>
      </c>
      <c r="T54" s="1" t="s">
        <v>87</v>
      </c>
      <c r="U54">
        <f t="shared" si="48"/>
        <v>11.433884297520661</v>
      </c>
      <c r="Z54" s="47"/>
      <c r="AA54" s="43"/>
      <c r="AB54" s="43"/>
      <c r="AC54" s="43"/>
      <c r="AD54" s="43"/>
      <c r="AE54" s="43"/>
      <c r="AH54" s="5"/>
      <c r="AK54" s="47"/>
      <c r="AL54" s="43"/>
      <c r="AM54" s="43"/>
      <c r="AN54" s="43"/>
      <c r="AO54" s="43"/>
      <c r="AP54" s="43"/>
      <c r="AS54" s="5"/>
    </row>
    <row r="55" spans="1:45" x14ac:dyDescent="0.2">
      <c r="B55" t="s">
        <v>92</v>
      </c>
      <c r="C55" t="s">
        <v>91</v>
      </c>
      <c r="D55" t="s">
        <v>82</v>
      </c>
      <c r="E55">
        <f>10^5</f>
        <v>100000</v>
      </c>
      <c r="F55">
        <v>28</v>
      </c>
      <c r="G55">
        <f t="shared" si="29"/>
        <v>700000000</v>
      </c>
      <c r="H55">
        <f>10^4</f>
        <v>10000</v>
      </c>
      <c r="I55">
        <v>28</v>
      </c>
      <c r="J55">
        <f t="shared" ref="J55" si="49">H55*I55/0.004</f>
        <v>70000000</v>
      </c>
      <c r="L55">
        <f t="shared" ref="L55:L60" si="50">J55</f>
        <v>70000000</v>
      </c>
      <c r="M55">
        <f t="shared" ref="M55:M60" si="51">G55-J55</f>
        <v>630000000</v>
      </c>
      <c r="N55">
        <f t="shared" ref="N55:N60" si="52">M55/L55</f>
        <v>9</v>
      </c>
      <c r="Z55" s="47" t="s">
        <v>433</v>
      </c>
      <c r="AA55" s="43" t="s">
        <v>434</v>
      </c>
      <c r="AB55" s="43" t="s">
        <v>421</v>
      </c>
      <c r="AC55" s="43" t="s">
        <v>435</v>
      </c>
      <c r="AD55" s="43" t="s">
        <v>436</v>
      </c>
      <c r="AE55" s="43" t="s">
        <v>428</v>
      </c>
      <c r="AH55" s="5"/>
      <c r="AK55" s="47" t="s">
        <v>433</v>
      </c>
      <c r="AL55" s="43" t="s">
        <v>434</v>
      </c>
      <c r="AM55" s="43" t="s">
        <v>421</v>
      </c>
      <c r="AN55" s="43" t="s">
        <v>435</v>
      </c>
      <c r="AO55" s="43" t="s">
        <v>436</v>
      </c>
      <c r="AP55" s="43" t="s">
        <v>428</v>
      </c>
      <c r="AS55" s="5"/>
    </row>
    <row r="56" spans="1:45" x14ac:dyDescent="0.2">
      <c r="B56" t="s">
        <v>92</v>
      </c>
      <c r="C56" t="s">
        <v>91</v>
      </c>
      <c r="D56" t="s">
        <v>83</v>
      </c>
      <c r="E56">
        <f t="shared" ref="E56:E60" si="53">10^5</f>
        <v>100000</v>
      </c>
      <c r="F56">
        <v>27</v>
      </c>
      <c r="G56">
        <f t="shared" si="29"/>
        <v>675000000</v>
      </c>
      <c r="H56">
        <f t="shared" ref="H56:H60" si="54">10^4</f>
        <v>10000</v>
      </c>
      <c r="I56">
        <v>36</v>
      </c>
      <c r="J56">
        <f t="shared" si="35"/>
        <v>90000000</v>
      </c>
      <c r="L56">
        <f t="shared" si="50"/>
        <v>90000000</v>
      </c>
      <c r="M56">
        <f t="shared" si="51"/>
        <v>585000000</v>
      </c>
      <c r="N56">
        <f t="shared" si="52"/>
        <v>6.5</v>
      </c>
      <c r="R56" t="s">
        <v>66</v>
      </c>
      <c r="S56" t="s">
        <v>91</v>
      </c>
      <c r="T56" s="1" t="s">
        <v>82</v>
      </c>
      <c r="U56">
        <f t="shared" ref="U56:U74" si="55">N99/N41</f>
        <v>1.8100113765642776</v>
      </c>
      <c r="Z56" s="47" t="s">
        <v>431</v>
      </c>
      <c r="AA56" s="43">
        <v>4.7220000000000004</v>
      </c>
      <c r="AB56" s="43">
        <v>5</v>
      </c>
      <c r="AC56" s="43">
        <v>0.94450000000000001</v>
      </c>
      <c r="AD56" s="43" t="s">
        <v>437</v>
      </c>
      <c r="AE56" s="43" t="s">
        <v>438</v>
      </c>
      <c r="AH56" s="5"/>
      <c r="AK56" s="47" t="s">
        <v>431</v>
      </c>
      <c r="AL56" s="43">
        <v>32.11</v>
      </c>
      <c r="AM56" s="43">
        <v>5</v>
      </c>
      <c r="AN56" s="43">
        <v>6.423</v>
      </c>
      <c r="AO56" s="43" t="s">
        <v>446</v>
      </c>
      <c r="AP56" s="43" t="s">
        <v>447</v>
      </c>
      <c r="AS56" s="5"/>
    </row>
    <row r="57" spans="1:45" x14ac:dyDescent="0.2">
      <c r="B57" t="s">
        <v>92</v>
      </c>
      <c r="C57" t="s">
        <v>91</v>
      </c>
      <c r="D57" t="s">
        <v>84</v>
      </c>
      <c r="E57">
        <f t="shared" si="53"/>
        <v>100000</v>
      </c>
      <c r="F57">
        <v>30</v>
      </c>
      <c r="G57">
        <f t="shared" si="29"/>
        <v>750000000</v>
      </c>
      <c r="H57">
        <f t="shared" si="54"/>
        <v>10000</v>
      </c>
      <c r="I57">
        <v>26</v>
      </c>
      <c r="J57">
        <f t="shared" si="35"/>
        <v>65000000</v>
      </c>
      <c r="L57">
        <f t="shared" si="50"/>
        <v>65000000</v>
      </c>
      <c r="M57">
        <f t="shared" si="51"/>
        <v>685000000</v>
      </c>
      <c r="N57">
        <f t="shared" si="52"/>
        <v>10.538461538461538</v>
      </c>
      <c r="R57" t="s">
        <v>66</v>
      </c>
      <c r="S57" t="s">
        <v>91</v>
      </c>
      <c r="T57" s="1" t="s">
        <v>83</v>
      </c>
      <c r="U57">
        <f t="shared" si="55"/>
        <v>1.6643356643356644</v>
      </c>
      <c r="Z57" s="47" t="s">
        <v>432</v>
      </c>
      <c r="AA57" s="43">
        <v>220.9</v>
      </c>
      <c r="AB57" s="43">
        <v>2</v>
      </c>
      <c r="AC57" s="43">
        <v>110.5</v>
      </c>
      <c r="AD57" s="43" t="s">
        <v>439</v>
      </c>
      <c r="AE57" s="43" t="s">
        <v>440</v>
      </c>
      <c r="AH57" s="5"/>
      <c r="AK57" s="47" t="s">
        <v>432</v>
      </c>
      <c r="AL57" s="43">
        <v>623.1</v>
      </c>
      <c r="AM57" s="43">
        <v>2</v>
      </c>
      <c r="AN57" s="43">
        <v>311.60000000000002</v>
      </c>
      <c r="AO57" s="43" t="s">
        <v>448</v>
      </c>
      <c r="AP57" s="43" t="s">
        <v>440</v>
      </c>
      <c r="AS57" s="5"/>
    </row>
    <row r="58" spans="1:45" x14ac:dyDescent="0.2">
      <c r="B58" t="s">
        <v>92</v>
      </c>
      <c r="C58" t="s">
        <v>91</v>
      </c>
      <c r="D58" t="s">
        <v>85</v>
      </c>
      <c r="E58">
        <f t="shared" si="53"/>
        <v>100000</v>
      </c>
      <c r="F58">
        <v>31</v>
      </c>
      <c r="G58">
        <f t="shared" si="29"/>
        <v>775000000</v>
      </c>
      <c r="H58">
        <f t="shared" si="54"/>
        <v>10000</v>
      </c>
      <c r="I58">
        <v>31</v>
      </c>
      <c r="J58">
        <f t="shared" si="35"/>
        <v>77500000</v>
      </c>
      <c r="L58">
        <f t="shared" si="50"/>
        <v>77500000</v>
      </c>
      <c r="M58">
        <f t="shared" si="51"/>
        <v>697500000</v>
      </c>
      <c r="N58">
        <f t="shared" si="52"/>
        <v>9</v>
      </c>
      <c r="R58" t="s">
        <v>66</v>
      </c>
      <c r="S58" t="s">
        <v>91</v>
      </c>
      <c r="T58" s="1" t="s">
        <v>84</v>
      </c>
      <c r="U58">
        <f t="shared" si="55"/>
        <v>1.7915959252971136</v>
      </c>
      <c r="Z58" s="47" t="s">
        <v>441</v>
      </c>
      <c r="AA58" s="43">
        <v>11.19</v>
      </c>
      <c r="AB58" s="43">
        <v>10</v>
      </c>
      <c r="AC58" s="43">
        <v>1.119</v>
      </c>
      <c r="AD58" s="43"/>
      <c r="AE58" s="43"/>
      <c r="AH58" s="5"/>
      <c r="AK58" s="47" t="s">
        <v>441</v>
      </c>
      <c r="AL58" s="43">
        <v>75.19</v>
      </c>
      <c r="AM58" s="43">
        <v>10</v>
      </c>
      <c r="AN58" s="43">
        <v>7.5190000000000001</v>
      </c>
      <c r="AO58" s="43"/>
      <c r="AP58" s="43"/>
      <c r="AS58" s="5"/>
    </row>
    <row r="59" spans="1:45" x14ac:dyDescent="0.2">
      <c r="B59" t="s">
        <v>92</v>
      </c>
      <c r="C59" t="s">
        <v>91</v>
      </c>
      <c r="D59" t="s">
        <v>86</v>
      </c>
      <c r="E59">
        <f t="shared" si="53"/>
        <v>100000</v>
      </c>
      <c r="F59">
        <v>31</v>
      </c>
      <c r="G59">
        <f t="shared" si="29"/>
        <v>775000000</v>
      </c>
      <c r="H59">
        <f t="shared" si="54"/>
        <v>10000</v>
      </c>
      <c r="I59">
        <v>38</v>
      </c>
      <c r="J59">
        <f t="shared" si="35"/>
        <v>95000000</v>
      </c>
      <c r="L59">
        <f t="shared" si="50"/>
        <v>95000000</v>
      </c>
      <c r="M59">
        <f t="shared" si="51"/>
        <v>680000000</v>
      </c>
      <c r="N59">
        <f t="shared" si="52"/>
        <v>7.1578947368421053</v>
      </c>
      <c r="R59" t="s">
        <v>66</v>
      </c>
      <c r="S59" t="s">
        <v>91</v>
      </c>
      <c r="T59" s="1" t="s">
        <v>85</v>
      </c>
      <c r="U59">
        <f t="shared" si="55"/>
        <v>0.76876675603217159</v>
      </c>
      <c r="Z59" s="47"/>
      <c r="AA59" s="43"/>
      <c r="AB59" s="43"/>
      <c r="AC59" s="43"/>
      <c r="AD59" s="43"/>
      <c r="AE59" s="43"/>
      <c r="AH59" s="5"/>
      <c r="AK59" s="47"/>
      <c r="AL59" s="43"/>
      <c r="AM59" s="43"/>
      <c r="AN59" s="43"/>
      <c r="AO59" s="43"/>
      <c r="AP59" s="43"/>
      <c r="AS59" s="5"/>
    </row>
    <row r="60" spans="1:45" x14ac:dyDescent="0.2">
      <c r="B60" t="s">
        <v>92</v>
      </c>
      <c r="C60" t="s">
        <v>91</v>
      </c>
      <c r="D60" t="s">
        <v>87</v>
      </c>
      <c r="E60">
        <f t="shared" si="53"/>
        <v>100000</v>
      </c>
      <c r="F60">
        <v>28</v>
      </c>
      <c r="G60">
        <f t="shared" si="29"/>
        <v>700000000</v>
      </c>
      <c r="H60">
        <f t="shared" si="54"/>
        <v>10000</v>
      </c>
      <c r="I60">
        <v>37</v>
      </c>
      <c r="J60">
        <f>H60*I60/0.004</f>
        <v>92500000</v>
      </c>
      <c r="L60">
        <f t="shared" si="50"/>
        <v>92500000</v>
      </c>
      <c r="M60">
        <f t="shared" si="51"/>
        <v>607500000</v>
      </c>
      <c r="N60">
        <f t="shared" si="52"/>
        <v>6.5675675675675675</v>
      </c>
      <c r="R60" t="s">
        <v>66</v>
      </c>
      <c r="S60" t="s">
        <v>91</v>
      </c>
      <c r="T60" s="1" t="s">
        <v>86</v>
      </c>
      <c r="U60">
        <f t="shared" si="55"/>
        <v>1.2620274914089347</v>
      </c>
      <c r="Z60" s="47" t="s">
        <v>442</v>
      </c>
      <c r="AA60" s="43"/>
      <c r="AB60" s="43"/>
      <c r="AC60" s="43"/>
      <c r="AD60" s="43"/>
      <c r="AE60" s="43"/>
      <c r="AH60" s="5"/>
      <c r="AK60" s="47" t="s">
        <v>442</v>
      </c>
      <c r="AL60" s="43"/>
      <c r="AM60" s="43"/>
      <c r="AN60" s="43"/>
      <c r="AO60" s="43"/>
      <c r="AP60" s="43"/>
      <c r="AS60" s="5"/>
    </row>
    <row r="61" spans="1:45" x14ac:dyDescent="0.2">
      <c r="R61" t="s">
        <v>66</v>
      </c>
      <c r="S61" t="s">
        <v>91</v>
      </c>
      <c r="T61" s="1" t="s">
        <v>87</v>
      </c>
      <c r="U61">
        <f t="shared" si="55"/>
        <v>1.1889570552147239</v>
      </c>
      <c r="Z61" s="47" t="s">
        <v>443</v>
      </c>
      <c r="AA61" s="43">
        <v>3</v>
      </c>
      <c r="AB61" s="43"/>
      <c r="AC61" s="43"/>
      <c r="AD61" s="43"/>
      <c r="AE61" s="43"/>
      <c r="AH61" s="5"/>
      <c r="AK61" s="47" t="s">
        <v>443</v>
      </c>
      <c r="AL61" s="43">
        <v>3</v>
      </c>
      <c r="AM61" s="43"/>
      <c r="AN61" s="43"/>
      <c r="AO61" s="43"/>
      <c r="AP61" s="43"/>
      <c r="AS61" s="5"/>
    </row>
    <row r="62" spans="1:45" x14ac:dyDescent="0.2">
      <c r="A62" t="s">
        <v>80</v>
      </c>
      <c r="F62" t="s">
        <v>55</v>
      </c>
      <c r="I62" t="s">
        <v>56</v>
      </c>
      <c r="Z62" s="47" t="s">
        <v>444</v>
      </c>
      <c r="AA62" s="43">
        <v>6</v>
      </c>
      <c r="AB62" s="43"/>
      <c r="AC62" s="43"/>
      <c r="AD62" s="43"/>
      <c r="AE62" s="43"/>
      <c r="AH62" s="5"/>
      <c r="AK62" s="47" t="s">
        <v>444</v>
      </c>
      <c r="AL62" s="43">
        <v>6</v>
      </c>
      <c r="AM62" s="43"/>
      <c r="AN62" s="43"/>
      <c r="AO62" s="43"/>
      <c r="AP62" s="43"/>
      <c r="AS62" s="5"/>
    </row>
    <row r="63" spans="1:45" x14ac:dyDescent="0.2">
      <c r="B63" t="s">
        <v>58</v>
      </c>
      <c r="C63" t="s">
        <v>59</v>
      </c>
      <c r="E63" t="s">
        <v>60</v>
      </c>
      <c r="F63" t="s">
        <v>61</v>
      </c>
      <c r="G63" t="s">
        <v>62</v>
      </c>
      <c r="H63" t="s">
        <v>60</v>
      </c>
      <c r="I63" t="s">
        <v>61</v>
      </c>
      <c r="J63" t="s">
        <v>62</v>
      </c>
      <c r="L63" t="s">
        <v>63</v>
      </c>
      <c r="M63" t="s">
        <v>64</v>
      </c>
      <c r="N63" t="s">
        <v>65</v>
      </c>
      <c r="R63" t="s">
        <v>92</v>
      </c>
      <c r="S63" t="s">
        <v>81</v>
      </c>
      <c r="T63" s="1" t="s">
        <v>82</v>
      </c>
      <c r="U63">
        <f t="shared" ref="U63" si="56">N106/N48</f>
        <v>1.5316455696202531</v>
      </c>
      <c r="Z63" s="47" t="s">
        <v>445</v>
      </c>
      <c r="AA63" s="43">
        <v>18</v>
      </c>
      <c r="AB63" s="43"/>
      <c r="AC63" s="43"/>
      <c r="AD63" s="43"/>
      <c r="AE63" s="43"/>
      <c r="AH63" s="5"/>
      <c r="AK63" s="47" t="s">
        <v>445</v>
      </c>
      <c r="AL63" s="43">
        <v>18</v>
      </c>
      <c r="AM63" s="43"/>
      <c r="AN63" s="43"/>
      <c r="AO63" s="43"/>
      <c r="AP63" s="43"/>
      <c r="AS63" s="5"/>
    </row>
    <row r="64" spans="1:45" x14ac:dyDescent="0.2">
      <c r="B64" t="s">
        <v>66</v>
      </c>
      <c r="C64" t="s">
        <v>67</v>
      </c>
      <c r="D64" t="s">
        <v>82</v>
      </c>
      <c r="E64">
        <f>10^5</f>
        <v>100000</v>
      </c>
      <c r="F64">
        <v>24</v>
      </c>
      <c r="G64">
        <f>E64*F64/0.004</f>
        <v>600000000</v>
      </c>
      <c r="H64">
        <f>10^3</f>
        <v>1000</v>
      </c>
      <c r="I64">
        <v>41</v>
      </c>
      <c r="J64">
        <f>H64*I64/0.004</f>
        <v>10250000</v>
      </c>
      <c r="L64">
        <f>J64</f>
        <v>10250000</v>
      </c>
      <c r="M64">
        <f>G64-J64</f>
        <v>589750000</v>
      </c>
      <c r="N64">
        <f>M64/L64</f>
        <v>57.536585365853661</v>
      </c>
      <c r="R64" t="s">
        <v>92</v>
      </c>
      <c r="S64" t="s">
        <v>81</v>
      </c>
      <c r="T64" s="1" t="s">
        <v>83</v>
      </c>
      <c r="U64">
        <f t="shared" si="55"/>
        <v>1.2230971128608925</v>
      </c>
      <c r="Z64" s="47"/>
      <c r="AA64" s="43"/>
      <c r="AB64" s="43"/>
      <c r="AC64" s="43"/>
      <c r="AD64" s="43"/>
      <c r="AE64" s="43"/>
      <c r="AH64" s="5"/>
      <c r="AK64" s="4"/>
      <c r="AS64" s="5"/>
    </row>
    <row r="65" spans="2:45" x14ac:dyDescent="0.2">
      <c r="B65" t="s">
        <v>66</v>
      </c>
      <c r="C65" t="s">
        <v>68</v>
      </c>
      <c r="D65" t="s">
        <v>83</v>
      </c>
      <c r="E65">
        <f t="shared" ref="E65:E69" si="57">10^5</f>
        <v>100000</v>
      </c>
      <c r="F65">
        <v>36</v>
      </c>
      <c r="G65">
        <f t="shared" ref="G65:G69" si="58">E65*F65/0.004</f>
        <v>900000000</v>
      </c>
      <c r="H65">
        <f t="shared" ref="H65:H69" si="59">10^3</f>
        <v>1000</v>
      </c>
      <c r="I65">
        <v>52</v>
      </c>
      <c r="J65">
        <f t="shared" ref="J65:J69" si="60">H65*I65/0.004</f>
        <v>13000000</v>
      </c>
      <c r="L65">
        <f t="shared" ref="L65:L69" si="61">J65</f>
        <v>13000000</v>
      </c>
      <c r="M65">
        <f t="shared" ref="M65:M69" si="62">G65-J65</f>
        <v>887000000</v>
      </c>
      <c r="N65">
        <f t="shared" ref="N65:N69" si="63">M65/L65</f>
        <v>68.230769230769226</v>
      </c>
      <c r="R65" t="s">
        <v>92</v>
      </c>
      <c r="S65" t="s">
        <v>81</v>
      </c>
      <c r="T65" s="1" t="s">
        <v>84</v>
      </c>
      <c r="U65">
        <f t="shared" si="55"/>
        <v>1.2452583387835185</v>
      </c>
      <c r="Z65" s="47" t="s">
        <v>394</v>
      </c>
      <c r="AA65" s="43"/>
      <c r="AB65" s="43"/>
      <c r="AC65" s="43"/>
      <c r="AD65" s="43"/>
      <c r="AE65" s="43"/>
      <c r="AF65" s="43"/>
      <c r="AG65" s="43"/>
      <c r="AH65" s="48"/>
      <c r="AK65" s="47" t="s">
        <v>394</v>
      </c>
      <c r="AL65" s="43"/>
      <c r="AM65" s="43"/>
      <c r="AN65" s="43"/>
      <c r="AO65" s="43"/>
      <c r="AP65" s="43"/>
      <c r="AQ65" s="43"/>
      <c r="AR65" s="43"/>
      <c r="AS65" s="48"/>
    </row>
    <row r="66" spans="2:45" x14ac:dyDescent="0.2">
      <c r="B66" t="s">
        <v>66</v>
      </c>
      <c r="C66" t="s">
        <v>69</v>
      </c>
      <c r="D66" t="s">
        <v>84</v>
      </c>
      <c r="E66">
        <f t="shared" si="57"/>
        <v>100000</v>
      </c>
      <c r="F66">
        <v>25</v>
      </c>
      <c r="G66">
        <f t="shared" si="58"/>
        <v>625000000</v>
      </c>
      <c r="H66">
        <f t="shared" si="59"/>
        <v>1000</v>
      </c>
      <c r="I66">
        <v>52</v>
      </c>
      <c r="J66">
        <f t="shared" si="60"/>
        <v>13000000</v>
      </c>
      <c r="L66">
        <f t="shared" si="61"/>
        <v>13000000</v>
      </c>
      <c r="M66">
        <f t="shared" si="62"/>
        <v>612000000</v>
      </c>
      <c r="N66">
        <f t="shared" si="63"/>
        <v>47.07692307692308</v>
      </c>
      <c r="R66" t="s">
        <v>92</v>
      </c>
      <c r="S66" t="s">
        <v>81</v>
      </c>
      <c r="T66" s="1" t="s">
        <v>85</v>
      </c>
      <c r="U66">
        <f t="shared" si="55"/>
        <v>1.4206049149338376</v>
      </c>
      <c r="Z66" s="47"/>
      <c r="AA66" s="43"/>
      <c r="AB66" s="43"/>
      <c r="AC66" s="43"/>
      <c r="AD66" s="43"/>
      <c r="AE66" s="43"/>
      <c r="AF66" s="43"/>
      <c r="AG66" s="43"/>
      <c r="AH66" s="48"/>
      <c r="AK66" s="47"/>
      <c r="AL66" s="43"/>
      <c r="AM66" s="43"/>
      <c r="AN66" s="43"/>
      <c r="AO66" s="43"/>
      <c r="AP66" s="43"/>
      <c r="AQ66" s="43"/>
      <c r="AR66" s="43"/>
      <c r="AS66" s="48"/>
    </row>
    <row r="67" spans="2:45" x14ac:dyDescent="0.2">
      <c r="B67" t="s">
        <v>66</v>
      </c>
      <c r="C67" t="s">
        <v>70</v>
      </c>
      <c r="D67" t="s">
        <v>85</v>
      </c>
      <c r="E67">
        <f t="shared" si="57"/>
        <v>100000</v>
      </c>
      <c r="F67">
        <v>19</v>
      </c>
      <c r="G67">
        <f t="shared" si="58"/>
        <v>475000000</v>
      </c>
      <c r="H67">
        <f t="shared" si="59"/>
        <v>1000</v>
      </c>
      <c r="I67">
        <v>38</v>
      </c>
      <c r="J67">
        <f t="shared" si="60"/>
        <v>9500000</v>
      </c>
      <c r="L67">
        <f t="shared" si="61"/>
        <v>9500000</v>
      </c>
      <c r="M67">
        <f t="shared" si="62"/>
        <v>465500000</v>
      </c>
      <c r="N67">
        <f t="shared" si="63"/>
        <v>49</v>
      </c>
      <c r="R67" t="s">
        <v>92</v>
      </c>
      <c r="S67" t="s">
        <v>81</v>
      </c>
      <c r="T67" s="1" t="s">
        <v>86</v>
      </c>
      <c r="U67">
        <f t="shared" si="55"/>
        <v>1.3714436248682824</v>
      </c>
      <c r="Z67" s="47" t="s">
        <v>395</v>
      </c>
      <c r="AA67" s="43">
        <v>1</v>
      </c>
      <c r="AB67" s="43"/>
      <c r="AC67" s="43"/>
      <c r="AD67" s="43"/>
      <c r="AE67" s="43"/>
      <c r="AF67" s="43"/>
      <c r="AG67" s="43"/>
      <c r="AH67" s="48"/>
      <c r="AK67" s="47" t="s">
        <v>395</v>
      </c>
      <c r="AL67" s="43">
        <v>1</v>
      </c>
      <c r="AM67" s="43"/>
      <c r="AN67" s="43"/>
      <c r="AO67" s="43"/>
      <c r="AP67" s="43"/>
      <c r="AQ67" s="43"/>
      <c r="AR67" s="43"/>
      <c r="AS67" s="48"/>
    </row>
    <row r="68" spans="2:45" x14ac:dyDescent="0.2">
      <c r="B68" t="s">
        <v>66</v>
      </c>
      <c r="C68" t="s">
        <v>71</v>
      </c>
      <c r="D68" t="s">
        <v>86</v>
      </c>
      <c r="E68">
        <f t="shared" si="57"/>
        <v>100000</v>
      </c>
      <c r="F68">
        <v>28</v>
      </c>
      <c r="G68">
        <f t="shared" si="58"/>
        <v>700000000</v>
      </c>
      <c r="H68">
        <f t="shared" si="59"/>
        <v>1000</v>
      </c>
      <c r="I68">
        <v>48</v>
      </c>
      <c r="J68">
        <f t="shared" si="60"/>
        <v>12000000</v>
      </c>
      <c r="L68">
        <f t="shared" si="61"/>
        <v>12000000</v>
      </c>
      <c r="M68">
        <f t="shared" si="62"/>
        <v>688000000</v>
      </c>
      <c r="N68">
        <f t="shared" si="63"/>
        <v>57.333333333333336</v>
      </c>
      <c r="R68" t="s">
        <v>92</v>
      </c>
      <c r="S68" t="s">
        <v>81</v>
      </c>
      <c r="T68" s="1" t="s">
        <v>87</v>
      </c>
      <c r="U68">
        <f t="shared" si="55"/>
        <v>1.6148604802076574</v>
      </c>
      <c r="Z68" s="47" t="s">
        <v>396</v>
      </c>
      <c r="AA68" s="43">
        <v>3</v>
      </c>
      <c r="AB68" s="43"/>
      <c r="AC68" s="43"/>
      <c r="AD68" s="43"/>
      <c r="AE68" s="43"/>
      <c r="AF68" s="43"/>
      <c r="AG68" s="43"/>
      <c r="AH68" s="48"/>
      <c r="AK68" s="47" t="s">
        <v>396</v>
      </c>
      <c r="AL68" s="43">
        <v>3</v>
      </c>
      <c r="AM68" s="43"/>
      <c r="AN68" s="43"/>
      <c r="AO68" s="43"/>
      <c r="AP68" s="43"/>
      <c r="AQ68" s="43"/>
      <c r="AR68" s="43"/>
      <c r="AS68" s="48"/>
    </row>
    <row r="69" spans="2:45" x14ac:dyDescent="0.2">
      <c r="B69" t="s">
        <v>66</v>
      </c>
      <c r="C69" t="s">
        <v>72</v>
      </c>
      <c r="D69" t="s">
        <v>87</v>
      </c>
      <c r="E69">
        <f t="shared" si="57"/>
        <v>100000</v>
      </c>
      <c r="F69">
        <v>27</v>
      </c>
      <c r="G69">
        <f t="shared" si="58"/>
        <v>675000000</v>
      </c>
      <c r="H69">
        <f t="shared" si="59"/>
        <v>1000</v>
      </c>
      <c r="I69">
        <v>43</v>
      </c>
      <c r="J69">
        <f t="shared" si="60"/>
        <v>10750000</v>
      </c>
      <c r="L69">
        <f t="shared" si="61"/>
        <v>10750000</v>
      </c>
      <c r="M69">
        <f t="shared" si="62"/>
        <v>664250000</v>
      </c>
      <c r="N69">
        <f t="shared" si="63"/>
        <v>61.790697674418603</v>
      </c>
      <c r="Z69" s="47" t="s">
        <v>397</v>
      </c>
      <c r="AA69" s="43">
        <v>0.05</v>
      </c>
      <c r="AB69" s="43"/>
      <c r="AC69" s="43"/>
      <c r="AD69" s="43"/>
      <c r="AE69" s="43"/>
      <c r="AF69" s="43"/>
      <c r="AG69" s="43"/>
      <c r="AH69" s="48"/>
      <c r="AK69" s="47" t="s">
        <v>397</v>
      </c>
      <c r="AL69" s="43">
        <v>0.05</v>
      </c>
      <c r="AM69" s="43"/>
      <c r="AN69" s="43"/>
      <c r="AO69" s="43"/>
      <c r="AP69" s="43"/>
      <c r="AQ69" s="43"/>
      <c r="AR69" s="43"/>
      <c r="AS69" s="48"/>
    </row>
    <row r="70" spans="2:45" x14ac:dyDescent="0.2">
      <c r="R70" t="s">
        <v>92</v>
      </c>
      <c r="S70" t="s">
        <v>91</v>
      </c>
      <c r="T70" s="1" t="s">
        <v>82</v>
      </c>
      <c r="U70">
        <f t="shared" ref="U70" si="64">N113/N55</f>
        <v>1.6944444444444444</v>
      </c>
      <c r="Z70" s="47"/>
      <c r="AA70" s="43"/>
      <c r="AB70" s="43"/>
      <c r="AC70" s="43"/>
      <c r="AD70" s="43"/>
      <c r="AE70" s="43"/>
      <c r="AF70" s="43"/>
      <c r="AG70" s="43"/>
      <c r="AH70" s="48"/>
      <c r="AK70" s="47"/>
      <c r="AL70" s="43"/>
      <c r="AM70" s="43"/>
      <c r="AN70" s="43"/>
      <c r="AO70" s="43"/>
      <c r="AP70" s="43"/>
      <c r="AQ70" s="43"/>
      <c r="AR70" s="43"/>
      <c r="AS70" s="48"/>
    </row>
    <row r="71" spans="2:45" x14ac:dyDescent="0.2">
      <c r="B71" t="s">
        <v>66</v>
      </c>
      <c r="C71" t="s">
        <v>73</v>
      </c>
      <c r="D71" t="s">
        <v>82</v>
      </c>
      <c r="E71">
        <f t="shared" ref="E71:E90" si="65">10^5</f>
        <v>100000</v>
      </c>
      <c r="F71">
        <v>27</v>
      </c>
      <c r="G71">
        <f t="shared" ref="G71:G76" si="66">E71*F71/0.004</f>
        <v>675000000</v>
      </c>
      <c r="H71">
        <f>10^4</f>
        <v>10000</v>
      </c>
      <c r="I71">
        <v>24</v>
      </c>
      <c r="J71">
        <f t="shared" ref="J71:J76" si="67">H71*I71/0.004</f>
        <v>60000000</v>
      </c>
      <c r="L71">
        <f t="shared" ref="L71:L76" si="68">J71</f>
        <v>60000000</v>
      </c>
      <c r="M71">
        <f t="shared" ref="M71:M76" si="69">G71-J71</f>
        <v>615000000</v>
      </c>
      <c r="N71">
        <f t="shared" ref="N71:N76" si="70">M71/L71</f>
        <v>10.25</v>
      </c>
      <c r="R71" t="s">
        <v>92</v>
      </c>
      <c r="S71" t="s">
        <v>91</v>
      </c>
      <c r="T71" s="1" t="s">
        <v>83</v>
      </c>
      <c r="U71">
        <f t="shared" si="55"/>
        <v>1.2197802197802199</v>
      </c>
      <c r="Z71" s="47" t="s">
        <v>398</v>
      </c>
      <c r="AA71" s="43" t="s">
        <v>399</v>
      </c>
      <c r="AB71" s="43" t="s">
        <v>400</v>
      </c>
      <c r="AC71" s="43" t="s">
        <v>401</v>
      </c>
      <c r="AD71" s="43" t="s">
        <v>402</v>
      </c>
      <c r="AE71" s="43" t="s">
        <v>403</v>
      </c>
      <c r="AF71" s="43"/>
      <c r="AG71" s="43"/>
      <c r="AH71" s="48"/>
      <c r="AK71" s="47" t="s">
        <v>398</v>
      </c>
      <c r="AL71" s="43" t="s">
        <v>399</v>
      </c>
      <c r="AM71" s="43" t="s">
        <v>400</v>
      </c>
      <c r="AN71" s="43" t="s">
        <v>401</v>
      </c>
      <c r="AO71" s="43" t="s">
        <v>402</v>
      </c>
      <c r="AP71" s="43" t="s">
        <v>403</v>
      </c>
      <c r="AQ71" s="43"/>
      <c r="AR71" s="43"/>
      <c r="AS71" s="48"/>
    </row>
    <row r="72" spans="2:45" x14ac:dyDescent="0.2">
      <c r="B72" t="s">
        <v>66</v>
      </c>
      <c r="C72" t="s">
        <v>74</v>
      </c>
      <c r="D72" t="s">
        <v>83</v>
      </c>
      <c r="E72">
        <f t="shared" si="65"/>
        <v>100000</v>
      </c>
      <c r="F72">
        <v>20</v>
      </c>
      <c r="G72">
        <f t="shared" si="66"/>
        <v>500000000</v>
      </c>
      <c r="H72">
        <f t="shared" ref="H72:H76" si="71">10^4</f>
        <v>10000</v>
      </c>
      <c r="I72">
        <v>12</v>
      </c>
      <c r="J72">
        <f t="shared" si="67"/>
        <v>30000000</v>
      </c>
      <c r="L72">
        <f t="shared" si="68"/>
        <v>30000000</v>
      </c>
      <c r="M72">
        <f t="shared" si="69"/>
        <v>470000000</v>
      </c>
      <c r="N72">
        <f t="shared" si="70"/>
        <v>15.666666666666666</v>
      </c>
      <c r="R72" t="s">
        <v>92</v>
      </c>
      <c r="S72" t="s">
        <v>91</v>
      </c>
      <c r="T72" s="1" t="s">
        <v>84</v>
      </c>
      <c r="U72">
        <f t="shared" si="55"/>
        <v>0.82525989825259904</v>
      </c>
      <c r="Z72" s="47"/>
      <c r="AA72" s="43"/>
      <c r="AB72" s="43"/>
      <c r="AC72" s="43"/>
      <c r="AD72" s="43"/>
      <c r="AE72" s="43"/>
      <c r="AF72" s="43"/>
      <c r="AG72" s="43"/>
      <c r="AH72" s="48"/>
      <c r="AK72" s="47"/>
      <c r="AL72" s="43"/>
      <c r="AM72" s="43"/>
      <c r="AN72" s="43"/>
      <c r="AO72" s="43"/>
      <c r="AP72" s="43"/>
      <c r="AQ72" s="43"/>
      <c r="AR72" s="43"/>
      <c r="AS72" s="48"/>
    </row>
    <row r="73" spans="2:45" x14ac:dyDescent="0.2">
      <c r="B73" t="s">
        <v>66</v>
      </c>
      <c r="C73" t="s">
        <v>75</v>
      </c>
      <c r="D73" t="s">
        <v>84</v>
      </c>
      <c r="E73">
        <f t="shared" si="65"/>
        <v>100000</v>
      </c>
      <c r="F73">
        <v>19</v>
      </c>
      <c r="G73">
        <f t="shared" si="66"/>
        <v>475000000</v>
      </c>
      <c r="H73">
        <f t="shared" si="71"/>
        <v>10000</v>
      </c>
      <c r="I73">
        <v>11</v>
      </c>
      <c r="J73">
        <f t="shared" si="67"/>
        <v>27500000</v>
      </c>
      <c r="L73">
        <f t="shared" si="68"/>
        <v>27500000</v>
      </c>
      <c r="M73">
        <f t="shared" si="69"/>
        <v>447500000</v>
      </c>
      <c r="N73">
        <f t="shared" si="70"/>
        <v>16.272727272727273</v>
      </c>
      <c r="R73" t="s">
        <v>92</v>
      </c>
      <c r="S73" t="s">
        <v>91</v>
      </c>
      <c r="T73" s="1" t="s">
        <v>85</v>
      </c>
      <c r="U73">
        <f t="shared" si="55"/>
        <v>0.89898989898989912</v>
      </c>
      <c r="Z73" s="47" t="s">
        <v>404</v>
      </c>
      <c r="AA73" s="43">
        <v>7.2149999999999999</v>
      </c>
      <c r="AB73" s="43" t="s">
        <v>405</v>
      </c>
      <c r="AC73" s="43" t="s">
        <v>406</v>
      </c>
      <c r="AD73" s="43" t="s">
        <v>407</v>
      </c>
      <c r="AE73" s="43" t="s">
        <v>408</v>
      </c>
      <c r="AF73" s="43"/>
      <c r="AG73" s="43"/>
      <c r="AH73" s="48"/>
      <c r="AK73" s="47" t="s">
        <v>449</v>
      </c>
      <c r="AL73" s="43">
        <v>12.47</v>
      </c>
      <c r="AM73" s="43" t="s">
        <v>450</v>
      </c>
      <c r="AN73" s="43" t="s">
        <v>406</v>
      </c>
      <c r="AO73" s="43" t="s">
        <v>407</v>
      </c>
      <c r="AP73" s="43" t="s">
        <v>408</v>
      </c>
      <c r="AQ73" s="43"/>
      <c r="AR73" s="43"/>
      <c r="AS73" s="48"/>
    </row>
    <row r="74" spans="2:45" x14ac:dyDescent="0.2">
      <c r="B74" t="s">
        <v>66</v>
      </c>
      <c r="C74" t="s">
        <v>76</v>
      </c>
      <c r="D74" t="s">
        <v>85</v>
      </c>
      <c r="E74">
        <f t="shared" si="65"/>
        <v>100000</v>
      </c>
      <c r="F74">
        <v>24</v>
      </c>
      <c r="G74">
        <f t="shared" si="66"/>
        <v>600000000</v>
      </c>
      <c r="H74">
        <f t="shared" si="71"/>
        <v>10000</v>
      </c>
      <c r="I74">
        <v>18</v>
      </c>
      <c r="J74">
        <f t="shared" si="67"/>
        <v>45000000</v>
      </c>
      <c r="L74">
        <f t="shared" si="68"/>
        <v>45000000</v>
      </c>
      <c r="M74">
        <f t="shared" si="69"/>
        <v>555000000</v>
      </c>
      <c r="N74">
        <f t="shared" si="70"/>
        <v>12.333333333333334</v>
      </c>
      <c r="R74" t="s">
        <v>92</v>
      </c>
      <c r="S74" t="s">
        <v>91</v>
      </c>
      <c r="T74" s="1" t="s">
        <v>86</v>
      </c>
      <c r="U74">
        <f t="shared" si="55"/>
        <v>1.5160675381263615</v>
      </c>
      <c r="Z74" s="47" t="s">
        <v>409</v>
      </c>
      <c r="AA74" s="43">
        <v>7.6310000000000002</v>
      </c>
      <c r="AB74" s="43" t="s">
        <v>410</v>
      </c>
      <c r="AC74" s="43" t="s">
        <v>406</v>
      </c>
      <c r="AD74" s="43" t="s">
        <v>407</v>
      </c>
      <c r="AE74" s="43" t="s">
        <v>408</v>
      </c>
      <c r="AF74" s="43"/>
      <c r="AG74" s="43"/>
      <c r="AH74" s="48"/>
      <c r="AK74" s="47" t="s">
        <v>451</v>
      </c>
      <c r="AL74" s="43">
        <v>12.49</v>
      </c>
      <c r="AM74" s="43" t="s">
        <v>452</v>
      </c>
      <c r="AN74" s="43" t="s">
        <v>406</v>
      </c>
      <c r="AO74" s="43" t="s">
        <v>407</v>
      </c>
      <c r="AP74" s="43" t="s">
        <v>408</v>
      </c>
      <c r="AQ74" s="43"/>
      <c r="AR74" s="43"/>
      <c r="AS74" s="48"/>
    </row>
    <row r="75" spans="2:45" x14ac:dyDescent="0.2">
      <c r="B75" t="s">
        <v>66</v>
      </c>
      <c r="C75" t="s">
        <v>77</v>
      </c>
      <c r="D75" t="s">
        <v>86</v>
      </c>
      <c r="E75">
        <f t="shared" si="65"/>
        <v>100000</v>
      </c>
      <c r="F75">
        <v>28</v>
      </c>
      <c r="G75">
        <f t="shared" si="66"/>
        <v>700000000</v>
      </c>
      <c r="H75">
        <f t="shared" si="71"/>
        <v>10000</v>
      </c>
      <c r="I75">
        <v>18</v>
      </c>
      <c r="J75">
        <f t="shared" si="67"/>
        <v>45000000</v>
      </c>
      <c r="L75">
        <f t="shared" si="68"/>
        <v>45000000</v>
      </c>
      <c r="M75">
        <f t="shared" si="69"/>
        <v>655000000</v>
      </c>
      <c r="N75">
        <f t="shared" si="70"/>
        <v>14.555555555555555</v>
      </c>
      <c r="R75" t="s">
        <v>92</v>
      </c>
      <c r="S75" t="s">
        <v>91</v>
      </c>
      <c r="T75" s="1" t="s">
        <v>87</v>
      </c>
      <c r="U75">
        <f>N118/N60</f>
        <v>1.2276234567901234</v>
      </c>
      <c r="Z75" s="47" t="s">
        <v>411</v>
      </c>
      <c r="AA75" s="43">
        <v>0.41599999999999998</v>
      </c>
      <c r="AB75" s="43" t="s">
        <v>412</v>
      </c>
      <c r="AC75" s="43" t="s">
        <v>413</v>
      </c>
      <c r="AD75" s="43" t="s">
        <v>323</v>
      </c>
      <c r="AE75" s="43">
        <v>0.77949999999999997</v>
      </c>
      <c r="AF75" s="43"/>
      <c r="AG75" s="43"/>
      <c r="AH75" s="48"/>
      <c r="AK75" s="47" t="s">
        <v>453</v>
      </c>
      <c r="AL75" s="43">
        <v>1.3129999999999999E-2</v>
      </c>
      <c r="AM75" s="43" t="s">
        <v>454</v>
      </c>
      <c r="AN75" s="43" t="s">
        <v>413</v>
      </c>
      <c r="AO75" s="43" t="s">
        <v>323</v>
      </c>
      <c r="AP75" s="43" t="s">
        <v>455</v>
      </c>
      <c r="AQ75" s="43"/>
      <c r="AR75" s="43"/>
      <c r="AS75" s="48"/>
    </row>
    <row r="76" spans="2:45" x14ac:dyDescent="0.2">
      <c r="B76" t="s">
        <v>66</v>
      </c>
      <c r="C76" t="s">
        <v>78</v>
      </c>
      <c r="D76" t="s">
        <v>87</v>
      </c>
      <c r="E76">
        <f t="shared" si="65"/>
        <v>100000</v>
      </c>
      <c r="F76">
        <v>26</v>
      </c>
      <c r="G76">
        <f t="shared" si="66"/>
        <v>650000000</v>
      </c>
      <c r="H76">
        <f t="shared" si="71"/>
        <v>10000</v>
      </c>
      <c r="I76">
        <v>29</v>
      </c>
      <c r="J76">
        <f t="shared" si="67"/>
        <v>72500000</v>
      </c>
      <c r="L76">
        <f t="shared" si="68"/>
        <v>72500000</v>
      </c>
      <c r="M76">
        <f t="shared" si="69"/>
        <v>577500000</v>
      </c>
      <c r="N76">
        <f t="shared" si="70"/>
        <v>7.9655172413793105</v>
      </c>
      <c r="Z76" s="47"/>
      <c r="AA76" s="43"/>
      <c r="AB76" s="43"/>
      <c r="AC76" s="43"/>
      <c r="AD76" s="43"/>
      <c r="AE76" s="43"/>
      <c r="AF76" s="43"/>
      <c r="AG76" s="43"/>
      <c r="AH76" s="48"/>
      <c r="AK76" s="47"/>
      <c r="AL76" s="43"/>
      <c r="AM76" s="43"/>
      <c r="AN76" s="43"/>
      <c r="AO76" s="43"/>
      <c r="AP76" s="43"/>
      <c r="AQ76" s="43"/>
      <c r="AR76" s="43"/>
      <c r="AS76" s="48"/>
    </row>
    <row r="77" spans="2:45" x14ac:dyDescent="0.2">
      <c r="Z77" s="47"/>
      <c r="AA77" s="43"/>
      <c r="AB77" s="43"/>
      <c r="AC77" s="43"/>
      <c r="AD77" s="43"/>
      <c r="AE77" s="43"/>
      <c r="AF77" s="43"/>
      <c r="AG77" s="43"/>
      <c r="AH77" s="48"/>
      <c r="AK77" s="47"/>
      <c r="AL77" s="43"/>
      <c r="AM77" s="43"/>
      <c r="AN77" s="43"/>
      <c r="AO77" s="43"/>
      <c r="AP77" s="43"/>
      <c r="AQ77" s="43"/>
      <c r="AR77" s="43"/>
      <c r="AS77" s="48"/>
    </row>
    <row r="78" spans="2:45" x14ac:dyDescent="0.2">
      <c r="B78" t="s">
        <v>79</v>
      </c>
      <c r="C78" t="s">
        <v>67</v>
      </c>
      <c r="D78" t="s">
        <v>82</v>
      </c>
      <c r="E78">
        <f t="shared" ref="E78" si="72">10^5</f>
        <v>100000</v>
      </c>
      <c r="F78">
        <v>25</v>
      </c>
      <c r="G78">
        <f t="shared" ref="G78:G83" si="73">E78*F78/0.004</f>
        <v>625000000</v>
      </c>
      <c r="H78">
        <f>10^4</f>
        <v>10000</v>
      </c>
      <c r="I78">
        <v>25</v>
      </c>
      <c r="J78">
        <f t="shared" ref="J78:J83" si="74">H78*I78/0.004</f>
        <v>62500000</v>
      </c>
      <c r="L78">
        <f t="shared" ref="L78:L83" si="75">J78</f>
        <v>62500000</v>
      </c>
      <c r="M78">
        <f t="shared" ref="M78:M83" si="76">G78-J78</f>
        <v>562500000</v>
      </c>
      <c r="N78">
        <f t="shared" ref="N78:N83" si="77">M78/L78</f>
        <v>9</v>
      </c>
      <c r="Z78" s="47" t="s">
        <v>414</v>
      </c>
      <c r="AA78" s="43" t="s">
        <v>415</v>
      </c>
      <c r="AB78" s="43" t="s">
        <v>416</v>
      </c>
      <c r="AC78" s="43" t="s">
        <v>399</v>
      </c>
      <c r="AD78" s="43" t="s">
        <v>417</v>
      </c>
      <c r="AE78" s="43" t="s">
        <v>418</v>
      </c>
      <c r="AF78" s="43" t="s">
        <v>419</v>
      </c>
      <c r="AG78" s="43" t="s">
        <v>420</v>
      </c>
      <c r="AH78" s="48" t="s">
        <v>421</v>
      </c>
      <c r="AK78" s="47" t="s">
        <v>414</v>
      </c>
      <c r="AL78" s="43" t="s">
        <v>415</v>
      </c>
      <c r="AM78" s="43" t="s">
        <v>416</v>
      </c>
      <c r="AN78" s="43" t="s">
        <v>399</v>
      </c>
      <c r="AO78" s="43" t="s">
        <v>417</v>
      </c>
      <c r="AP78" s="43" t="s">
        <v>418</v>
      </c>
      <c r="AQ78" s="43" t="s">
        <v>419</v>
      </c>
      <c r="AR78" s="43" t="s">
        <v>420</v>
      </c>
      <c r="AS78" s="48" t="s">
        <v>421</v>
      </c>
    </row>
    <row r="79" spans="2:45" x14ac:dyDescent="0.2">
      <c r="B79" t="s">
        <v>79</v>
      </c>
      <c r="C79" t="s">
        <v>68</v>
      </c>
      <c r="D79" t="s">
        <v>83</v>
      </c>
      <c r="E79">
        <f t="shared" si="65"/>
        <v>100000</v>
      </c>
      <c r="F79">
        <v>29</v>
      </c>
      <c r="G79">
        <f t="shared" si="73"/>
        <v>725000000</v>
      </c>
      <c r="H79">
        <f t="shared" ref="H79:H83" si="78">10^4</f>
        <v>10000</v>
      </c>
      <c r="I79">
        <v>23</v>
      </c>
      <c r="J79">
        <f t="shared" si="74"/>
        <v>57500000</v>
      </c>
      <c r="L79">
        <f t="shared" si="75"/>
        <v>57500000</v>
      </c>
      <c r="M79">
        <f t="shared" si="76"/>
        <v>667500000</v>
      </c>
      <c r="N79">
        <f t="shared" si="77"/>
        <v>11.608695652173912</v>
      </c>
      <c r="Z79" s="47"/>
      <c r="AA79" s="43"/>
      <c r="AB79" s="43"/>
      <c r="AC79" s="43"/>
      <c r="AD79" s="43"/>
      <c r="AE79" s="43"/>
      <c r="AF79" s="43"/>
      <c r="AG79" s="43"/>
      <c r="AH79" s="48"/>
      <c r="AK79" s="47"/>
      <c r="AL79" s="43"/>
      <c r="AM79" s="43"/>
      <c r="AN79" s="43"/>
      <c r="AO79" s="43"/>
      <c r="AP79" s="43"/>
      <c r="AQ79" s="43"/>
      <c r="AR79" s="43"/>
      <c r="AS79" s="48"/>
    </row>
    <row r="80" spans="2:45" x14ac:dyDescent="0.2">
      <c r="B80" t="s">
        <v>79</v>
      </c>
      <c r="C80" t="s">
        <v>69</v>
      </c>
      <c r="D80" t="s">
        <v>84</v>
      </c>
      <c r="E80">
        <f t="shared" si="65"/>
        <v>100000</v>
      </c>
      <c r="F80">
        <v>23</v>
      </c>
      <c r="G80">
        <f t="shared" si="73"/>
        <v>575000000</v>
      </c>
      <c r="H80">
        <f t="shared" si="78"/>
        <v>10000</v>
      </c>
      <c r="I80">
        <v>15</v>
      </c>
      <c r="J80">
        <f t="shared" si="74"/>
        <v>37500000</v>
      </c>
      <c r="L80">
        <f t="shared" si="75"/>
        <v>37500000</v>
      </c>
      <c r="M80">
        <f t="shared" si="76"/>
        <v>537500000</v>
      </c>
      <c r="N80">
        <f t="shared" si="77"/>
        <v>14.333333333333334</v>
      </c>
      <c r="Z80" s="47" t="s">
        <v>404</v>
      </c>
      <c r="AA80" s="43">
        <v>8.9079999999999995</v>
      </c>
      <c r="AB80" s="43">
        <v>1.6930000000000001</v>
      </c>
      <c r="AC80" s="43">
        <v>7.2149999999999999</v>
      </c>
      <c r="AD80" s="43">
        <v>0.61080000000000001</v>
      </c>
      <c r="AE80" s="43">
        <v>6</v>
      </c>
      <c r="AF80" s="43">
        <v>6</v>
      </c>
      <c r="AG80" s="43">
        <v>16.71</v>
      </c>
      <c r="AH80" s="48">
        <v>10</v>
      </c>
      <c r="AK80" s="47" t="s">
        <v>449</v>
      </c>
      <c r="AL80" s="43">
        <v>13.89</v>
      </c>
      <c r="AM80" s="43">
        <v>1.4139999999999999</v>
      </c>
      <c r="AN80" s="43">
        <v>12.47</v>
      </c>
      <c r="AO80" s="43">
        <v>1.583</v>
      </c>
      <c r="AP80" s="43">
        <v>6</v>
      </c>
      <c r="AQ80" s="43">
        <v>6</v>
      </c>
      <c r="AR80" s="43">
        <v>11.14</v>
      </c>
      <c r="AS80" s="48">
        <v>10</v>
      </c>
    </row>
    <row r="81" spans="2:45" x14ac:dyDescent="0.2">
      <c r="B81" t="s">
        <v>79</v>
      </c>
      <c r="C81" t="s">
        <v>70</v>
      </c>
      <c r="D81" t="s">
        <v>85</v>
      </c>
      <c r="E81">
        <f t="shared" si="65"/>
        <v>100000</v>
      </c>
      <c r="F81">
        <v>29</v>
      </c>
      <c r="G81">
        <f t="shared" si="73"/>
        <v>725000000</v>
      </c>
      <c r="H81">
        <f t="shared" si="78"/>
        <v>10000</v>
      </c>
      <c r="I81">
        <v>24</v>
      </c>
      <c r="J81">
        <f t="shared" si="74"/>
        <v>60000000</v>
      </c>
      <c r="L81">
        <f t="shared" si="75"/>
        <v>60000000</v>
      </c>
      <c r="M81">
        <f t="shared" si="76"/>
        <v>665000000</v>
      </c>
      <c r="N81">
        <f t="shared" si="77"/>
        <v>11.083333333333334</v>
      </c>
      <c r="Z81" s="47" t="s">
        <v>409</v>
      </c>
      <c r="AA81" s="43">
        <v>8.9079999999999995</v>
      </c>
      <c r="AB81" s="43">
        <v>1.2769999999999999</v>
      </c>
      <c r="AC81" s="43">
        <v>7.6310000000000002</v>
      </c>
      <c r="AD81" s="43">
        <v>0.61080000000000001</v>
      </c>
      <c r="AE81" s="43">
        <v>6</v>
      </c>
      <c r="AF81" s="43">
        <v>6</v>
      </c>
      <c r="AG81" s="43">
        <v>17.670000000000002</v>
      </c>
      <c r="AH81" s="48">
        <v>10</v>
      </c>
      <c r="AK81" s="47" t="s">
        <v>451</v>
      </c>
      <c r="AL81" s="43">
        <v>13.89</v>
      </c>
      <c r="AM81" s="43">
        <v>1.401</v>
      </c>
      <c r="AN81" s="43">
        <v>12.49</v>
      </c>
      <c r="AO81" s="43">
        <v>1.583</v>
      </c>
      <c r="AP81" s="43">
        <v>6</v>
      </c>
      <c r="AQ81" s="43">
        <v>6</v>
      </c>
      <c r="AR81" s="43">
        <v>11.16</v>
      </c>
      <c r="AS81" s="48">
        <v>10</v>
      </c>
    </row>
    <row r="82" spans="2:45" x14ac:dyDescent="0.2">
      <c r="B82" t="s">
        <v>79</v>
      </c>
      <c r="C82" t="s">
        <v>71</v>
      </c>
      <c r="D82" t="s">
        <v>86</v>
      </c>
      <c r="E82">
        <f t="shared" si="65"/>
        <v>100000</v>
      </c>
      <c r="F82">
        <v>25</v>
      </c>
      <c r="G82">
        <f t="shared" si="73"/>
        <v>625000000</v>
      </c>
      <c r="H82">
        <f t="shared" si="78"/>
        <v>10000</v>
      </c>
      <c r="I82">
        <v>29</v>
      </c>
      <c r="J82">
        <f t="shared" si="74"/>
        <v>72500000</v>
      </c>
      <c r="L82">
        <f t="shared" si="75"/>
        <v>72500000</v>
      </c>
      <c r="M82">
        <f t="shared" si="76"/>
        <v>552500000</v>
      </c>
      <c r="N82">
        <f t="shared" si="77"/>
        <v>7.6206896551724137</v>
      </c>
      <c r="Z82" s="49" t="s">
        <v>411</v>
      </c>
      <c r="AA82" s="50">
        <v>1.6930000000000001</v>
      </c>
      <c r="AB82" s="50">
        <v>1.2769999999999999</v>
      </c>
      <c r="AC82" s="50">
        <v>0.41599999999999998</v>
      </c>
      <c r="AD82" s="50">
        <v>0.61080000000000001</v>
      </c>
      <c r="AE82" s="50">
        <v>6</v>
      </c>
      <c r="AF82" s="50">
        <v>6</v>
      </c>
      <c r="AG82" s="50">
        <v>0.96319999999999995</v>
      </c>
      <c r="AH82" s="51">
        <v>10</v>
      </c>
      <c r="AK82" s="49" t="s">
        <v>453</v>
      </c>
      <c r="AL82" s="50">
        <v>1.4139999999999999</v>
      </c>
      <c r="AM82" s="50">
        <v>1.401</v>
      </c>
      <c r="AN82" s="50">
        <v>1.3129999999999999E-2</v>
      </c>
      <c r="AO82" s="50">
        <v>1.583</v>
      </c>
      <c r="AP82" s="50">
        <v>6</v>
      </c>
      <c r="AQ82" s="50">
        <v>6</v>
      </c>
      <c r="AR82" s="50">
        <v>1.1730000000000001E-2</v>
      </c>
      <c r="AS82" s="51">
        <v>10</v>
      </c>
    </row>
    <row r="83" spans="2:45" x14ac:dyDescent="0.2">
      <c r="B83" t="s">
        <v>79</v>
      </c>
      <c r="C83" t="s">
        <v>72</v>
      </c>
      <c r="D83" t="s">
        <v>87</v>
      </c>
      <c r="E83">
        <f t="shared" si="65"/>
        <v>100000</v>
      </c>
      <c r="F83">
        <v>25</v>
      </c>
      <c r="G83">
        <f t="shared" si="73"/>
        <v>625000000</v>
      </c>
      <c r="H83">
        <f t="shared" si="78"/>
        <v>10000</v>
      </c>
      <c r="I83">
        <v>24</v>
      </c>
      <c r="J83">
        <f t="shared" si="74"/>
        <v>60000000</v>
      </c>
      <c r="L83">
        <f t="shared" si="75"/>
        <v>60000000</v>
      </c>
      <c r="M83">
        <f t="shared" si="76"/>
        <v>565000000</v>
      </c>
      <c r="N83">
        <f t="shared" si="77"/>
        <v>9.4166666666666661</v>
      </c>
    </row>
    <row r="85" spans="2:45" x14ac:dyDescent="0.2">
      <c r="B85" t="s">
        <v>79</v>
      </c>
      <c r="C85" t="s">
        <v>73</v>
      </c>
      <c r="D85" t="s">
        <v>82</v>
      </c>
      <c r="E85">
        <f t="shared" ref="E85" si="79">10^5</f>
        <v>100000</v>
      </c>
      <c r="F85">
        <v>25</v>
      </c>
      <c r="G85">
        <f t="shared" ref="G85:G90" si="80">E85*F85/0.004</f>
        <v>625000000</v>
      </c>
      <c r="H85">
        <f>10^4</f>
        <v>10000</v>
      </c>
      <c r="I85">
        <v>16</v>
      </c>
      <c r="J85">
        <f t="shared" ref="J85:J89" si="81">H85*I85/0.004</f>
        <v>40000000</v>
      </c>
      <c r="L85">
        <f t="shared" ref="L85:L90" si="82">J85</f>
        <v>40000000</v>
      </c>
      <c r="M85">
        <f t="shared" ref="M85:M90" si="83">G85-J85</f>
        <v>585000000</v>
      </c>
      <c r="N85">
        <f t="shared" ref="N85:N90" si="84">M85/L85</f>
        <v>14.625</v>
      </c>
    </row>
    <row r="86" spans="2:45" x14ac:dyDescent="0.2">
      <c r="B86" t="s">
        <v>79</v>
      </c>
      <c r="C86" t="s">
        <v>74</v>
      </c>
      <c r="D86" t="s">
        <v>83</v>
      </c>
      <c r="E86">
        <f t="shared" si="65"/>
        <v>100000</v>
      </c>
      <c r="F86">
        <v>23</v>
      </c>
      <c r="G86">
        <f t="shared" si="80"/>
        <v>575000000</v>
      </c>
      <c r="H86">
        <f t="shared" ref="H86:H90" si="85">10^4</f>
        <v>10000</v>
      </c>
      <c r="I86">
        <v>17</v>
      </c>
      <c r="J86">
        <f t="shared" si="81"/>
        <v>42500000</v>
      </c>
      <c r="L86">
        <f t="shared" si="82"/>
        <v>42500000</v>
      </c>
      <c r="M86">
        <f t="shared" si="83"/>
        <v>532500000</v>
      </c>
      <c r="N86">
        <f t="shared" si="84"/>
        <v>12.529411764705882</v>
      </c>
    </row>
    <row r="87" spans="2:45" x14ac:dyDescent="0.2">
      <c r="B87" t="s">
        <v>79</v>
      </c>
      <c r="C87" t="s">
        <v>75</v>
      </c>
      <c r="D87" t="s">
        <v>84</v>
      </c>
      <c r="E87">
        <f t="shared" si="65"/>
        <v>100000</v>
      </c>
      <c r="F87">
        <v>20</v>
      </c>
      <c r="G87">
        <f t="shared" si="80"/>
        <v>500000000</v>
      </c>
      <c r="H87">
        <f t="shared" si="85"/>
        <v>10000</v>
      </c>
      <c r="I87">
        <v>18</v>
      </c>
      <c r="J87">
        <f t="shared" si="81"/>
        <v>45000000</v>
      </c>
      <c r="L87">
        <f t="shared" si="82"/>
        <v>45000000</v>
      </c>
      <c r="M87">
        <f t="shared" si="83"/>
        <v>455000000</v>
      </c>
      <c r="N87">
        <f t="shared" si="84"/>
        <v>10.111111111111111</v>
      </c>
    </row>
    <row r="88" spans="2:45" x14ac:dyDescent="0.2">
      <c r="B88" t="s">
        <v>79</v>
      </c>
      <c r="C88" t="s">
        <v>76</v>
      </c>
      <c r="D88" t="s">
        <v>85</v>
      </c>
      <c r="E88">
        <f t="shared" si="65"/>
        <v>100000</v>
      </c>
      <c r="F88">
        <v>21</v>
      </c>
      <c r="G88">
        <f t="shared" si="80"/>
        <v>525000000</v>
      </c>
      <c r="H88">
        <f t="shared" si="85"/>
        <v>10000</v>
      </c>
      <c r="I88">
        <v>20</v>
      </c>
      <c r="J88">
        <f t="shared" si="81"/>
        <v>50000000</v>
      </c>
      <c r="L88">
        <f t="shared" si="82"/>
        <v>50000000</v>
      </c>
      <c r="M88">
        <f t="shared" si="83"/>
        <v>475000000</v>
      </c>
      <c r="N88">
        <f t="shared" si="84"/>
        <v>9.5</v>
      </c>
    </row>
    <row r="89" spans="2:45" x14ac:dyDescent="0.2">
      <c r="B89" t="s">
        <v>79</v>
      </c>
      <c r="C89" t="s">
        <v>77</v>
      </c>
      <c r="D89" t="s">
        <v>86</v>
      </c>
      <c r="E89">
        <f t="shared" si="65"/>
        <v>100000</v>
      </c>
      <c r="F89">
        <v>21</v>
      </c>
      <c r="G89">
        <f t="shared" si="80"/>
        <v>525000000</v>
      </c>
      <c r="H89">
        <f t="shared" si="85"/>
        <v>10000</v>
      </c>
      <c r="I89">
        <v>20</v>
      </c>
      <c r="J89">
        <f t="shared" si="81"/>
        <v>50000000</v>
      </c>
      <c r="L89">
        <f t="shared" si="82"/>
        <v>50000000</v>
      </c>
      <c r="M89">
        <f t="shared" si="83"/>
        <v>475000000</v>
      </c>
      <c r="N89">
        <f t="shared" si="84"/>
        <v>9.5</v>
      </c>
    </row>
    <row r="90" spans="2:45" x14ac:dyDescent="0.2">
      <c r="B90" t="s">
        <v>79</v>
      </c>
      <c r="C90" t="s">
        <v>78</v>
      </c>
      <c r="D90" t="s">
        <v>87</v>
      </c>
      <c r="E90">
        <f t="shared" si="65"/>
        <v>100000</v>
      </c>
      <c r="F90">
        <v>16</v>
      </c>
      <c r="G90">
        <f t="shared" si="80"/>
        <v>400000000</v>
      </c>
      <c r="H90">
        <f t="shared" si="85"/>
        <v>10000</v>
      </c>
      <c r="I90">
        <v>16</v>
      </c>
      <c r="J90">
        <f>H90*I90/0.004</f>
        <v>40000000</v>
      </c>
      <c r="L90">
        <f t="shared" si="82"/>
        <v>40000000</v>
      </c>
      <c r="M90">
        <f t="shared" si="83"/>
        <v>360000000</v>
      </c>
      <c r="N90">
        <f t="shared" si="84"/>
        <v>9</v>
      </c>
    </row>
    <row r="92" spans="2:45" x14ac:dyDescent="0.2">
      <c r="B92" t="s">
        <v>66</v>
      </c>
      <c r="C92" t="s">
        <v>81</v>
      </c>
      <c r="D92" t="s">
        <v>82</v>
      </c>
      <c r="E92">
        <f>10^5</f>
        <v>100000</v>
      </c>
      <c r="F92">
        <v>22</v>
      </c>
      <c r="G92">
        <f>E92*F92/0.004</f>
        <v>550000000</v>
      </c>
      <c r="H92">
        <f>10^3</f>
        <v>1000</v>
      </c>
      <c r="I92">
        <v>30</v>
      </c>
      <c r="J92">
        <f>H92*I92/0.004</f>
        <v>7500000</v>
      </c>
      <c r="L92">
        <f>J92</f>
        <v>7500000</v>
      </c>
      <c r="M92">
        <f>G92-J92</f>
        <v>542500000</v>
      </c>
      <c r="N92">
        <f>M92/L92</f>
        <v>72.333333333333329</v>
      </c>
    </row>
    <row r="93" spans="2:45" x14ac:dyDescent="0.2">
      <c r="B93" t="s">
        <v>66</v>
      </c>
      <c r="C93" t="s">
        <v>81</v>
      </c>
      <c r="D93" t="s">
        <v>83</v>
      </c>
      <c r="E93">
        <f t="shared" ref="E93:E97" si="86">10^5</f>
        <v>100000</v>
      </c>
      <c r="F93">
        <v>24</v>
      </c>
      <c r="G93">
        <f t="shared" ref="G93:G97" si="87">E93*F93/0.004</f>
        <v>600000000</v>
      </c>
      <c r="H93">
        <f t="shared" ref="H93:H97" si="88">10^3</f>
        <v>1000</v>
      </c>
      <c r="I93">
        <v>31</v>
      </c>
      <c r="J93">
        <f t="shared" ref="J93:J97" si="89">H93*I93/0.004</f>
        <v>7750000</v>
      </c>
      <c r="L93">
        <f t="shared" ref="L93:L97" si="90">J93</f>
        <v>7750000</v>
      </c>
      <c r="M93">
        <f t="shared" ref="M93:M97" si="91">G93-J93</f>
        <v>592250000</v>
      </c>
      <c r="N93">
        <f t="shared" ref="N93:N97" si="92">M93/L93</f>
        <v>76.41935483870968</v>
      </c>
    </row>
    <row r="94" spans="2:45" x14ac:dyDescent="0.2">
      <c r="B94" t="s">
        <v>66</v>
      </c>
      <c r="C94" t="s">
        <v>81</v>
      </c>
      <c r="D94" t="s">
        <v>84</v>
      </c>
      <c r="E94">
        <f t="shared" si="86"/>
        <v>100000</v>
      </c>
      <c r="F94">
        <v>27</v>
      </c>
      <c r="G94">
        <f t="shared" si="87"/>
        <v>675000000</v>
      </c>
      <c r="H94">
        <f t="shared" si="88"/>
        <v>1000</v>
      </c>
      <c r="I94">
        <v>23</v>
      </c>
      <c r="J94">
        <f t="shared" si="89"/>
        <v>5750000</v>
      </c>
      <c r="L94">
        <f t="shared" si="90"/>
        <v>5750000</v>
      </c>
      <c r="M94">
        <f t="shared" si="91"/>
        <v>669250000</v>
      </c>
      <c r="N94">
        <f t="shared" si="92"/>
        <v>116.39130434782609</v>
      </c>
    </row>
    <row r="95" spans="2:45" x14ac:dyDescent="0.2">
      <c r="B95" t="s">
        <v>66</v>
      </c>
      <c r="C95" t="s">
        <v>81</v>
      </c>
      <c r="D95" t="s">
        <v>85</v>
      </c>
      <c r="E95">
        <f t="shared" si="86"/>
        <v>100000</v>
      </c>
      <c r="F95">
        <v>18</v>
      </c>
      <c r="G95">
        <f t="shared" si="87"/>
        <v>450000000</v>
      </c>
      <c r="H95">
        <f t="shared" si="88"/>
        <v>1000</v>
      </c>
      <c r="I95">
        <v>10</v>
      </c>
      <c r="J95">
        <f t="shared" si="89"/>
        <v>2500000</v>
      </c>
      <c r="L95">
        <f t="shared" si="90"/>
        <v>2500000</v>
      </c>
      <c r="M95">
        <f t="shared" si="91"/>
        <v>447500000</v>
      </c>
      <c r="N95">
        <f t="shared" si="92"/>
        <v>179</v>
      </c>
    </row>
    <row r="96" spans="2:45" x14ac:dyDescent="0.2">
      <c r="B96" t="s">
        <v>66</v>
      </c>
      <c r="C96" t="s">
        <v>81</v>
      </c>
      <c r="D96" t="s">
        <v>86</v>
      </c>
      <c r="E96">
        <f t="shared" si="86"/>
        <v>100000</v>
      </c>
      <c r="F96">
        <v>28</v>
      </c>
      <c r="G96">
        <f t="shared" si="87"/>
        <v>700000000</v>
      </c>
      <c r="H96">
        <f t="shared" si="88"/>
        <v>1000</v>
      </c>
      <c r="I96">
        <v>38</v>
      </c>
      <c r="J96">
        <f t="shared" si="89"/>
        <v>9500000</v>
      </c>
      <c r="L96">
        <f t="shared" si="90"/>
        <v>9500000</v>
      </c>
      <c r="M96">
        <f t="shared" si="91"/>
        <v>690500000</v>
      </c>
      <c r="N96">
        <f t="shared" si="92"/>
        <v>72.684210526315795</v>
      </c>
    </row>
    <row r="97" spans="2:14" x14ac:dyDescent="0.2">
      <c r="B97" t="s">
        <v>66</v>
      </c>
      <c r="C97" t="s">
        <v>81</v>
      </c>
      <c r="D97" t="s">
        <v>87</v>
      </c>
      <c r="E97">
        <f t="shared" si="86"/>
        <v>100000</v>
      </c>
      <c r="F97">
        <v>28</v>
      </c>
      <c r="G97">
        <f t="shared" si="87"/>
        <v>700000000</v>
      </c>
      <c r="H97">
        <f t="shared" si="88"/>
        <v>1000</v>
      </c>
      <c r="I97">
        <v>33</v>
      </c>
      <c r="J97">
        <f t="shared" si="89"/>
        <v>8250000</v>
      </c>
      <c r="L97">
        <f t="shared" si="90"/>
        <v>8250000</v>
      </c>
      <c r="M97">
        <f t="shared" si="91"/>
        <v>691750000</v>
      </c>
      <c r="N97">
        <f t="shared" si="92"/>
        <v>83.848484848484844</v>
      </c>
    </row>
    <row r="99" spans="2:14" x14ac:dyDescent="0.2">
      <c r="B99" t="s">
        <v>66</v>
      </c>
      <c r="C99" t="s">
        <v>91</v>
      </c>
      <c r="D99" t="s">
        <v>82</v>
      </c>
      <c r="E99">
        <f t="shared" ref="E99:E118" si="93">10^5</f>
        <v>100000</v>
      </c>
      <c r="F99">
        <v>23</v>
      </c>
      <c r="G99">
        <f t="shared" ref="G99:G104" si="94">E99*F99/0.004</f>
        <v>575000000</v>
      </c>
      <c r="H99">
        <f>10^4</f>
        <v>10000</v>
      </c>
      <c r="I99">
        <v>15</v>
      </c>
      <c r="J99">
        <f t="shared" ref="J99:J104" si="95">H99*I99/0.004</f>
        <v>37500000</v>
      </c>
      <c r="L99">
        <f t="shared" ref="L99:L104" si="96">J99</f>
        <v>37500000</v>
      </c>
      <c r="M99">
        <f t="shared" ref="M99:M104" si="97">G99-J99</f>
        <v>537500000</v>
      </c>
      <c r="N99">
        <f t="shared" ref="N99:N104" si="98">M99/L99</f>
        <v>14.333333333333334</v>
      </c>
    </row>
    <row r="100" spans="2:14" x14ac:dyDescent="0.2">
      <c r="B100" t="s">
        <v>66</v>
      </c>
      <c r="C100" t="s">
        <v>91</v>
      </c>
      <c r="D100" t="s">
        <v>83</v>
      </c>
      <c r="E100">
        <f t="shared" si="93"/>
        <v>100000</v>
      </c>
      <c r="F100">
        <v>24</v>
      </c>
      <c r="G100">
        <f t="shared" si="94"/>
        <v>600000000</v>
      </c>
      <c r="H100">
        <f t="shared" ref="H100:H104" si="99">10^4</f>
        <v>10000</v>
      </c>
      <c r="I100">
        <v>16</v>
      </c>
      <c r="J100">
        <f t="shared" si="95"/>
        <v>40000000</v>
      </c>
      <c r="L100">
        <f t="shared" si="96"/>
        <v>40000000</v>
      </c>
      <c r="M100">
        <f t="shared" si="97"/>
        <v>560000000</v>
      </c>
      <c r="N100">
        <f t="shared" si="98"/>
        <v>14</v>
      </c>
    </row>
    <row r="101" spans="2:14" x14ac:dyDescent="0.2">
      <c r="B101" t="s">
        <v>66</v>
      </c>
      <c r="C101" t="s">
        <v>91</v>
      </c>
      <c r="D101" t="s">
        <v>84</v>
      </c>
      <c r="E101">
        <f t="shared" si="93"/>
        <v>100000</v>
      </c>
      <c r="F101">
        <v>22</v>
      </c>
      <c r="G101">
        <f t="shared" si="94"/>
        <v>550000000</v>
      </c>
      <c r="H101">
        <f t="shared" si="99"/>
        <v>10000</v>
      </c>
      <c r="I101">
        <v>19</v>
      </c>
      <c r="J101">
        <f t="shared" si="95"/>
        <v>47500000</v>
      </c>
      <c r="L101">
        <f t="shared" si="96"/>
        <v>47500000</v>
      </c>
      <c r="M101">
        <f t="shared" si="97"/>
        <v>502500000</v>
      </c>
      <c r="N101">
        <f t="shared" si="98"/>
        <v>10.578947368421053</v>
      </c>
    </row>
    <row r="102" spans="2:14" x14ac:dyDescent="0.2">
      <c r="B102" t="s">
        <v>66</v>
      </c>
      <c r="C102" t="s">
        <v>91</v>
      </c>
      <c r="D102" t="s">
        <v>85</v>
      </c>
      <c r="E102">
        <f t="shared" si="93"/>
        <v>100000</v>
      </c>
      <c r="F102">
        <v>28</v>
      </c>
      <c r="G102">
        <f t="shared" si="94"/>
        <v>700000000</v>
      </c>
      <c r="H102">
        <f t="shared" si="99"/>
        <v>10000</v>
      </c>
      <c r="I102">
        <v>32</v>
      </c>
      <c r="J102">
        <f t="shared" si="95"/>
        <v>80000000</v>
      </c>
      <c r="L102">
        <f t="shared" si="96"/>
        <v>80000000</v>
      </c>
      <c r="M102">
        <f t="shared" si="97"/>
        <v>620000000</v>
      </c>
      <c r="N102">
        <f t="shared" si="98"/>
        <v>7.75</v>
      </c>
    </row>
    <row r="103" spans="2:14" x14ac:dyDescent="0.2">
      <c r="B103" t="s">
        <v>66</v>
      </c>
      <c r="C103" t="s">
        <v>91</v>
      </c>
      <c r="D103" t="s">
        <v>86</v>
      </c>
      <c r="E103">
        <f t="shared" si="93"/>
        <v>100000</v>
      </c>
      <c r="F103">
        <v>25</v>
      </c>
      <c r="G103">
        <f t="shared" si="94"/>
        <v>625000000</v>
      </c>
      <c r="H103">
        <f t="shared" si="99"/>
        <v>10000</v>
      </c>
      <c r="I103">
        <v>24</v>
      </c>
      <c r="J103">
        <f t="shared" si="95"/>
        <v>60000000</v>
      </c>
      <c r="L103">
        <f t="shared" si="96"/>
        <v>60000000</v>
      </c>
      <c r="M103">
        <f t="shared" si="97"/>
        <v>565000000</v>
      </c>
      <c r="N103">
        <f t="shared" si="98"/>
        <v>9.4166666666666661</v>
      </c>
    </row>
    <row r="104" spans="2:14" x14ac:dyDescent="0.2">
      <c r="B104" t="s">
        <v>66</v>
      </c>
      <c r="C104" t="s">
        <v>91</v>
      </c>
      <c r="D104" t="s">
        <v>87</v>
      </c>
      <c r="E104">
        <f t="shared" si="93"/>
        <v>100000</v>
      </c>
      <c r="F104">
        <v>31</v>
      </c>
      <c r="G104">
        <f t="shared" si="94"/>
        <v>775000000</v>
      </c>
      <c r="H104">
        <f t="shared" si="99"/>
        <v>10000</v>
      </c>
      <c r="I104">
        <v>25</v>
      </c>
      <c r="J104">
        <f t="shared" si="95"/>
        <v>62500000</v>
      </c>
      <c r="L104">
        <f t="shared" si="96"/>
        <v>62500000</v>
      </c>
      <c r="M104">
        <f t="shared" si="97"/>
        <v>712500000</v>
      </c>
      <c r="N104">
        <f t="shared" si="98"/>
        <v>11.4</v>
      </c>
    </row>
    <row r="106" spans="2:14" x14ac:dyDescent="0.2">
      <c r="B106" t="s">
        <v>92</v>
      </c>
      <c r="C106" t="s">
        <v>81</v>
      </c>
      <c r="D106" t="s">
        <v>82</v>
      </c>
      <c r="E106">
        <f t="shared" ref="E106" si="100">10^5</f>
        <v>100000</v>
      </c>
      <c r="F106">
        <v>30</v>
      </c>
      <c r="G106">
        <f t="shared" ref="G106:G111" si="101">E106*F106/0.004</f>
        <v>750000000</v>
      </c>
      <c r="H106">
        <f>10^4</f>
        <v>10000</v>
      </c>
      <c r="I106">
        <v>25</v>
      </c>
      <c r="J106">
        <f t="shared" ref="J106:J111" si="102">H106*I106/0.004</f>
        <v>62500000</v>
      </c>
      <c r="L106">
        <f t="shared" ref="L106:L111" si="103">J106</f>
        <v>62500000</v>
      </c>
      <c r="M106">
        <f t="shared" ref="M106:M111" si="104">G106-J106</f>
        <v>687500000</v>
      </c>
      <c r="N106">
        <f t="shared" ref="N106:N111" si="105">M106/L106</f>
        <v>11</v>
      </c>
    </row>
    <row r="107" spans="2:14" x14ac:dyDescent="0.2">
      <c r="B107" t="s">
        <v>92</v>
      </c>
      <c r="C107" t="s">
        <v>81</v>
      </c>
      <c r="D107" t="s">
        <v>83</v>
      </c>
      <c r="E107">
        <f t="shared" si="93"/>
        <v>100000</v>
      </c>
      <c r="F107">
        <v>26</v>
      </c>
      <c r="G107">
        <f t="shared" si="101"/>
        <v>650000000</v>
      </c>
      <c r="H107">
        <f t="shared" ref="H107:H111" si="106">10^4</f>
        <v>10000</v>
      </c>
      <c r="I107">
        <v>27</v>
      </c>
      <c r="J107">
        <f t="shared" si="102"/>
        <v>67500000</v>
      </c>
      <c r="L107">
        <f t="shared" si="103"/>
        <v>67500000</v>
      </c>
      <c r="M107">
        <f t="shared" si="104"/>
        <v>582500000</v>
      </c>
      <c r="N107">
        <f t="shared" si="105"/>
        <v>8.6296296296296298</v>
      </c>
    </row>
    <row r="108" spans="2:14" x14ac:dyDescent="0.2">
      <c r="B108" t="s">
        <v>92</v>
      </c>
      <c r="C108" t="s">
        <v>81</v>
      </c>
      <c r="D108" t="s">
        <v>84</v>
      </c>
      <c r="E108">
        <f t="shared" si="93"/>
        <v>100000</v>
      </c>
      <c r="F108">
        <v>26</v>
      </c>
      <c r="G108">
        <f t="shared" si="101"/>
        <v>650000000</v>
      </c>
      <c r="H108">
        <f t="shared" si="106"/>
        <v>10000</v>
      </c>
      <c r="I108">
        <v>22</v>
      </c>
      <c r="J108">
        <f t="shared" si="102"/>
        <v>55000000</v>
      </c>
      <c r="L108">
        <f t="shared" si="103"/>
        <v>55000000</v>
      </c>
      <c r="M108">
        <f t="shared" si="104"/>
        <v>595000000</v>
      </c>
      <c r="N108">
        <f t="shared" si="105"/>
        <v>10.818181818181818</v>
      </c>
    </row>
    <row r="109" spans="2:14" x14ac:dyDescent="0.2">
      <c r="B109" t="s">
        <v>92</v>
      </c>
      <c r="C109" t="s">
        <v>81</v>
      </c>
      <c r="D109" t="s">
        <v>85</v>
      </c>
      <c r="E109">
        <f t="shared" si="93"/>
        <v>100000</v>
      </c>
      <c r="F109">
        <v>19</v>
      </c>
      <c r="G109">
        <f t="shared" si="101"/>
        <v>475000000</v>
      </c>
      <c r="H109">
        <f t="shared" si="106"/>
        <v>10000</v>
      </c>
      <c r="I109">
        <v>23</v>
      </c>
      <c r="J109">
        <f t="shared" si="102"/>
        <v>57500000</v>
      </c>
      <c r="L109">
        <f t="shared" si="103"/>
        <v>57500000</v>
      </c>
      <c r="M109">
        <f t="shared" si="104"/>
        <v>417500000</v>
      </c>
      <c r="N109">
        <f t="shared" si="105"/>
        <v>7.2608695652173916</v>
      </c>
    </row>
    <row r="110" spans="2:14" x14ac:dyDescent="0.2">
      <c r="B110" t="s">
        <v>92</v>
      </c>
      <c r="C110" t="s">
        <v>81</v>
      </c>
      <c r="D110" t="s">
        <v>86</v>
      </c>
      <c r="E110">
        <f t="shared" si="93"/>
        <v>100000</v>
      </c>
      <c r="F110">
        <v>30</v>
      </c>
      <c r="G110">
        <f t="shared" si="101"/>
        <v>750000000</v>
      </c>
      <c r="H110">
        <f t="shared" si="106"/>
        <v>10000</v>
      </c>
      <c r="I110">
        <v>26</v>
      </c>
      <c r="J110">
        <f t="shared" si="102"/>
        <v>65000000</v>
      </c>
      <c r="L110">
        <f t="shared" si="103"/>
        <v>65000000</v>
      </c>
      <c r="M110">
        <f t="shared" si="104"/>
        <v>685000000</v>
      </c>
      <c r="N110">
        <f t="shared" si="105"/>
        <v>10.538461538461538</v>
      </c>
    </row>
    <row r="111" spans="2:14" x14ac:dyDescent="0.2">
      <c r="B111" t="s">
        <v>92</v>
      </c>
      <c r="C111" t="s">
        <v>81</v>
      </c>
      <c r="D111" t="s">
        <v>87</v>
      </c>
      <c r="E111">
        <f t="shared" si="93"/>
        <v>100000</v>
      </c>
      <c r="F111">
        <v>26</v>
      </c>
      <c r="G111">
        <f t="shared" si="101"/>
        <v>650000000</v>
      </c>
      <c r="H111">
        <f t="shared" si="106"/>
        <v>10000</v>
      </c>
      <c r="I111">
        <v>23</v>
      </c>
      <c r="J111">
        <f t="shared" si="102"/>
        <v>57500000</v>
      </c>
      <c r="L111">
        <f t="shared" si="103"/>
        <v>57500000</v>
      </c>
      <c r="M111">
        <f t="shared" si="104"/>
        <v>592500000</v>
      </c>
      <c r="N111">
        <f t="shared" si="105"/>
        <v>10.304347826086957</v>
      </c>
    </row>
    <row r="113" spans="1:14" x14ac:dyDescent="0.2">
      <c r="B113" t="s">
        <v>92</v>
      </c>
      <c r="C113" t="s">
        <v>91</v>
      </c>
      <c r="D113" t="s">
        <v>82</v>
      </c>
      <c r="E113">
        <f t="shared" ref="E113" si="107">10^5</f>
        <v>100000</v>
      </c>
      <c r="F113">
        <v>26</v>
      </c>
      <c r="G113">
        <f t="shared" ref="G113:G118" si="108">E113*F113/0.004</f>
        <v>650000000</v>
      </c>
      <c r="H113">
        <f>10^4</f>
        <v>10000</v>
      </c>
      <c r="I113">
        <v>16</v>
      </c>
      <c r="J113">
        <f t="shared" ref="J113:J117" si="109">H113*I113/0.004</f>
        <v>40000000</v>
      </c>
      <c r="L113">
        <f t="shared" ref="L113:L118" si="110">J113</f>
        <v>40000000</v>
      </c>
      <c r="M113">
        <f t="shared" ref="M113:M118" si="111">G113-J113</f>
        <v>610000000</v>
      </c>
      <c r="N113">
        <f t="shared" ref="N113:N118" si="112">M113/L113</f>
        <v>15.25</v>
      </c>
    </row>
    <row r="114" spans="1:14" x14ac:dyDescent="0.2">
      <c r="B114" t="s">
        <v>92</v>
      </c>
      <c r="C114" t="s">
        <v>91</v>
      </c>
      <c r="D114" t="s">
        <v>83</v>
      </c>
      <c r="E114">
        <f t="shared" si="93"/>
        <v>100000</v>
      </c>
      <c r="F114">
        <v>25</v>
      </c>
      <c r="G114">
        <f t="shared" si="108"/>
        <v>625000000</v>
      </c>
      <c r="H114">
        <f t="shared" ref="H114:H118" si="113">10^4</f>
        <v>10000</v>
      </c>
      <c r="I114">
        <v>28</v>
      </c>
      <c r="J114">
        <f t="shared" si="109"/>
        <v>70000000</v>
      </c>
      <c r="L114">
        <f t="shared" si="110"/>
        <v>70000000</v>
      </c>
      <c r="M114">
        <f t="shared" si="111"/>
        <v>555000000</v>
      </c>
      <c r="N114">
        <f t="shared" si="112"/>
        <v>7.9285714285714288</v>
      </c>
    </row>
    <row r="115" spans="1:14" x14ac:dyDescent="0.2">
      <c r="B115" t="s">
        <v>92</v>
      </c>
      <c r="C115" t="s">
        <v>91</v>
      </c>
      <c r="D115" t="s">
        <v>84</v>
      </c>
      <c r="E115">
        <f t="shared" si="93"/>
        <v>100000</v>
      </c>
      <c r="F115">
        <v>32</v>
      </c>
      <c r="G115">
        <f t="shared" si="108"/>
        <v>800000000</v>
      </c>
      <c r="H115">
        <f t="shared" si="113"/>
        <v>10000</v>
      </c>
      <c r="I115">
        <v>33</v>
      </c>
      <c r="J115">
        <f t="shared" si="109"/>
        <v>82500000</v>
      </c>
      <c r="L115">
        <f t="shared" si="110"/>
        <v>82500000</v>
      </c>
      <c r="M115">
        <f t="shared" si="111"/>
        <v>717500000</v>
      </c>
      <c r="N115">
        <f t="shared" si="112"/>
        <v>8.6969696969696972</v>
      </c>
    </row>
    <row r="116" spans="1:14" x14ac:dyDescent="0.2">
      <c r="B116" t="s">
        <v>92</v>
      </c>
      <c r="C116" t="s">
        <v>91</v>
      </c>
      <c r="D116" t="s">
        <v>85</v>
      </c>
      <c r="E116">
        <f t="shared" si="93"/>
        <v>100000</v>
      </c>
      <c r="F116">
        <v>30</v>
      </c>
      <c r="G116">
        <f t="shared" si="108"/>
        <v>750000000</v>
      </c>
      <c r="H116">
        <f t="shared" si="113"/>
        <v>10000</v>
      </c>
      <c r="I116">
        <v>33</v>
      </c>
      <c r="J116">
        <f t="shared" si="109"/>
        <v>82500000</v>
      </c>
      <c r="L116">
        <f t="shared" si="110"/>
        <v>82500000</v>
      </c>
      <c r="M116">
        <f t="shared" si="111"/>
        <v>667500000</v>
      </c>
      <c r="N116">
        <f t="shared" si="112"/>
        <v>8.0909090909090917</v>
      </c>
    </row>
    <row r="117" spans="1:14" x14ac:dyDescent="0.2">
      <c r="B117" t="s">
        <v>92</v>
      </c>
      <c r="C117" t="s">
        <v>91</v>
      </c>
      <c r="D117" t="s">
        <v>86</v>
      </c>
      <c r="E117">
        <f t="shared" si="93"/>
        <v>100000</v>
      </c>
      <c r="F117">
        <v>32</v>
      </c>
      <c r="G117">
        <f t="shared" si="108"/>
        <v>800000000</v>
      </c>
      <c r="H117">
        <f t="shared" si="113"/>
        <v>10000</v>
      </c>
      <c r="I117">
        <v>27</v>
      </c>
      <c r="J117">
        <f t="shared" si="109"/>
        <v>67500000</v>
      </c>
      <c r="L117">
        <f t="shared" si="110"/>
        <v>67500000</v>
      </c>
      <c r="M117">
        <f t="shared" si="111"/>
        <v>732500000</v>
      </c>
      <c r="N117">
        <f t="shared" si="112"/>
        <v>10.851851851851851</v>
      </c>
    </row>
    <row r="118" spans="1:14" x14ac:dyDescent="0.2">
      <c r="B118" t="s">
        <v>92</v>
      </c>
      <c r="C118" t="s">
        <v>91</v>
      </c>
      <c r="D118" t="s">
        <v>87</v>
      </c>
      <c r="E118">
        <f t="shared" si="93"/>
        <v>100000</v>
      </c>
      <c r="F118">
        <v>29</v>
      </c>
      <c r="G118">
        <f t="shared" si="108"/>
        <v>725000000</v>
      </c>
      <c r="H118">
        <f t="shared" si="113"/>
        <v>10000</v>
      </c>
      <c r="I118">
        <v>32</v>
      </c>
      <c r="J118">
        <f>H118*I118/0.004</f>
        <v>80000000</v>
      </c>
      <c r="L118">
        <f t="shared" si="110"/>
        <v>80000000</v>
      </c>
      <c r="M118">
        <f t="shared" si="111"/>
        <v>645000000</v>
      </c>
      <c r="N118">
        <f t="shared" si="112"/>
        <v>8.0625</v>
      </c>
    </row>
    <row r="125" spans="1:14" s="15" customFormat="1" ht="21" x14ac:dyDescent="0.25">
      <c r="A125" s="14" t="s">
        <v>651</v>
      </c>
    </row>
    <row r="127" spans="1:14" x14ac:dyDescent="0.2">
      <c r="A127" t="s">
        <v>192</v>
      </c>
    </row>
    <row r="129" spans="1:15" x14ac:dyDescent="0.2">
      <c r="A129" t="s">
        <v>57</v>
      </c>
    </row>
    <row r="130" spans="1:15" x14ac:dyDescent="0.2">
      <c r="F130" t="s">
        <v>55</v>
      </c>
      <c r="J130" t="s">
        <v>104</v>
      </c>
    </row>
    <row r="131" spans="1:15" x14ac:dyDescent="0.2">
      <c r="B131" t="s">
        <v>58</v>
      </c>
      <c r="C131" t="s">
        <v>59</v>
      </c>
      <c r="E131" t="s">
        <v>60</v>
      </c>
      <c r="F131" t="s">
        <v>61</v>
      </c>
      <c r="G131" t="s">
        <v>62</v>
      </c>
      <c r="I131" t="s">
        <v>60</v>
      </c>
      <c r="J131" t="s">
        <v>61</v>
      </c>
      <c r="K131" t="s">
        <v>62</v>
      </c>
      <c r="M131" t="s">
        <v>105</v>
      </c>
      <c r="N131" t="s">
        <v>106</v>
      </c>
      <c r="O131" t="s">
        <v>107</v>
      </c>
    </row>
    <row r="132" spans="1:15" x14ac:dyDescent="0.2">
      <c r="B132" t="s">
        <v>108</v>
      </c>
      <c r="C132" t="s">
        <v>109</v>
      </c>
      <c r="D132" t="s">
        <v>110</v>
      </c>
      <c r="E132">
        <f>10^5</f>
        <v>100000</v>
      </c>
      <c r="F132">
        <v>39</v>
      </c>
      <c r="G132">
        <f>(E132*F132)/0.004</f>
        <v>975000000</v>
      </c>
      <c r="I132">
        <f>10^4</f>
        <v>10000</v>
      </c>
      <c r="J132">
        <v>36</v>
      </c>
      <c r="K132">
        <f>(I132*J132)/0.004</f>
        <v>90000000</v>
      </c>
      <c r="M132">
        <f>K132</f>
        <v>90000000</v>
      </c>
      <c r="N132">
        <f>G132-K132</f>
        <v>885000000</v>
      </c>
      <c r="O132">
        <f>N132/M132</f>
        <v>9.8333333333333339</v>
      </c>
    </row>
    <row r="133" spans="1:15" x14ac:dyDescent="0.2">
      <c r="D133" t="s">
        <v>111</v>
      </c>
      <c r="E133">
        <f t="shared" ref="E133:E186" si="114">10^5</f>
        <v>100000</v>
      </c>
      <c r="F133">
        <v>44</v>
      </c>
      <c r="G133">
        <f t="shared" ref="G133:G134" si="115">(E133*F133)/0.004</f>
        <v>1100000000</v>
      </c>
      <c r="I133">
        <f t="shared" ref="I133:I134" si="116">10^4</f>
        <v>10000</v>
      </c>
      <c r="J133">
        <v>36</v>
      </c>
      <c r="K133">
        <f t="shared" ref="K133:K134" si="117">(I133*J133)/0.004</f>
        <v>90000000</v>
      </c>
      <c r="M133">
        <f t="shared" ref="M133:M134" si="118">K133</f>
        <v>90000000</v>
      </c>
      <c r="N133">
        <f t="shared" ref="N133:N134" si="119">G133-K133</f>
        <v>1010000000</v>
      </c>
      <c r="O133">
        <f t="shared" ref="O133:O134" si="120">N133/M133</f>
        <v>11.222222222222221</v>
      </c>
    </row>
    <row r="134" spans="1:15" x14ac:dyDescent="0.2">
      <c r="D134" t="s">
        <v>112</v>
      </c>
      <c r="E134">
        <f t="shared" si="114"/>
        <v>100000</v>
      </c>
      <c r="F134">
        <v>37</v>
      </c>
      <c r="G134">
        <f t="shared" si="115"/>
        <v>925000000</v>
      </c>
      <c r="I134">
        <f t="shared" si="116"/>
        <v>10000</v>
      </c>
      <c r="J134">
        <v>36</v>
      </c>
      <c r="K134">
        <f t="shared" si="117"/>
        <v>90000000</v>
      </c>
      <c r="M134">
        <f t="shared" si="118"/>
        <v>90000000</v>
      </c>
      <c r="N134">
        <f t="shared" si="119"/>
        <v>835000000</v>
      </c>
      <c r="O134">
        <f t="shared" si="120"/>
        <v>9.2777777777777786</v>
      </c>
    </row>
    <row r="135" spans="1:15" x14ac:dyDescent="0.2">
      <c r="D135" t="s">
        <v>113</v>
      </c>
      <c r="E135">
        <f>10^5</f>
        <v>100000</v>
      </c>
      <c r="F135">
        <v>35</v>
      </c>
      <c r="G135">
        <f>(E135*F135)/0.004</f>
        <v>875000000</v>
      </c>
      <c r="I135">
        <f>10^4</f>
        <v>10000</v>
      </c>
      <c r="J135">
        <v>39</v>
      </c>
      <c r="K135">
        <f>(I135*J135)/0.004</f>
        <v>97500000</v>
      </c>
      <c r="M135">
        <f>K135</f>
        <v>97500000</v>
      </c>
      <c r="N135">
        <f>G135-K135</f>
        <v>777500000</v>
      </c>
      <c r="O135">
        <f>N135/M135</f>
        <v>7.9743589743589745</v>
      </c>
    </row>
    <row r="136" spans="1:15" x14ac:dyDescent="0.2">
      <c r="D136" t="s">
        <v>114</v>
      </c>
      <c r="E136">
        <f t="shared" ref="E136:E137" si="121">10^5</f>
        <v>100000</v>
      </c>
      <c r="F136">
        <v>38</v>
      </c>
      <c r="G136">
        <f t="shared" ref="G136:G137" si="122">(E136*F136)/0.004</f>
        <v>950000000</v>
      </c>
      <c r="I136">
        <f t="shared" ref="I136:I137" si="123">10^4</f>
        <v>10000</v>
      </c>
      <c r="J136">
        <v>44</v>
      </c>
      <c r="K136">
        <f t="shared" ref="K136:K137" si="124">(I136*J136)/0.004</f>
        <v>110000000</v>
      </c>
      <c r="M136">
        <f t="shared" ref="M136:M137" si="125">K136</f>
        <v>110000000</v>
      </c>
      <c r="N136">
        <f t="shared" ref="N136:N137" si="126">G136-K136</f>
        <v>840000000</v>
      </c>
      <c r="O136">
        <f t="shared" ref="O136:O137" si="127">N136/M136</f>
        <v>7.6363636363636367</v>
      </c>
    </row>
    <row r="137" spans="1:15" x14ac:dyDescent="0.2">
      <c r="D137" t="s">
        <v>115</v>
      </c>
      <c r="E137">
        <f t="shared" si="121"/>
        <v>100000</v>
      </c>
      <c r="F137">
        <v>37</v>
      </c>
      <c r="G137">
        <f t="shared" si="122"/>
        <v>925000000</v>
      </c>
      <c r="I137">
        <f t="shared" si="123"/>
        <v>10000</v>
      </c>
      <c r="J137">
        <v>35</v>
      </c>
      <c r="K137">
        <f t="shared" si="124"/>
        <v>87500000</v>
      </c>
      <c r="M137">
        <f t="shared" si="125"/>
        <v>87500000</v>
      </c>
      <c r="N137">
        <f t="shared" si="126"/>
        <v>837500000</v>
      </c>
      <c r="O137">
        <f t="shared" si="127"/>
        <v>9.5714285714285712</v>
      </c>
    </row>
    <row r="139" spans="1:15" x14ac:dyDescent="0.2">
      <c r="C139" t="s">
        <v>116</v>
      </c>
      <c r="D139" t="s">
        <v>117</v>
      </c>
      <c r="E139">
        <f t="shared" si="114"/>
        <v>100000</v>
      </c>
      <c r="F139">
        <v>34</v>
      </c>
      <c r="G139">
        <f>(E139*F139)/0.004</f>
        <v>850000000</v>
      </c>
      <c r="I139">
        <f t="shared" ref="I139:I186" si="128">10^4</f>
        <v>10000</v>
      </c>
      <c r="J139">
        <v>26</v>
      </c>
      <c r="K139">
        <f t="shared" ref="K139:K144" si="129">(I139*J139)/0.004</f>
        <v>65000000</v>
      </c>
      <c r="M139">
        <f t="shared" ref="M139:M144" si="130">K139</f>
        <v>65000000</v>
      </c>
      <c r="N139">
        <f t="shared" ref="N139:N144" si="131">G139-K139</f>
        <v>785000000</v>
      </c>
      <c r="O139">
        <f t="shared" ref="O139:O144" si="132">N139/M139</f>
        <v>12.076923076923077</v>
      </c>
    </row>
    <row r="140" spans="1:15" x14ac:dyDescent="0.2">
      <c r="D140" t="s">
        <v>118</v>
      </c>
      <c r="E140">
        <f t="shared" si="114"/>
        <v>100000</v>
      </c>
      <c r="F140">
        <v>44</v>
      </c>
      <c r="G140">
        <f>(E140*F140)/0.004</f>
        <v>1100000000</v>
      </c>
      <c r="I140">
        <f t="shared" si="128"/>
        <v>10000</v>
      </c>
      <c r="J140">
        <v>28</v>
      </c>
      <c r="K140">
        <f t="shared" si="129"/>
        <v>70000000</v>
      </c>
      <c r="M140">
        <f t="shared" si="130"/>
        <v>70000000</v>
      </c>
      <c r="N140">
        <f t="shared" si="131"/>
        <v>1030000000</v>
      </c>
      <c r="O140">
        <f t="shared" si="132"/>
        <v>14.714285714285714</v>
      </c>
    </row>
    <row r="141" spans="1:15" x14ac:dyDescent="0.2">
      <c r="D141" t="s">
        <v>119</v>
      </c>
      <c r="E141">
        <f t="shared" si="114"/>
        <v>100000</v>
      </c>
      <c r="F141">
        <v>35</v>
      </c>
      <c r="G141">
        <f>(E141*F141)/0.004</f>
        <v>875000000</v>
      </c>
      <c r="I141">
        <f t="shared" si="128"/>
        <v>10000</v>
      </c>
      <c r="J141">
        <v>18</v>
      </c>
      <c r="K141">
        <f t="shared" si="129"/>
        <v>45000000</v>
      </c>
      <c r="M141">
        <f t="shared" si="130"/>
        <v>45000000</v>
      </c>
      <c r="N141">
        <f t="shared" si="131"/>
        <v>830000000</v>
      </c>
      <c r="O141">
        <f t="shared" si="132"/>
        <v>18.444444444444443</v>
      </c>
    </row>
    <row r="142" spans="1:15" x14ac:dyDescent="0.2">
      <c r="D142" t="s">
        <v>120</v>
      </c>
      <c r="E142">
        <f t="shared" si="114"/>
        <v>100000</v>
      </c>
      <c r="F142">
        <v>38</v>
      </c>
      <c r="G142">
        <f t="shared" ref="G142:G144" si="133">(E142*F142)/0.004</f>
        <v>950000000</v>
      </c>
      <c r="I142">
        <f t="shared" si="128"/>
        <v>10000</v>
      </c>
      <c r="J142">
        <v>20</v>
      </c>
      <c r="K142">
        <f t="shared" si="129"/>
        <v>50000000</v>
      </c>
      <c r="M142">
        <f t="shared" si="130"/>
        <v>50000000</v>
      </c>
      <c r="N142">
        <f t="shared" si="131"/>
        <v>900000000</v>
      </c>
      <c r="O142">
        <f t="shared" si="132"/>
        <v>18</v>
      </c>
    </row>
    <row r="143" spans="1:15" x14ac:dyDescent="0.2">
      <c r="D143" t="s">
        <v>121</v>
      </c>
      <c r="E143">
        <f t="shared" si="114"/>
        <v>100000</v>
      </c>
      <c r="F143">
        <v>41</v>
      </c>
      <c r="G143">
        <f t="shared" si="133"/>
        <v>1025000000</v>
      </c>
      <c r="I143">
        <f t="shared" si="128"/>
        <v>10000</v>
      </c>
      <c r="J143">
        <v>15</v>
      </c>
      <c r="K143">
        <f t="shared" si="129"/>
        <v>37500000</v>
      </c>
      <c r="M143">
        <f t="shared" si="130"/>
        <v>37500000</v>
      </c>
      <c r="N143">
        <f t="shared" si="131"/>
        <v>987500000</v>
      </c>
      <c r="O143">
        <f t="shared" si="132"/>
        <v>26.333333333333332</v>
      </c>
    </row>
    <row r="144" spans="1:15" x14ac:dyDescent="0.2">
      <c r="D144" t="s">
        <v>122</v>
      </c>
      <c r="E144">
        <f t="shared" si="114"/>
        <v>100000</v>
      </c>
      <c r="F144">
        <v>38</v>
      </c>
      <c r="G144">
        <f t="shared" si="133"/>
        <v>950000000</v>
      </c>
      <c r="I144">
        <f t="shared" si="128"/>
        <v>10000</v>
      </c>
      <c r="J144">
        <v>18</v>
      </c>
      <c r="K144">
        <f t="shared" si="129"/>
        <v>45000000</v>
      </c>
      <c r="M144">
        <f t="shared" si="130"/>
        <v>45000000</v>
      </c>
      <c r="N144">
        <f t="shared" si="131"/>
        <v>905000000</v>
      </c>
      <c r="O144">
        <f t="shared" si="132"/>
        <v>20.111111111111111</v>
      </c>
    </row>
    <row r="146" spans="3:15" x14ac:dyDescent="0.2">
      <c r="C146" t="s">
        <v>124</v>
      </c>
      <c r="D146" t="s">
        <v>125</v>
      </c>
      <c r="E146">
        <f t="shared" si="114"/>
        <v>100000</v>
      </c>
      <c r="F146">
        <v>42</v>
      </c>
      <c r="G146">
        <f>(E146*F146)/0.004</f>
        <v>1050000000</v>
      </c>
      <c r="I146">
        <f t="shared" ref="I146" si="134">10^4</f>
        <v>10000</v>
      </c>
      <c r="J146">
        <v>36</v>
      </c>
      <c r="K146">
        <f t="shared" ref="K146" si="135">(I146*J146)/0.004</f>
        <v>90000000</v>
      </c>
      <c r="M146">
        <f t="shared" ref="M146:M151" si="136">K146</f>
        <v>90000000</v>
      </c>
      <c r="N146">
        <f t="shared" ref="N146:N151" si="137">G146-K146</f>
        <v>960000000</v>
      </c>
      <c r="O146">
        <f t="shared" ref="O146:O151" si="138">N146/M146</f>
        <v>10.666666666666666</v>
      </c>
    </row>
    <row r="147" spans="3:15" x14ac:dyDescent="0.2">
      <c r="D147" t="s">
        <v>126</v>
      </c>
      <c r="E147">
        <f t="shared" si="114"/>
        <v>100000</v>
      </c>
      <c r="F147">
        <v>39</v>
      </c>
      <c r="G147">
        <f>(E147*F147)/0.004</f>
        <v>975000000</v>
      </c>
      <c r="I147">
        <f t="shared" si="128"/>
        <v>10000</v>
      </c>
      <c r="J147">
        <v>37</v>
      </c>
      <c r="K147">
        <f>(I147*J147)/0.004</f>
        <v>92500000</v>
      </c>
      <c r="M147">
        <f t="shared" si="136"/>
        <v>92500000</v>
      </c>
      <c r="N147">
        <f t="shared" si="137"/>
        <v>882500000</v>
      </c>
      <c r="O147">
        <f t="shared" si="138"/>
        <v>9.5405405405405403</v>
      </c>
    </row>
    <row r="148" spans="3:15" x14ac:dyDescent="0.2">
      <c r="D148" t="s">
        <v>127</v>
      </c>
      <c r="E148">
        <f t="shared" si="114"/>
        <v>100000</v>
      </c>
      <c r="F148">
        <v>38</v>
      </c>
      <c r="G148">
        <f>(E148*F148)/0.004</f>
        <v>950000000</v>
      </c>
      <c r="I148">
        <f t="shared" si="128"/>
        <v>10000</v>
      </c>
      <c r="J148">
        <v>24</v>
      </c>
      <c r="K148">
        <f>(I148*J148)/0.004</f>
        <v>60000000</v>
      </c>
      <c r="M148">
        <f t="shared" si="136"/>
        <v>60000000</v>
      </c>
      <c r="N148">
        <f t="shared" si="137"/>
        <v>890000000</v>
      </c>
      <c r="O148">
        <f t="shared" si="138"/>
        <v>14.833333333333334</v>
      </c>
    </row>
    <row r="149" spans="3:15" x14ac:dyDescent="0.2">
      <c r="D149" t="s">
        <v>128</v>
      </c>
      <c r="E149">
        <f t="shared" si="114"/>
        <v>100000</v>
      </c>
      <c r="F149">
        <v>34</v>
      </c>
      <c r="G149">
        <f t="shared" ref="G149:G151" si="139">(E149*F149)/0.004</f>
        <v>850000000</v>
      </c>
      <c r="I149">
        <f t="shared" si="128"/>
        <v>10000</v>
      </c>
      <c r="J149">
        <v>30</v>
      </c>
      <c r="K149">
        <f t="shared" ref="K149:K151" si="140">(I149*J149)/0.004</f>
        <v>75000000</v>
      </c>
      <c r="M149">
        <f t="shared" si="136"/>
        <v>75000000</v>
      </c>
      <c r="N149">
        <f t="shared" si="137"/>
        <v>775000000</v>
      </c>
      <c r="O149">
        <f t="shared" si="138"/>
        <v>10.333333333333334</v>
      </c>
    </row>
    <row r="150" spans="3:15" x14ac:dyDescent="0.2">
      <c r="D150" t="s">
        <v>129</v>
      </c>
      <c r="E150">
        <f t="shared" si="114"/>
        <v>100000</v>
      </c>
      <c r="F150">
        <v>33</v>
      </c>
      <c r="G150">
        <f t="shared" si="139"/>
        <v>825000000</v>
      </c>
      <c r="I150">
        <f t="shared" si="128"/>
        <v>10000</v>
      </c>
      <c r="J150">
        <v>29</v>
      </c>
      <c r="K150">
        <f t="shared" si="140"/>
        <v>72500000</v>
      </c>
      <c r="M150">
        <f t="shared" si="136"/>
        <v>72500000</v>
      </c>
      <c r="N150">
        <f t="shared" si="137"/>
        <v>752500000</v>
      </c>
      <c r="O150">
        <f t="shared" si="138"/>
        <v>10.379310344827585</v>
      </c>
    </row>
    <row r="151" spans="3:15" x14ac:dyDescent="0.2">
      <c r="D151" t="s">
        <v>130</v>
      </c>
      <c r="E151">
        <f t="shared" si="114"/>
        <v>100000</v>
      </c>
      <c r="F151">
        <v>41</v>
      </c>
      <c r="G151">
        <f t="shared" si="139"/>
        <v>1025000000</v>
      </c>
      <c r="I151">
        <f t="shared" si="128"/>
        <v>10000</v>
      </c>
      <c r="J151">
        <v>32</v>
      </c>
      <c r="K151">
        <f t="shared" si="140"/>
        <v>80000000</v>
      </c>
      <c r="M151">
        <f t="shared" si="136"/>
        <v>80000000</v>
      </c>
      <c r="N151">
        <f t="shared" si="137"/>
        <v>945000000</v>
      </c>
      <c r="O151">
        <f t="shared" si="138"/>
        <v>11.8125</v>
      </c>
    </row>
    <row r="153" spans="3:15" x14ac:dyDescent="0.2">
      <c r="C153" t="s">
        <v>131</v>
      </c>
      <c r="D153" t="s">
        <v>286</v>
      </c>
      <c r="E153">
        <f>10^5</f>
        <v>100000</v>
      </c>
      <c r="F153">
        <v>33</v>
      </c>
      <c r="G153">
        <f>E153*F153/0.004</f>
        <v>825000000</v>
      </c>
      <c r="I153">
        <f>10^4</f>
        <v>10000</v>
      </c>
      <c r="J153">
        <v>39</v>
      </c>
      <c r="K153">
        <f>I153*J153/0.004</f>
        <v>97500000</v>
      </c>
      <c r="M153">
        <f>K153</f>
        <v>97500000</v>
      </c>
      <c r="N153">
        <f>G153-K153</f>
        <v>727500000</v>
      </c>
      <c r="O153">
        <f>N153/M153</f>
        <v>7.4615384615384617</v>
      </c>
    </row>
    <row r="154" spans="3:15" x14ac:dyDescent="0.2">
      <c r="D154" t="s">
        <v>287</v>
      </c>
      <c r="E154">
        <f t="shared" ref="E154:E158" si="141">10^5</f>
        <v>100000</v>
      </c>
      <c r="F154">
        <v>39</v>
      </c>
      <c r="G154">
        <f t="shared" ref="G154:G158" si="142">E154*F154/0.004</f>
        <v>975000000</v>
      </c>
      <c r="I154">
        <f t="shared" ref="I154:I158" si="143">10^4</f>
        <v>10000</v>
      </c>
      <c r="J154">
        <v>35</v>
      </c>
      <c r="K154">
        <f t="shared" ref="K154:K157" si="144">I154*J154/0.004</f>
        <v>87500000</v>
      </c>
      <c r="M154">
        <f t="shared" ref="M154:M158" si="145">K154</f>
        <v>87500000</v>
      </c>
      <c r="N154">
        <f t="shared" ref="N154:N158" si="146">G154-K154</f>
        <v>887500000</v>
      </c>
      <c r="O154">
        <f t="shared" ref="O154:O158" si="147">N154/M154</f>
        <v>10.142857142857142</v>
      </c>
    </row>
    <row r="155" spans="3:15" x14ac:dyDescent="0.2">
      <c r="D155" t="s">
        <v>288</v>
      </c>
      <c r="E155">
        <f t="shared" si="141"/>
        <v>100000</v>
      </c>
      <c r="F155">
        <v>38</v>
      </c>
      <c r="G155">
        <f t="shared" si="142"/>
        <v>950000000</v>
      </c>
      <c r="I155">
        <f t="shared" si="143"/>
        <v>10000</v>
      </c>
      <c r="J155">
        <v>42</v>
      </c>
      <c r="K155">
        <f t="shared" si="144"/>
        <v>105000000</v>
      </c>
      <c r="M155">
        <f t="shared" si="145"/>
        <v>105000000</v>
      </c>
      <c r="N155">
        <f t="shared" si="146"/>
        <v>845000000</v>
      </c>
      <c r="O155">
        <f t="shared" si="147"/>
        <v>8.0476190476190474</v>
      </c>
    </row>
    <row r="156" spans="3:15" x14ac:dyDescent="0.2">
      <c r="D156" t="s">
        <v>289</v>
      </c>
      <c r="E156">
        <f t="shared" si="141"/>
        <v>100000</v>
      </c>
      <c r="F156">
        <v>35</v>
      </c>
      <c r="G156">
        <f t="shared" si="142"/>
        <v>875000000</v>
      </c>
      <c r="I156">
        <f t="shared" si="143"/>
        <v>10000</v>
      </c>
      <c r="J156">
        <v>29</v>
      </c>
      <c r="K156">
        <f t="shared" si="144"/>
        <v>72500000</v>
      </c>
      <c r="M156">
        <f t="shared" si="145"/>
        <v>72500000</v>
      </c>
      <c r="N156">
        <f t="shared" si="146"/>
        <v>802500000</v>
      </c>
      <c r="O156">
        <f t="shared" si="147"/>
        <v>11.068965517241379</v>
      </c>
    </row>
    <row r="157" spans="3:15" x14ac:dyDescent="0.2">
      <c r="D157" t="s">
        <v>290</v>
      </c>
      <c r="E157">
        <f t="shared" si="141"/>
        <v>100000</v>
      </c>
      <c r="F157">
        <v>44</v>
      </c>
      <c r="G157">
        <f t="shared" si="142"/>
        <v>1100000000</v>
      </c>
      <c r="I157">
        <f t="shared" si="143"/>
        <v>10000</v>
      </c>
      <c r="J157">
        <v>40</v>
      </c>
      <c r="K157">
        <f t="shared" si="144"/>
        <v>100000000</v>
      </c>
      <c r="M157">
        <f t="shared" si="145"/>
        <v>100000000</v>
      </c>
      <c r="N157">
        <f t="shared" si="146"/>
        <v>1000000000</v>
      </c>
      <c r="O157">
        <f t="shared" si="147"/>
        <v>10</v>
      </c>
    </row>
    <row r="158" spans="3:15" x14ac:dyDescent="0.2">
      <c r="D158" t="s">
        <v>291</v>
      </c>
      <c r="E158">
        <f t="shared" si="141"/>
        <v>100000</v>
      </c>
      <c r="F158">
        <v>48</v>
      </c>
      <c r="G158">
        <f t="shared" si="142"/>
        <v>1200000000</v>
      </c>
      <c r="I158">
        <f t="shared" si="143"/>
        <v>10000</v>
      </c>
      <c r="J158">
        <v>30</v>
      </c>
      <c r="K158">
        <f>I158*J158/0.004</f>
        <v>75000000</v>
      </c>
      <c r="M158">
        <f t="shared" si="145"/>
        <v>75000000</v>
      </c>
      <c r="N158">
        <f t="shared" si="146"/>
        <v>1125000000</v>
      </c>
      <c r="O158">
        <f t="shared" si="147"/>
        <v>15</v>
      </c>
    </row>
    <row r="160" spans="3:15" x14ac:dyDescent="0.2">
      <c r="C160" t="s">
        <v>285</v>
      </c>
      <c r="D160" t="s">
        <v>292</v>
      </c>
      <c r="E160">
        <f>10^6</f>
        <v>1000000</v>
      </c>
      <c r="F160">
        <v>13</v>
      </c>
      <c r="G160">
        <f>E160*F160/0.004</f>
        <v>3250000000</v>
      </c>
      <c r="I160">
        <f>10^5</f>
        <v>100000</v>
      </c>
      <c r="J160">
        <v>10</v>
      </c>
      <c r="K160">
        <f>I160*J160/0.004</f>
        <v>250000000</v>
      </c>
      <c r="M160">
        <f t="shared" ref="M160:M165" si="148">K160</f>
        <v>250000000</v>
      </c>
      <c r="N160">
        <f t="shared" ref="N160:N165" si="149">G160-K160</f>
        <v>3000000000</v>
      </c>
      <c r="O160">
        <f t="shared" ref="O160:O165" si="150">N160/M160</f>
        <v>12</v>
      </c>
    </row>
    <row r="161" spans="2:30" x14ac:dyDescent="0.2">
      <c r="D161" t="s">
        <v>293</v>
      </c>
      <c r="E161">
        <f>10^5</f>
        <v>100000</v>
      </c>
      <c r="F161">
        <v>41</v>
      </c>
      <c r="G161">
        <f t="shared" ref="G161:G165" si="151">E161*F161/0.004</f>
        <v>1025000000</v>
      </c>
      <c r="I161">
        <f>10^4</f>
        <v>10000</v>
      </c>
      <c r="J161">
        <v>34</v>
      </c>
      <c r="K161">
        <f t="shared" ref="K161:K165" si="152">I161*J161/0.004</f>
        <v>85000000</v>
      </c>
      <c r="M161">
        <f t="shared" si="148"/>
        <v>85000000</v>
      </c>
      <c r="N161">
        <f t="shared" si="149"/>
        <v>940000000</v>
      </c>
      <c r="O161">
        <f t="shared" si="150"/>
        <v>11.058823529411764</v>
      </c>
    </row>
    <row r="162" spans="2:30" x14ac:dyDescent="0.2">
      <c r="D162" t="s">
        <v>294</v>
      </c>
      <c r="E162">
        <f t="shared" ref="E162:E165" si="153">10^5</f>
        <v>100000</v>
      </c>
      <c r="F162">
        <v>41</v>
      </c>
      <c r="G162">
        <f t="shared" si="151"/>
        <v>1025000000</v>
      </c>
      <c r="I162">
        <f t="shared" ref="I162:I165" si="154">10^4</f>
        <v>10000</v>
      </c>
      <c r="J162">
        <v>33</v>
      </c>
      <c r="K162">
        <f t="shared" si="152"/>
        <v>82500000</v>
      </c>
      <c r="M162">
        <f t="shared" si="148"/>
        <v>82500000</v>
      </c>
      <c r="N162">
        <f t="shared" si="149"/>
        <v>942500000</v>
      </c>
      <c r="O162">
        <f t="shared" si="150"/>
        <v>11.424242424242424</v>
      </c>
    </row>
    <row r="163" spans="2:30" x14ac:dyDescent="0.2">
      <c r="D163" t="s">
        <v>295</v>
      </c>
      <c r="E163">
        <f t="shared" si="153"/>
        <v>100000</v>
      </c>
      <c r="F163">
        <v>40</v>
      </c>
      <c r="G163">
        <f t="shared" si="151"/>
        <v>1000000000</v>
      </c>
      <c r="I163">
        <f t="shared" si="154"/>
        <v>10000</v>
      </c>
      <c r="J163">
        <v>35</v>
      </c>
      <c r="K163">
        <f t="shared" si="152"/>
        <v>87500000</v>
      </c>
      <c r="M163">
        <f t="shared" si="148"/>
        <v>87500000</v>
      </c>
      <c r="N163">
        <f t="shared" si="149"/>
        <v>912500000</v>
      </c>
      <c r="O163">
        <f t="shared" si="150"/>
        <v>10.428571428571429</v>
      </c>
    </row>
    <row r="164" spans="2:30" x14ac:dyDescent="0.2">
      <c r="D164" t="s">
        <v>296</v>
      </c>
      <c r="E164">
        <f t="shared" si="153"/>
        <v>100000</v>
      </c>
      <c r="F164">
        <v>42</v>
      </c>
      <c r="G164">
        <f t="shared" si="151"/>
        <v>1050000000</v>
      </c>
      <c r="I164">
        <f t="shared" si="154"/>
        <v>10000</v>
      </c>
      <c r="J164">
        <v>32</v>
      </c>
      <c r="K164">
        <f t="shared" si="152"/>
        <v>80000000</v>
      </c>
      <c r="M164">
        <f t="shared" si="148"/>
        <v>80000000</v>
      </c>
      <c r="N164">
        <f t="shared" si="149"/>
        <v>970000000</v>
      </c>
      <c r="O164">
        <f t="shared" si="150"/>
        <v>12.125</v>
      </c>
    </row>
    <row r="165" spans="2:30" x14ac:dyDescent="0.2">
      <c r="D165" t="s">
        <v>297</v>
      </c>
      <c r="E165">
        <f t="shared" si="153"/>
        <v>100000</v>
      </c>
      <c r="F165">
        <v>45</v>
      </c>
      <c r="G165">
        <f t="shared" si="151"/>
        <v>1125000000</v>
      </c>
      <c r="I165">
        <f t="shared" si="154"/>
        <v>10000</v>
      </c>
      <c r="J165">
        <v>43</v>
      </c>
      <c r="K165">
        <f t="shared" si="152"/>
        <v>107500000</v>
      </c>
      <c r="M165">
        <f t="shared" si="148"/>
        <v>107500000</v>
      </c>
      <c r="N165">
        <f t="shared" si="149"/>
        <v>1017500000</v>
      </c>
      <c r="O165">
        <f t="shared" si="150"/>
        <v>9.4651162790697683</v>
      </c>
    </row>
    <row r="167" spans="2:30" x14ac:dyDescent="0.2">
      <c r="B167" t="s">
        <v>123</v>
      </c>
      <c r="C167" t="s">
        <v>109</v>
      </c>
      <c r="D167" t="s">
        <v>132</v>
      </c>
      <c r="E167">
        <f t="shared" si="114"/>
        <v>100000</v>
      </c>
      <c r="F167">
        <v>39</v>
      </c>
      <c r="G167">
        <f>(E167*F167)/0.004</f>
        <v>975000000</v>
      </c>
      <c r="I167">
        <f t="shared" ref="I167" si="155">10^4</f>
        <v>10000</v>
      </c>
      <c r="J167">
        <v>37</v>
      </c>
      <c r="K167">
        <f t="shared" ref="K167" si="156">(I167*J167)/0.004</f>
        <v>92500000</v>
      </c>
      <c r="M167">
        <f t="shared" ref="M167:M172" si="157">K167</f>
        <v>92500000</v>
      </c>
      <c r="N167">
        <f t="shared" ref="N167:N172" si="158">G167-K167</f>
        <v>882500000</v>
      </c>
      <c r="O167">
        <f t="shared" ref="O167:O172" si="159">N167/M167</f>
        <v>9.5405405405405403</v>
      </c>
    </row>
    <row r="168" spans="2:30" x14ac:dyDescent="0.2">
      <c r="D168" t="s">
        <v>133</v>
      </c>
      <c r="E168">
        <f t="shared" si="114"/>
        <v>100000</v>
      </c>
      <c r="F168">
        <v>45</v>
      </c>
      <c r="G168">
        <f>(E168*F168)/0.004</f>
        <v>1125000000</v>
      </c>
      <c r="I168">
        <f t="shared" si="128"/>
        <v>10000</v>
      </c>
      <c r="J168">
        <v>40</v>
      </c>
      <c r="K168">
        <f>(I168*J168)/0.004</f>
        <v>100000000</v>
      </c>
      <c r="M168">
        <f t="shared" si="157"/>
        <v>100000000</v>
      </c>
      <c r="N168">
        <f t="shared" si="158"/>
        <v>1025000000</v>
      </c>
      <c r="O168">
        <f t="shared" si="159"/>
        <v>10.25</v>
      </c>
    </row>
    <row r="169" spans="2:30" x14ac:dyDescent="0.2">
      <c r="D169" t="s">
        <v>134</v>
      </c>
      <c r="E169">
        <f t="shared" si="114"/>
        <v>100000</v>
      </c>
      <c r="F169">
        <v>40</v>
      </c>
      <c r="G169">
        <f>(E169*F169)/0.004</f>
        <v>1000000000</v>
      </c>
      <c r="I169">
        <f t="shared" si="128"/>
        <v>10000</v>
      </c>
      <c r="J169">
        <v>31</v>
      </c>
      <c r="K169">
        <f>(I169*J169)/0.004</f>
        <v>77500000</v>
      </c>
      <c r="M169">
        <f t="shared" si="157"/>
        <v>77500000</v>
      </c>
      <c r="N169">
        <f t="shared" si="158"/>
        <v>922500000</v>
      </c>
      <c r="O169">
        <f t="shared" si="159"/>
        <v>11.903225806451612</v>
      </c>
    </row>
    <row r="170" spans="2:30" x14ac:dyDescent="0.2">
      <c r="D170" t="s">
        <v>135</v>
      </c>
      <c r="E170">
        <f t="shared" si="114"/>
        <v>100000</v>
      </c>
      <c r="F170">
        <v>31</v>
      </c>
      <c r="G170">
        <f t="shared" ref="G170:G172" si="160">(E170*F170)/0.004</f>
        <v>775000000</v>
      </c>
      <c r="I170">
        <f t="shared" si="128"/>
        <v>10000</v>
      </c>
      <c r="J170">
        <v>31</v>
      </c>
      <c r="K170">
        <f t="shared" ref="K170:K172" si="161">(I170*J170)/0.004</f>
        <v>77500000</v>
      </c>
      <c r="M170">
        <f t="shared" si="157"/>
        <v>77500000</v>
      </c>
      <c r="N170">
        <f t="shared" si="158"/>
        <v>697500000</v>
      </c>
      <c r="O170">
        <f t="shared" si="159"/>
        <v>9</v>
      </c>
    </row>
    <row r="171" spans="2:30" x14ac:dyDescent="0.2">
      <c r="D171" t="s">
        <v>136</v>
      </c>
      <c r="E171">
        <f t="shared" si="114"/>
        <v>100000</v>
      </c>
      <c r="F171">
        <v>38</v>
      </c>
      <c r="G171">
        <f t="shared" si="160"/>
        <v>950000000</v>
      </c>
      <c r="I171">
        <f t="shared" si="128"/>
        <v>10000</v>
      </c>
      <c r="J171">
        <v>29</v>
      </c>
      <c r="K171">
        <f t="shared" si="161"/>
        <v>72500000</v>
      </c>
      <c r="M171">
        <f t="shared" si="157"/>
        <v>72500000</v>
      </c>
      <c r="N171">
        <f t="shared" si="158"/>
        <v>877500000</v>
      </c>
      <c r="O171">
        <f t="shared" si="159"/>
        <v>12.103448275862069</v>
      </c>
    </row>
    <row r="172" spans="2:30" x14ac:dyDescent="0.2">
      <c r="D172" t="s">
        <v>137</v>
      </c>
      <c r="E172">
        <f t="shared" si="114"/>
        <v>100000</v>
      </c>
      <c r="F172">
        <v>35</v>
      </c>
      <c r="G172">
        <f t="shared" si="160"/>
        <v>875000000</v>
      </c>
      <c r="I172">
        <f t="shared" si="128"/>
        <v>10000</v>
      </c>
      <c r="J172">
        <v>31</v>
      </c>
      <c r="K172">
        <f t="shared" si="161"/>
        <v>77500000</v>
      </c>
      <c r="M172">
        <f t="shared" si="157"/>
        <v>77500000</v>
      </c>
      <c r="N172">
        <f t="shared" si="158"/>
        <v>797500000</v>
      </c>
      <c r="O172">
        <f t="shared" si="159"/>
        <v>10.290322580645162</v>
      </c>
    </row>
    <row r="174" spans="2:30" x14ac:dyDescent="0.2">
      <c r="C174" t="s">
        <v>116</v>
      </c>
      <c r="D174" t="s">
        <v>138</v>
      </c>
      <c r="E174">
        <f t="shared" si="114"/>
        <v>100000</v>
      </c>
      <c r="F174">
        <v>37</v>
      </c>
      <c r="G174">
        <f>(E174*F174)/0.004</f>
        <v>925000000</v>
      </c>
      <c r="I174">
        <f t="shared" ref="I174" si="162">10^4</f>
        <v>10000</v>
      </c>
      <c r="J174">
        <v>24</v>
      </c>
      <c r="K174">
        <f t="shared" ref="K174" si="163">(I174*J174)/0.004</f>
        <v>60000000</v>
      </c>
      <c r="M174">
        <f t="shared" ref="M174:M179" si="164">K174</f>
        <v>60000000</v>
      </c>
      <c r="N174">
        <f t="shared" ref="N174:N179" si="165">G174-K174</f>
        <v>865000000</v>
      </c>
      <c r="O174">
        <f t="shared" ref="O174:O179" si="166">N174/M174</f>
        <v>14.416666666666666</v>
      </c>
    </row>
    <row r="175" spans="2:30" x14ac:dyDescent="0.2">
      <c r="D175" t="s">
        <v>139</v>
      </c>
      <c r="E175">
        <f t="shared" si="114"/>
        <v>100000</v>
      </c>
      <c r="F175">
        <v>38</v>
      </c>
      <c r="G175">
        <f>(E175*F175)/0.004</f>
        <v>950000000</v>
      </c>
      <c r="I175">
        <f t="shared" si="128"/>
        <v>10000</v>
      </c>
      <c r="J175">
        <v>22</v>
      </c>
      <c r="K175">
        <f>(I175*J175)/0.004</f>
        <v>55000000</v>
      </c>
      <c r="M175">
        <f t="shared" si="164"/>
        <v>55000000</v>
      </c>
      <c r="N175">
        <f t="shared" si="165"/>
        <v>895000000</v>
      </c>
      <c r="O175">
        <f t="shared" si="166"/>
        <v>16.272727272727273</v>
      </c>
      <c r="V175" t="s">
        <v>93</v>
      </c>
      <c r="AC175" t="s">
        <v>146</v>
      </c>
      <c r="AD175" t="s">
        <v>99</v>
      </c>
    </row>
    <row r="176" spans="2:30" x14ac:dyDescent="0.2">
      <c r="D176" t="s">
        <v>140</v>
      </c>
      <c r="E176">
        <f t="shared" si="114"/>
        <v>100000</v>
      </c>
      <c r="F176">
        <v>41</v>
      </c>
      <c r="G176">
        <f>(E176*F176)/0.004</f>
        <v>1025000000</v>
      </c>
      <c r="I176">
        <f t="shared" si="128"/>
        <v>10000</v>
      </c>
      <c r="J176">
        <v>27</v>
      </c>
      <c r="K176">
        <f>(I176*J176)/0.004</f>
        <v>67500000</v>
      </c>
      <c r="M176">
        <f t="shared" si="164"/>
        <v>67500000</v>
      </c>
      <c r="N176">
        <f t="shared" si="165"/>
        <v>957500000</v>
      </c>
      <c r="O176">
        <f t="shared" si="166"/>
        <v>14.185185185185185</v>
      </c>
      <c r="T176" t="s">
        <v>109</v>
      </c>
      <c r="U176" t="s">
        <v>110</v>
      </c>
      <c r="V176">
        <f>O207/O132</f>
        <v>78813.457627118638</v>
      </c>
      <c r="Z176" t="s">
        <v>108</v>
      </c>
      <c r="AA176" t="s">
        <v>109</v>
      </c>
      <c r="AB176" t="s">
        <v>148</v>
      </c>
      <c r="AC176">
        <f>AVERAGE(V176:V181)</f>
        <v>159872.05902448631</v>
      </c>
      <c r="AD176">
        <f>STDEV(V176:V181)/SQRT(6)</f>
        <v>45146.363212434997</v>
      </c>
    </row>
    <row r="177" spans="3:30" x14ac:dyDescent="0.2">
      <c r="D177" t="s">
        <v>141</v>
      </c>
      <c r="E177">
        <f t="shared" si="114"/>
        <v>100000</v>
      </c>
      <c r="F177">
        <v>38</v>
      </c>
      <c r="G177">
        <f t="shared" ref="G177:G179" si="167">(E177*F177)/0.004</f>
        <v>950000000</v>
      </c>
      <c r="I177">
        <f t="shared" si="128"/>
        <v>10000</v>
      </c>
      <c r="J177">
        <v>19</v>
      </c>
      <c r="K177">
        <f t="shared" ref="K177:K179" si="168">(I177*J177)/0.004</f>
        <v>47500000</v>
      </c>
      <c r="M177">
        <f t="shared" si="164"/>
        <v>47500000</v>
      </c>
      <c r="N177">
        <f t="shared" si="165"/>
        <v>902500000</v>
      </c>
      <c r="O177">
        <f t="shared" si="166"/>
        <v>19</v>
      </c>
      <c r="U177" t="s">
        <v>111</v>
      </c>
      <c r="V177">
        <f t="shared" ref="V177:V181" si="169">O208/O133</f>
        <v>34653.376237623765</v>
      </c>
      <c r="AA177" t="s">
        <v>116</v>
      </c>
      <c r="AB177" t="s">
        <v>150</v>
      </c>
      <c r="AC177">
        <f>AVERAGE(V183:V188)</f>
        <v>8.826436088005357</v>
      </c>
      <c r="AD177">
        <f>STDEV(V183:V188)/SQRT(6)</f>
        <v>0.86500763941866587</v>
      </c>
    </row>
    <row r="178" spans="3:30" x14ac:dyDescent="0.2">
      <c r="D178" t="s">
        <v>142</v>
      </c>
      <c r="E178">
        <f t="shared" si="114"/>
        <v>100000</v>
      </c>
      <c r="F178">
        <v>41</v>
      </c>
      <c r="G178">
        <f t="shared" si="167"/>
        <v>1025000000</v>
      </c>
      <c r="I178">
        <f t="shared" si="128"/>
        <v>10000</v>
      </c>
      <c r="J178">
        <v>16</v>
      </c>
      <c r="K178">
        <f t="shared" si="168"/>
        <v>40000000</v>
      </c>
      <c r="M178">
        <f t="shared" si="164"/>
        <v>40000000</v>
      </c>
      <c r="N178">
        <f t="shared" si="165"/>
        <v>985000000</v>
      </c>
      <c r="O178">
        <f t="shared" si="166"/>
        <v>24.625</v>
      </c>
      <c r="U178" t="s">
        <v>112</v>
      </c>
      <c r="V178">
        <f t="shared" si="169"/>
        <v>334131.62874251493</v>
      </c>
      <c r="AA178" t="s">
        <v>124</v>
      </c>
      <c r="AB178" t="s">
        <v>152</v>
      </c>
      <c r="AC178">
        <f>AVERAGE(V190:V195)</f>
        <v>229141.18892057028</v>
      </c>
      <c r="AD178">
        <f>STDEV(V190:V195)/SQRT(6)</f>
        <v>40824.949787861304</v>
      </c>
    </row>
    <row r="179" spans="3:30" x14ac:dyDescent="0.2">
      <c r="D179" t="s">
        <v>143</v>
      </c>
      <c r="E179">
        <f t="shared" si="114"/>
        <v>100000</v>
      </c>
      <c r="F179">
        <v>41</v>
      </c>
      <c r="G179">
        <f t="shared" si="167"/>
        <v>1025000000</v>
      </c>
      <c r="I179">
        <f t="shared" si="128"/>
        <v>10000</v>
      </c>
      <c r="J179">
        <v>21</v>
      </c>
      <c r="K179">
        <f t="shared" si="168"/>
        <v>52500000</v>
      </c>
      <c r="M179">
        <f t="shared" si="164"/>
        <v>52500000</v>
      </c>
      <c r="N179">
        <f t="shared" si="165"/>
        <v>972500000</v>
      </c>
      <c r="O179">
        <f t="shared" si="166"/>
        <v>18.523809523809526</v>
      </c>
      <c r="U179" t="s">
        <v>113</v>
      </c>
      <c r="V179">
        <f t="shared" si="169"/>
        <v>156752.28617363345</v>
      </c>
      <c r="AA179" t="s">
        <v>131</v>
      </c>
      <c r="AB179" t="s">
        <v>314</v>
      </c>
      <c r="AC179">
        <f>AVERAGE(V197:V202)</f>
        <v>75811.03103958162</v>
      </c>
      <c r="AD179">
        <f>STDEV(V197:V202)/SQRT(6)</f>
        <v>25985.534219891309</v>
      </c>
    </row>
    <row r="180" spans="3:30" x14ac:dyDescent="0.2">
      <c r="U180" t="s">
        <v>114</v>
      </c>
      <c r="V180">
        <f t="shared" si="169"/>
        <v>114583.20238095238</v>
      </c>
      <c r="AA180" t="s">
        <v>304</v>
      </c>
      <c r="AB180" s="1" t="s">
        <v>315</v>
      </c>
      <c r="AC180">
        <f>AVERAGE(V204:V209)</f>
        <v>2.2407658306198135</v>
      </c>
      <c r="AD180">
        <f>STDEV(V204:V209)/SQRT(6)</f>
        <v>0.37139334285807213</v>
      </c>
    </row>
    <row r="181" spans="3:30" x14ac:dyDescent="0.2">
      <c r="C181" t="s">
        <v>124</v>
      </c>
      <c r="D181" t="s">
        <v>144</v>
      </c>
      <c r="E181">
        <f t="shared" si="114"/>
        <v>100000</v>
      </c>
      <c r="F181">
        <v>40</v>
      </c>
      <c r="G181">
        <f>(E181*F181)/0.004</f>
        <v>1000000000</v>
      </c>
      <c r="I181">
        <f t="shared" ref="I181" si="170">10^4</f>
        <v>10000</v>
      </c>
      <c r="J181">
        <v>34</v>
      </c>
      <c r="K181">
        <f t="shared" ref="K181" si="171">(I181*J181)/0.004</f>
        <v>85000000</v>
      </c>
      <c r="M181">
        <f t="shared" ref="M181:M186" si="172">K181</f>
        <v>85000000</v>
      </c>
      <c r="N181">
        <f t="shared" ref="N181:N186" si="173">G181-K181</f>
        <v>915000000</v>
      </c>
      <c r="O181">
        <f t="shared" ref="O181:O186" si="174">N181/M181</f>
        <v>10.764705882352942</v>
      </c>
      <c r="U181" t="s">
        <v>115</v>
      </c>
      <c r="V181">
        <f t="shared" si="169"/>
        <v>240298.40298507464</v>
      </c>
      <c r="Z181" t="s">
        <v>123</v>
      </c>
      <c r="AA181" t="s">
        <v>109</v>
      </c>
      <c r="AB181" t="s">
        <v>154</v>
      </c>
      <c r="AC181">
        <f>AVERAGE(V211:V216)</f>
        <v>5.8458165418911214</v>
      </c>
      <c r="AD181">
        <f>STDEV(V211:V216)/SQRT(6)</f>
        <v>0.46133819807928078</v>
      </c>
    </row>
    <row r="182" spans="3:30" x14ac:dyDescent="0.2">
      <c r="D182" t="s">
        <v>145</v>
      </c>
      <c r="E182">
        <f t="shared" si="114"/>
        <v>100000</v>
      </c>
      <c r="F182">
        <v>40</v>
      </c>
      <c r="G182">
        <f>(E182*F182)/0.004</f>
        <v>1000000000</v>
      </c>
      <c r="I182">
        <f t="shared" si="128"/>
        <v>10000</v>
      </c>
      <c r="J182">
        <v>37</v>
      </c>
      <c r="K182">
        <f>(I182*J182)/0.004</f>
        <v>92500000</v>
      </c>
      <c r="M182">
        <f t="shared" si="172"/>
        <v>92500000</v>
      </c>
      <c r="N182">
        <f t="shared" si="173"/>
        <v>907500000</v>
      </c>
      <c r="O182">
        <f t="shared" si="174"/>
        <v>9.8108108108108105</v>
      </c>
      <c r="AA182" t="s">
        <v>116</v>
      </c>
      <c r="AB182" t="s">
        <v>155</v>
      </c>
      <c r="AC182">
        <f>AVERAGE(V218:V223)</f>
        <v>14.084098467289069</v>
      </c>
      <c r="AD182">
        <f>STDEV(V218:V223)/SQRT(6)</f>
        <v>2.1226899692582823</v>
      </c>
    </row>
    <row r="183" spans="3:30" x14ac:dyDescent="0.2">
      <c r="D183" t="s">
        <v>147</v>
      </c>
      <c r="E183">
        <f t="shared" si="114"/>
        <v>100000</v>
      </c>
      <c r="F183">
        <v>32</v>
      </c>
      <c r="G183">
        <f>(E183*F183)/0.004</f>
        <v>800000000</v>
      </c>
      <c r="I183">
        <f t="shared" si="128"/>
        <v>10000</v>
      </c>
      <c r="J183">
        <v>28</v>
      </c>
      <c r="K183">
        <f>(I183*J183)/0.004</f>
        <v>70000000</v>
      </c>
      <c r="M183">
        <f t="shared" si="172"/>
        <v>70000000</v>
      </c>
      <c r="N183">
        <f t="shared" si="173"/>
        <v>730000000</v>
      </c>
      <c r="O183">
        <f t="shared" si="174"/>
        <v>10.428571428571429</v>
      </c>
      <c r="T183" t="s">
        <v>116</v>
      </c>
      <c r="U183" t="s">
        <v>117</v>
      </c>
      <c r="V183">
        <f t="shared" ref="V183:V244" si="175">O214/O139</f>
        <v>10.00875796178344</v>
      </c>
      <c r="AA183" t="s">
        <v>124</v>
      </c>
      <c r="AB183" t="s">
        <v>156</v>
      </c>
      <c r="AC183">
        <f>AVERAGE(V225:V230)</f>
        <v>7.4997570321854772</v>
      </c>
      <c r="AD183">
        <f>STDEV(V225:V230)/SQRT(6)</f>
        <v>1.281148150286445</v>
      </c>
    </row>
    <row r="184" spans="3:30" x14ac:dyDescent="0.2">
      <c r="D184" t="s">
        <v>149</v>
      </c>
      <c r="E184">
        <f t="shared" si="114"/>
        <v>100000</v>
      </c>
      <c r="F184">
        <v>41</v>
      </c>
      <c r="G184">
        <f t="shared" ref="G184:G186" si="176">(E184*F184)/0.004</f>
        <v>1025000000</v>
      </c>
      <c r="I184">
        <f t="shared" si="128"/>
        <v>10000</v>
      </c>
      <c r="J184">
        <v>38</v>
      </c>
      <c r="K184">
        <f t="shared" ref="K184:K186" si="177">(I184*J184)/0.004</f>
        <v>95000000</v>
      </c>
      <c r="M184">
        <f t="shared" si="172"/>
        <v>95000000</v>
      </c>
      <c r="N184">
        <f t="shared" si="173"/>
        <v>930000000</v>
      </c>
      <c r="O184">
        <f t="shared" si="174"/>
        <v>9.7894736842105257</v>
      </c>
      <c r="U184" t="s">
        <v>118</v>
      </c>
      <c r="V184">
        <f t="shared" si="175"/>
        <v>9.3059926347505879</v>
      </c>
      <c r="AA184" t="s">
        <v>131</v>
      </c>
      <c r="AB184" t="s">
        <v>312</v>
      </c>
      <c r="AC184">
        <f>AVERAGE(V232:V237)</f>
        <v>3.3597714688839431</v>
      </c>
      <c r="AD184">
        <f>STDEV(V232:V237)/SQRT(6)</f>
        <v>0.65148740997916277</v>
      </c>
    </row>
    <row r="185" spans="3:30" x14ac:dyDescent="0.2">
      <c r="D185" t="s">
        <v>151</v>
      </c>
      <c r="E185">
        <f t="shared" si="114"/>
        <v>100000</v>
      </c>
      <c r="F185">
        <v>37</v>
      </c>
      <c r="G185">
        <f t="shared" si="176"/>
        <v>925000000</v>
      </c>
      <c r="I185">
        <f t="shared" si="128"/>
        <v>10000</v>
      </c>
      <c r="J185">
        <v>42</v>
      </c>
      <c r="K185">
        <f t="shared" si="177"/>
        <v>105000000</v>
      </c>
      <c r="M185">
        <f t="shared" si="172"/>
        <v>105000000</v>
      </c>
      <c r="N185">
        <f t="shared" si="173"/>
        <v>820000000</v>
      </c>
      <c r="O185">
        <f t="shared" si="174"/>
        <v>7.8095238095238093</v>
      </c>
      <c r="U185" t="s">
        <v>119</v>
      </c>
      <c r="V185">
        <f t="shared" si="175"/>
        <v>9.0770450221940404</v>
      </c>
      <c r="AA185" t="s">
        <v>304</v>
      </c>
      <c r="AB185" s="1" t="s">
        <v>313</v>
      </c>
      <c r="AC185">
        <f>AVERAGE(V239:V244)</f>
        <v>1.7707248496006025</v>
      </c>
      <c r="AD185">
        <f>STDEV(V239:V244)/SQRT(6)</f>
        <v>0.20562411443350423</v>
      </c>
    </row>
    <row r="186" spans="3:30" x14ac:dyDescent="0.2">
      <c r="D186" t="s">
        <v>153</v>
      </c>
      <c r="E186">
        <f t="shared" si="114"/>
        <v>100000</v>
      </c>
      <c r="F186">
        <v>34</v>
      </c>
      <c r="G186">
        <f t="shared" si="176"/>
        <v>850000000</v>
      </c>
      <c r="I186">
        <f t="shared" si="128"/>
        <v>10000</v>
      </c>
      <c r="J186">
        <v>34</v>
      </c>
      <c r="K186">
        <f t="shared" si="177"/>
        <v>85000000</v>
      </c>
      <c r="M186">
        <f t="shared" si="172"/>
        <v>85000000</v>
      </c>
      <c r="N186">
        <f t="shared" si="173"/>
        <v>765000000</v>
      </c>
      <c r="O186">
        <f t="shared" si="174"/>
        <v>9</v>
      </c>
      <c r="U186" t="s">
        <v>120</v>
      </c>
      <c r="V186">
        <f t="shared" si="175"/>
        <v>11.364197530864196</v>
      </c>
    </row>
    <row r="187" spans="3:30" x14ac:dyDescent="0.2">
      <c r="U187" t="s">
        <v>121</v>
      </c>
      <c r="V187">
        <f t="shared" si="175"/>
        <v>5.1157323688969267</v>
      </c>
    </row>
    <row r="188" spans="3:30" x14ac:dyDescent="0.2">
      <c r="C188" t="s">
        <v>131</v>
      </c>
      <c r="D188" t="s">
        <v>298</v>
      </c>
      <c r="E188">
        <f t="shared" ref="E188:E193" si="178">10^5</f>
        <v>100000</v>
      </c>
      <c r="F188">
        <v>44</v>
      </c>
      <c r="G188">
        <f>E188*F188/0.004</f>
        <v>1100000000</v>
      </c>
      <c r="I188">
        <f>10^4</f>
        <v>10000</v>
      </c>
      <c r="J188">
        <v>41</v>
      </c>
      <c r="K188">
        <f>I188*J188/0.004</f>
        <v>102500000</v>
      </c>
      <c r="M188">
        <f t="shared" ref="M188:M193" si="179">K188</f>
        <v>102500000</v>
      </c>
      <c r="N188">
        <f t="shared" ref="N188:N193" si="180">G188-K188</f>
        <v>997500000</v>
      </c>
      <c r="O188">
        <f t="shared" ref="O188:O193" si="181">N188/M188</f>
        <v>9.7317073170731714</v>
      </c>
      <c r="U188" t="s">
        <v>122</v>
      </c>
      <c r="V188">
        <f t="shared" si="175"/>
        <v>8.086891009542942</v>
      </c>
      <c r="Z188" t="s">
        <v>316</v>
      </c>
      <c r="AC188" t="s">
        <v>322</v>
      </c>
    </row>
    <row r="189" spans="3:30" x14ac:dyDescent="0.2">
      <c r="D189" t="s">
        <v>299</v>
      </c>
      <c r="E189">
        <f t="shared" si="178"/>
        <v>100000</v>
      </c>
      <c r="F189">
        <v>53</v>
      </c>
      <c r="G189">
        <f t="shared" ref="G189:G193" si="182">E189*F189/0.004</f>
        <v>1325000000</v>
      </c>
      <c r="I189">
        <f t="shared" ref="I189:I193" si="183">10^4</f>
        <v>10000</v>
      </c>
      <c r="J189">
        <v>36</v>
      </c>
      <c r="K189">
        <f t="shared" ref="K189:K193" si="184">I189*J189/0.004</f>
        <v>90000000</v>
      </c>
      <c r="M189">
        <f t="shared" si="179"/>
        <v>90000000</v>
      </c>
      <c r="N189">
        <f t="shared" si="180"/>
        <v>1235000000</v>
      </c>
      <c r="O189">
        <f t="shared" si="181"/>
        <v>13.722222222222221</v>
      </c>
      <c r="Z189" t="s">
        <v>108</v>
      </c>
      <c r="AA189" t="s">
        <v>317</v>
      </c>
      <c r="AB189">
        <f>_xlfn.T.TEST(V176:V181,V183:V188,2,3)</f>
        <v>1.65449873006921E-2</v>
      </c>
      <c r="AC189" t="s">
        <v>321</v>
      </c>
    </row>
    <row r="190" spans="3:30" x14ac:dyDescent="0.2">
      <c r="D190" t="s">
        <v>300</v>
      </c>
      <c r="E190">
        <f t="shared" si="178"/>
        <v>100000</v>
      </c>
      <c r="F190">
        <v>39</v>
      </c>
      <c r="G190">
        <f t="shared" si="182"/>
        <v>975000000</v>
      </c>
      <c r="I190">
        <f t="shared" si="183"/>
        <v>10000</v>
      </c>
      <c r="J190">
        <v>36</v>
      </c>
      <c r="K190">
        <f t="shared" si="184"/>
        <v>90000000</v>
      </c>
      <c r="M190">
        <f t="shared" si="179"/>
        <v>90000000</v>
      </c>
      <c r="N190">
        <f t="shared" si="180"/>
        <v>885000000</v>
      </c>
      <c r="O190">
        <f t="shared" si="181"/>
        <v>9.8333333333333339</v>
      </c>
      <c r="T190" t="s">
        <v>124</v>
      </c>
      <c r="U190" t="s">
        <v>125</v>
      </c>
      <c r="V190">
        <f t="shared" ref="V190" si="185">O221/O146</f>
        <v>299999.90625</v>
      </c>
      <c r="AA190" t="s">
        <v>318</v>
      </c>
      <c r="AB190">
        <f>_xlfn.T.TEST(V176:V181,V190:V195,2,3)</f>
        <v>0.2818986374023259</v>
      </c>
      <c r="AC190" t="s">
        <v>323</v>
      </c>
    </row>
    <row r="191" spans="3:30" x14ac:dyDescent="0.2">
      <c r="D191" t="s">
        <v>301</v>
      </c>
      <c r="E191">
        <f t="shared" si="178"/>
        <v>100000</v>
      </c>
      <c r="F191">
        <v>34</v>
      </c>
      <c r="G191">
        <f t="shared" si="182"/>
        <v>850000000</v>
      </c>
      <c r="I191">
        <f t="shared" si="183"/>
        <v>10000</v>
      </c>
      <c r="J191">
        <v>40</v>
      </c>
      <c r="K191">
        <f t="shared" si="184"/>
        <v>100000000</v>
      </c>
      <c r="M191">
        <f t="shared" si="179"/>
        <v>100000000</v>
      </c>
      <c r="N191">
        <f t="shared" si="180"/>
        <v>750000000</v>
      </c>
      <c r="O191">
        <f t="shared" si="181"/>
        <v>7.5</v>
      </c>
      <c r="U191" t="s">
        <v>126</v>
      </c>
      <c r="V191">
        <f t="shared" si="175"/>
        <v>366855.41926345607</v>
      </c>
      <c r="AA191" t="s">
        <v>319</v>
      </c>
      <c r="AB191">
        <f>_xlfn.T.TEST(V176:V181,V197:V202,2,3)</f>
        <v>0.14531670415193521</v>
      </c>
      <c r="AC191" t="s">
        <v>323</v>
      </c>
    </row>
    <row r="192" spans="3:30" x14ac:dyDescent="0.2">
      <c r="D192" t="s">
        <v>302</v>
      </c>
      <c r="E192">
        <f t="shared" si="178"/>
        <v>100000</v>
      </c>
      <c r="F192">
        <v>38</v>
      </c>
      <c r="G192">
        <f t="shared" si="182"/>
        <v>950000000</v>
      </c>
      <c r="I192">
        <f t="shared" si="183"/>
        <v>10000</v>
      </c>
      <c r="J192">
        <v>36</v>
      </c>
      <c r="K192">
        <f t="shared" si="184"/>
        <v>90000000</v>
      </c>
      <c r="M192">
        <f t="shared" si="179"/>
        <v>90000000</v>
      </c>
      <c r="N192">
        <f t="shared" si="180"/>
        <v>860000000</v>
      </c>
      <c r="O192">
        <f t="shared" si="181"/>
        <v>9.5555555555555554</v>
      </c>
      <c r="U192" t="s">
        <v>127</v>
      </c>
      <c r="V192">
        <f t="shared" si="175"/>
        <v>76404.426966292129</v>
      </c>
      <c r="AA192" t="s">
        <v>320</v>
      </c>
      <c r="AB192">
        <f>_xlfn.T.TEST(V176:V181,V204:V209,2,3)</f>
        <v>1.6542421510414931E-2</v>
      </c>
      <c r="AC192" t="s">
        <v>321</v>
      </c>
    </row>
    <row r="193" spans="1:22" x14ac:dyDescent="0.2">
      <c r="D193" t="s">
        <v>303</v>
      </c>
      <c r="E193">
        <f t="shared" si="178"/>
        <v>100000</v>
      </c>
      <c r="F193">
        <v>39</v>
      </c>
      <c r="G193">
        <f t="shared" si="182"/>
        <v>975000000</v>
      </c>
      <c r="I193">
        <f t="shared" si="183"/>
        <v>10000</v>
      </c>
      <c r="J193">
        <v>37</v>
      </c>
      <c r="K193">
        <f t="shared" si="184"/>
        <v>92500000</v>
      </c>
      <c r="M193">
        <f t="shared" si="179"/>
        <v>92500000</v>
      </c>
      <c r="N193">
        <f t="shared" si="180"/>
        <v>882500000</v>
      </c>
      <c r="O193">
        <f t="shared" si="181"/>
        <v>9.5405405405405403</v>
      </c>
      <c r="U193" t="s">
        <v>128</v>
      </c>
      <c r="V193">
        <f t="shared" si="175"/>
        <v>222580.54838709676</v>
      </c>
    </row>
    <row r="194" spans="1:22" x14ac:dyDescent="0.2">
      <c r="U194" t="s">
        <v>129</v>
      </c>
      <c r="V194">
        <f t="shared" si="175"/>
        <v>231229.13953488372</v>
      </c>
    </row>
    <row r="195" spans="1:22" x14ac:dyDescent="0.2">
      <c r="C195" t="s">
        <v>304</v>
      </c>
      <c r="D195" t="s">
        <v>305</v>
      </c>
      <c r="E195">
        <f>10^6</f>
        <v>1000000</v>
      </c>
      <c r="F195">
        <v>16</v>
      </c>
      <c r="G195">
        <f>E195*F195/0.004</f>
        <v>4000000000</v>
      </c>
      <c r="I195">
        <f>10^5</f>
        <v>100000</v>
      </c>
      <c r="J195">
        <v>17</v>
      </c>
      <c r="K195">
        <f>I195*J195/0.004</f>
        <v>425000000</v>
      </c>
      <c r="M195">
        <f>K195</f>
        <v>425000000</v>
      </c>
      <c r="N195">
        <f>G195-K195</f>
        <v>3575000000</v>
      </c>
      <c r="O195">
        <f>N195/M195</f>
        <v>8.4117647058823533</v>
      </c>
      <c r="U195" t="s">
        <v>130</v>
      </c>
      <c r="V195">
        <f t="shared" si="175"/>
        <v>177777.69312169313</v>
      </c>
    </row>
    <row r="196" spans="1:22" x14ac:dyDescent="0.2">
      <c r="D196" t="s">
        <v>306</v>
      </c>
      <c r="E196">
        <f>10^5</f>
        <v>100000</v>
      </c>
      <c r="F196">
        <v>39</v>
      </c>
      <c r="G196">
        <f t="shared" ref="G196:G200" si="186">E196*F196/0.004</f>
        <v>975000000</v>
      </c>
      <c r="I196">
        <f>10^4</f>
        <v>10000</v>
      </c>
      <c r="J196">
        <v>34</v>
      </c>
      <c r="K196">
        <f t="shared" ref="K196:K200" si="187">I196*J196/0.004</f>
        <v>85000000</v>
      </c>
      <c r="M196">
        <f t="shared" ref="M196:M200" si="188">K196</f>
        <v>85000000</v>
      </c>
      <c r="N196">
        <f t="shared" ref="N196:N200" si="189">G196-K196</f>
        <v>890000000</v>
      </c>
      <c r="O196">
        <f t="shared" ref="O196:O199" si="190">N196/M196</f>
        <v>10.470588235294118</v>
      </c>
    </row>
    <row r="197" spans="1:22" x14ac:dyDescent="0.2">
      <c r="D197" t="s">
        <v>307</v>
      </c>
      <c r="E197">
        <f t="shared" ref="E197:E200" si="191">10^5</f>
        <v>100000</v>
      </c>
      <c r="F197">
        <v>38</v>
      </c>
      <c r="G197">
        <f t="shared" si="186"/>
        <v>950000000</v>
      </c>
      <c r="I197">
        <f t="shared" ref="I197:I200" si="192">10^4</f>
        <v>10000</v>
      </c>
      <c r="J197">
        <v>36</v>
      </c>
      <c r="K197">
        <f t="shared" si="187"/>
        <v>90000000</v>
      </c>
      <c r="M197">
        <f t="shared" si="188"/>
        <v>90000000</v>
      </c>
      <c r="N197">
        <f t="shared" si="189"/>
        <v>860000000</v>
      </c>
      <c r="O197">
        <f t="shared" si="190"/>
        <v>9.5555555555555554</v>
      </c>
      <c r="T197" t="s">
        <v>131</v>
      </c>
      <c r="U197" t="s">
        <v>286</v>
      </c>
      <c r="V197">
        <f t="shared" ref="V197" si="193">O228/O153</f>
        <v>15150.022859704168</v>
      </c>
    </row>
    <row r="198" spans="1:22" x14ac:dyDescent="0.2">
      <c r="D198" t="s">
        <v>308</v>
      </c>
      <c r="E198">
        <f t="shared" si="191"/>
        <v>100000</v>
      </c>
      <c r="F198">
        <v>37</v>
      </c>
      <c r="G198">
        <f t="shared" si="186"/>
        <v>925000000</v>
      </c>
      <c r="I198">
        <f t="shared" si="192"/>
        <v>10000</v>
      </c>
      <c r="J198">
        <v>38</v>
      </c>
      <c r="K198">
        <f t="shared" si="187"/>
        <v>95000000</v>
      </c>
      <c r="M198">
        <f t="shared" si="188"/>
        <v>95000000</v>
      </c>
      <c r="N198">
        <f t="shared" si="189"/>
        <v>830000000</v>
      </c>
      <c r="O198">
        <f t="shared" si="190"/>
        <v>8.7368421052631575</v>
      </c>
      <c r="U198" t="s">
        <v>287</v>
      </c>
      <c r="V198">
        <f t="shared" si="175"/>
        <v>35492.859154929582</v>
      </c>
    </row>
    <row r="199" spans="1:22" x14ac:dyDescent="0.2">
      <c r="D199" t="s">
        <v>309</v>
      </c>
      <c r="E199">
        <f t="shared" si="191"/>
        <v>100000</v>
      </c>
      <c r="F199">
        <v>43</v>
      </c>
      <c r="G199">
        <f t="shared" si="186"/>
        <v>1075000000</v>
      </c>
      <c r="I199">
        <f t="shared" si="192"/>
        <v>10000</v>
      </c>
      <c r="J199">
        <v>38</v>
      </c>
      <c r="K199">
        <f t="shared" si="187"/>
        <v>95000000</v>
      </c>
      <c r="M199">
        <f t="shared" si="188"/>
        <v>95000000</v>
      </c>
      <c r="N199">
        <f t="shared" si="189"/>
        <v>980000000</v>
      </c>
      <c r="O199">
        <f t="shared" si="190"/>
        <v>10.315789473684211</v>
      </c>
      <c r="U199" t="s">
        <v>288</v>
      </c>
      <c r="V199">
        <f t="shared" si="175"/>
        <v>149112.30177514793</v>
      </c>
    </row>
    <row r="200" spans="1:22" x14ac:dyDescent="0.2">
      <c r="D200" t="s">
        <v>310</v>
      </c>
      <c r="E200">
        <f t="shared" si="191"/>
        <v>100000</v>
      </c>
      <c r="F200">
        <v>47</v>
      </c>
      <c r="G200">
        <f t="shared" si="186"/>
        <v>1175000000</v>
      </c>
      <c r="I200">
        <f t="shared" si="192"/>
        <v>10000</v>
      </c>
      <c r="J200">
        <v>36</v>
      </c>
      <c r="K200">
        <f t="shared" si="187"/>
        <v>90000000</v>
      </c>
      <c r="M200">
        <f t="shared" si="188"/>
        <v>90000000</v>
      </c>
      <c r="N200">
        <f t="shared" si="189"/>
        <v>1085000000</v>
      </c>
      <c r="O200">
        <f>N200/M200</f>
        <v>12.055555555555555</v>
      </c>
      <c r="U200" t="s">
        <v>289</v>
      </c>
      <c r="V200">
        <f t="shared" si="175"/>
        <v>16777.835781041387</v>
      </c>
    </row>
    <row r="201" spans="1:22" x14ac:dyDescent="0.2">
      <c r="U201" t="s">
        <v>290</v>
      </c>
      <c r="V201">
        <f t="shared" si="175"/>
        <v>84999.9</v>
      </c>
    </row>
    <row r="202" spans="1:22" x14ac:dyDescent="0.2">
      <c r="U202" t="s">
        <v>291</v>
      </c>
      <c r="V202">
        <f t="shared" si="175"/>
        <v>153333.26666666666</v>
      </c>
    </row>
    <row r="204" spans="1:22" x14ac:dyDescent="0.2">
      <c r="A204" t="s">
        <v>80</v>
      </c>
      <c r="T204" t="s">
        <v>304</v>
      </c>
      <c r="U204" t="s">
        <v>292</v>
      </c>
      <c r="V204">
        <f t="shared" ref="V204" si="194">O235/O160</f>
        <v>1.3560606060606062</v>
      </c>
    </row>
    <row r="205" spans="1:22" x14ac:dyDescent="0.2">
      <c r="F205" t="s">
        <v>55</v>
      </c>
      <c r="J205" t="s">
        <v>104</v>
      </c>
      <c r="U205" t="s">
        <v>293</v>
      </c>
      <c r="V205">
        <f t="shared" si="175"/>
        <v>2.0469052224371374</v>
      </c>
    </row>
    <row r="206" spans="1:22" x14ac:dyDescent="0.2">
      <c r="B206" t="s">
        <v>58</v>
      </c>
      <c r="C206" t="s">
        <v>59</v>
      </c>
      <c r="E206" t="s">
        <v>60</v>
      </c>
      <c r="F206" t="s">
        <v>61</v>
      </c>
      <c r="G206" t="s">
        <v>62</v>
      </c>
      <c r="I206" t="s">
        <v>60</v>
      </c>
      <c r="J206" t="s">
        <v>61</v>
      </c>
      <c r="K206" t="s">
        <v>62</v>
      </c>
      <c r="M206" t="s">
        <v>105</v>
      </c>
      <c r="N206" t="s">
        <v>106</v>
      </c>
      <c r="O206" t="s">
        <v>107</v>
      </c>
      <c r="U206" t="s">
        <v>294</v>
      </c>
      <c r="V206">
        <f t="shared" si="175"/>
        <v>2.3439434129089305</v>
      </c>
    </row>
    <row r="207" spans="1:22" x14ac:dyDescent="0.2">
      <c r="B207" t="s">
        <v>108</v>
      </c>
      <c r="C207" t="s">
        <v>109</v>
      </c>
      <c r="D207" t="s">
        <v>110</v>
      </c>
      <c r="E207">
        <f>10^5</f>
        <v>100000</v>
      </c>
      <c r="F207">
        <v>31</v>
      </c>
      <c r="G207">
        <f>(E207*F207)/0.004</f>
        <v>775000000</v>
      </c>
      <c r="I207">
        <f>10^0</f>
        <v>1</v>
      </c>
      <c r="J207">
        <v>4</v>
      </c>
      <c r="K207">
        <f>(I207*J207)/0.004</f>
        <v>1000</v>
      </c>
      <c r="M207">
        <f>K207</f>
        <v>1000</v>
      </c>
      <c r="N207">
        <f>G207-K207</f>
        <v>774999000</v>
      </c>
      <c r="O207">
        <f>N207/M207</f>
        <v>774999</v>
      </c>
      <c r="U207" t="s">
        <v>295</v>
      </c>
      <c r="V207">
        <f t="shared" si="175"/>
        <v>1.9962640099626399</v>
      </c>
    </row>
    <row r="208" spans="1:22" x14ac:dyDescent="0.2">
      <c r="D208" t="s">
        <v>111</v>
      </c>
      <c r="E208">
        <f t="shared" ref="E208:E209" si="195">10^5</f>
        <v>100000</v>
      </c>
      <c r="F208">
        <v>35</v>
      </c>
      <c r="G208">
        <f t="shared" ref="G208:G209" si="196">(E208*F208)/0.004</f>
        <v>875000000</v>
      </c>
      <c r="I208">
        <f t="shared" ref="I208:I209" si="197">10^0</f>
        <v>1</v>
      </c>
      <c r="J208">
        <v>9</v>
      </c>
      <c r="K208">
        <f t="shared" ref="K208:K209" si="198">(I208*J208)/0.004</f>
        <v>2250</v>
      </c>
      <c r="M208">
        <f t="shared" ref="M208:M209" si="199">K208</f>
        <v>2250</v>
      </c>
      <c r="N208">
        <f t="shared" ref="N208:N209" si="200">G208-K208</f>
        <v>874997750</v>
      </c>
      <c r="O208">
        <f t="shared" ref="O208:O209" si="201">N208/M208</f>
        <v>388887.88888888888</v>
      </c>
      <c r="U208" t="s">
        <v>296</v>
      </c>
      <c r="V208">
        <f t="shared" si="175"/>
        <v>1.731958762886598</v>
      </c>
    </row>
    <row r="209" spans="3:22" x14ac:dyDescent="0.2">
      <c r="D209" t="s">
        <v>112</v>
      </c>
      <c r="E209">
        <f t="shared" si="195"/>
        <v>100000</v>
      </c>
      <c r="F209">
        <v>31</v>
      </c>
      <c r="G209">
        <f t="shared" si="196"/>
        <v>775000000</v>
      </c>
      <c r="I209">
        <f t="shared" si="197"/>
        <v>1</v>
      </c>
      <c r="J209">
        <v>1</v>
      </c>
      <c r="K209">
        <f t="shared" si="198"/>
        <v>250</v>
      </c>
      <c r="M209">
        <f t="shared" si="199"/>
        <v>250</v>
      </c>
      <c r="N209">
        <f t="shared" si="200"/>
        <v>774999750</v>
      </c>
      <c r="O209">
        <f t="shared" si="201"/>
        <v>3099999</v>
      </c>
      <c r="U209" t="s">
        <v>297</v>
      </c>
      <c r="V209">
        <f t="shared" si="175"/>
        <v>3.9694629694629691</v>
      </c>
    </row>
    <row r="210" spans="3:22" x14ac:dyDescent="0.2">
      <c r="D210" t="s">
        <v>113</v>
      </c>
      <c r="E210">
        <f>10^5</f>
        <v>100000</v>
      </c>
      <c r="F210">
        <v>25</v>
      </c>
      <c r="G210">
        <f>(E210*F210)/0.004</f>
        <v>625000000</v>
      </c>
      <c r="I210">
        <f>10^0</f>
        <v>1</v>
      </c>
      <c r="J210">
        <v>2</v>
      </c>
      <c r="K210">
        <f>(I210*J210)/0.004</f>
        <v>500</v>
      </c>
      <c r="M210">
        <f>K210</f>
        <v>500</v>
      </c>
      <c r="N210">
        <f>G210-K210</f>
        <v>624999500</v>
      </c>
      <c r="O210">
        <f>N210/M210</f>
        <v>1249999</v>
      </c>
    </row>
    <row r="211" spans="3:22" x14ac:dyDescent="0.2">
      <c r="D211" t="s">
        <v>114</v>
      </c>
      <c r="E211">
        <f t="shared" ref="E211:E212" si="202">10^5</f>
        <v>100000</v>
      </c>
      <c r="F211">
        <v>35</v>
      </c>
      <c r="G211">
        <f t="shared" ref="G211:G212" si="203">(E211*F211)/0.004</f>
        <v>875000000</v>
      </c>
      <c r="I211">
        <f t="shared" ref="I211:I212" si="204">10^0</f>
        <v>1</v>
      </c>
      <c r="J211">
        <v>4</v>
      </c>
      <c r="K211">
        <f t="shared" ref="K211:K212" si="205">(I211*J211)/0.004</f>
        <v>1000</v>
      </c>
      <c r="M211">
        <f t="shared" ref="M211:M212" si="206">K211</f>
        <v>1000</v>
      </c>
      <c r="N211">
        <f t="shared" ref="N211:N212" si="207">G211-K211</f>
        <v>874999000</v>
      </c>
      <c r="O211">
        <f t="shared" ref="O211:O212" si="208">N211/M211</f>
        <v>874999</v>
      </c>
      <c r="T211" t="s">
        <v>109</v>
      </c>
      <c r="U211" t="s">
        <v>132</v>
      </c>
      <c r="V211">
        <f t="shared" ref="V211" si="209">O242/O167</f>
        <v>7.642443650695899</v>
      </c>
    </row>
    <row r="212" spans="3:22" x14ac:dyDescent="0.2">
      <c r="D212" t="s">
        <v>115</v>
      </c>
      <c r="E212">
        <f t="shared" si="202"/>
        <v>100000</v>
      </c>
      <c r="F212">
        <v>23</v>
      </c>
      <c r="G212">
        <f t="shared" si="203"/>
        <v>575000000</v>
      </c>
      <c r="I212">
        <f t="shared" si="204"/>
        <v>1</v>
      </c>
      <c r="J212">
        <v>1</v>
      </c>
      <c r="K212">
        <f t="shared" si="205"/>
        <v>250</v>
      </c>
      <c r="M212">
        <f t="shared" si="206"/>
        <v>250</v>
      </c>
      <c r="N212">
        <f t="shared" si="207"/>
        <v>574999750</v>
      </c>
      <c r="O212">
        <f t="shared" si="208"/>
        <v>2299999</v>
      </c>
      <c r="U212" t="s">
        <v>133</v>
      </c>
      <c r="V212">
        <f t="shared" si="175"/>
        <v>6.0746640119462416</v>
      </c>
    </row>
    <row r="213" spans="3:22" x14ac:dyDescent="0.2">
      <c r="U213" t="s">
        <v>134</v>
      </c>
      <c r="V213">
        <f t="shared" si="175"/>
        <v>6.2168021680216805</v>
      </c>
    </row>
    <row r="214" spans="3:22" x14ac:dyDescent="0.2">
      <c r="C214" t="s">
        <v>116</v>
      </c>
      <c r="D214" t="s">
        <v>117</v>
      </c>
      <c r="E214">
        <f t="shared" ref="E214:E219" si="210">10^5</f>
        <v>100000</v>
      </c>
      <c r="F214">
        <v>39</v>
      </c>
      <c r="G214">
        <f t="shared" ref="G214:G219" si="211">(E214*F214)/0.004</f>
        <v>975000000</v>
      </c>
      <c r="I214">
        <f>10^3</f>
        <v>1000</v>
      </c>
      <c r="J214">
        <v>32</v>
      </c>
      <c r="K214">
        <f t="shared" ref="K214:K219" si="212">(I214*J214)/0.004</f>
        <v>8000000</v>
      </c>
      <c r="M214">
        <f t="shared" ref="M214:M219" si="213">K214</f>
        <v>8000000</v>
      </c>
      <c r="N214">
        <f t="shared" ref="N214:N219" si="214">G214-K214</f>
        <v>967000000</v>
      </c>
      <c r="O214">
        <f t="shared" ref="O214:O219" si="215">N214/M214</f>
        <v>120.875</v>
      </c>
      <c r="U214" t="s">
        <v>135</v>
      </c>
      <c r="V214">
        <f t="shared" si="175"/>
        <v>5.8717948717948723</v>
      </c>
    </row>
    <row r="215" spans="3:22" x14ac:dyDescent="0.2">
      <c r="D215" t="s">
        <v>118</v>
      </c>
      <c r="E215">
        <f t="shared" si="210"/>
        <v>100000</v>
      </c>
      <c r="F215">
        <v>40</v>
      </c>
      <c r="G215">
        <f t="shared" si="211"/>
        <v>1000000000</v>
      </c>
      <c r="I215">
        <f t="shared" ref="I215:I216" si="216">10^3</f>
        <v>1000</v>
      </c>
      <c r="J215">
        <v>29</v>
      </c>
      <c r="K215">
        <f t="shared" si="212"/>
        <v>7250000</v>
      </c>
      <c r="M215">
        <f t="shared" si="213"/>
        <v>7250000</v>
      </c>
      <c r="N215">
        <f t="shared" si="214"/>
        <v>992750000</v>
      </c>
      <c r="O215">
        <f t="shared" si="215"/>
        <v>136.93103448275863</v>
      </c>
      <c r="U215" t="s">
        <v>136</v>
      </c>
      <c r="V215">
        <f t="shared" si="175"/>
        <v>4.5074390629946182</v>
      </c>
    </row>
    <row r="216" spans="3:22" x14ac:dyDescent="0.2">
      <c r="D216" t="s">
        <v>119</v>
      </c>
      <c r="E216">
        <f t="shared" si="210"/>
        <v>100000</v>
      </c>
      <c r="F216">
        <v>32</v>
      </c>
      <c r="G216">
        <f t="shared" si="211"/>
        <v>800000000</v>
      </c>
      <c r="I216">
        <f t="shared" si="216"/>
        <v>1000</v>
      </c>
      <c r="J216">
        <v>19</v>
      </c>
      <c r="K216">
        <f t="shared" si="212"/>
        <v>4750000</v>
      </c>
      <c r="M216">
        <f t="shared" si="213"/>
        <v>4750000</v>
      </c>
      <c r="N216">
        <f t="shared" si="214"/>
        <v>795250000</v>
      </c>
      <c r="O216">
        <f t="shared" si="215"/>
        <v>167.42105263157896</v>
      </c>
      <c r="U216" t="s">
        <v>137</v>
      </c>
      <c r="V216">
        <f t="shared" si="175"/>
        <v>4.761755485893417</v>
      </c>
    </row>
    <row r="217" spans="3:22" x14ac:dyDescent="0.2">
      <c r="D217" t="s">
        <v>120</v>
      </c>
      <c r="E217">
        <f t="shared" si="210"/>
        <v>100000</v>
      </c>
      <c r="F217">
        <v>37</v>
      </c>
      <c r="G217">
        <f t="shared" si="211"/>
        <v>925000000</v>
      </c>
      <c r="I217">
        <f>10^3</f>
        <v>1000</v>
      </c>
      <c r="J217">
        <v>18</v>
      </c>
      <c r="K217">
        <f t="shared" si="212"/>
        <v>4500000</v>
      </c>
      <c r="M217">
        <f t="shared" si="213"/>
        <v>4500000</v>
      </c>
      <c r="N217">
        <f t="shared" si="214"/>
        <v>920500000</v>
      </c>
      <c r="O217">
        <f t="shared" si="215"/>
        <v>204.55555555555554</v>
      </c>
    </row>
    <row r="218" spans="3:22" x14ac:dyDescent="0.2">
      <c r="D218" t="s">
        <v>121</v>
      </c>
      <c r="E218">
        <f t="shared" si="210"/>
        <v>100000</v>
      </c>
      <c r="F218">
        <v>19</v>
      </c>
      <c r="G218">
        <f t="shared" si="211"/>
        <v>475000000</v>
      </c>
      <c r="I218">
        <f t="shared" ref="I218:I219" si="217">10^3</f>
        <v>1000</v>
      </c>
      <c r="J218">
        <v>14</v>
      </c>
      <c r="K218">
        <f t="shared" si="212"/>
        <v>3500000</v>
      </c>
      <c r="M218">
        <f t="shared" si="213"/>
        <v>3500000</v>
      </c>
      <c r="N218">
        <f t="shared" si="214"/>
        <v>471500000</v>
      </c>
      <c r="O218">
        <f t="shared" si="215"/>
        <v>134.71428571428572</v>
      </c>
      <c r="T218" t="s">
        <v>116</v>
      </c>
      <c r="U218" t="s">
        <v>138</v>
      </c>
      <c r="V218">
        <f t="shared" ref="V218" si="218">O249/O174</f>
        <v>9.3893851812926972</v>
      </c>
    </row>
    <row r="219" spans="3:22" x14ac:dyDescent="0.2">
      <c r="D219" t="s">
        <v>122</v>
      </c>
      <c r="E219">
        <f t="shared" si="210"/>
        <v>100000</v>
      </c>
      <c r="F219">
        <v>18</v>
      </c>
      <c r="G219">
        <f t="shared" si="211"/>
        <v>450000000</v>
      </c>
      <c r="I219">
        <f t="shared" si="217"/>
        <v>1000</v>
      </c>
      <c r="J219">
        <v>11</v>
      </c>
      <c r="K219">
        <f t="shared" si="212"/>
        <v>2750000</v>
      </c>
      <c r="M219">
        <f t="shared" si="213"/>
        <v>2750000</v>
      </c>
      <c r="N219">
        <f t="shared" si="214"/>
        <v>447250000</v>
      </c>
      <c r="O219">
        <f t="shared" si="215"/>
        <v>162.63636363636363</v>
      </c>
      <c r="U219" t="s">
        <v>139</v>
      </c>
      <c r="V219">
        <f t="shared" si="175"/>
        <v>11.307262569832401</v>
      </c>
    </row>
    <row r="220" spans="3:22" x14ac:dyDescent="0.2">
      <c r="U220" t="s">
        <v>140</v>
      </c>
      <c r="V220">
        <f t="shared" si="175"/>
        <v>10.856396866840731</v>
      </c>
    </row>
    <row r="221" spans="3:22" x14ac:dyDescent="0.2">
      <c r="C221" t="s">
        <v>124</v>
      </c>
      <c r="D221" t="s">
        <v>125</v>
      </c>
      <c r="E221">
        <f t="shared" ref="E221:E226" si="219">10^5</f>
        <v>100000</v>
      </c>
      <c r="F221">
        <v>32</v>
      </c>
      <c r="G221">
        <f t="shared" ref="G221:G226" si="220">(E221*F221)/0.004</f>
        <v>800000000</v>
      </c>
      <c r="I221">
        <f>10^0</f>
        <v>1</v>
      </c>
      <c r="J221">
        <v>1</v>
      </c>
      <c r="K221">
        <f t="shared" ref="K221:K226" si="221">(I221*J221)/0.004</f>
        <v>250</v>
      </c>
      <c r="M221">
        <f t="shared" ref="M221:M226" si="222">K221</f>
        <v>250</v>
      </c>
      <c r="N221">
        <f t="shared" ref="N221:N226" si="223">G221-K221</f>
        <v>799999750</v>
      </c>
      <c r="O221">
        <f t="shared" ref="O221:O226" si="224">N221/M221</f>
        <v>3199999</v>
      </c>
      <c r="U221" t="s">
        <v>141</v>
      </c>
      <c r="V221">
        <f t="shared" si="175"/>
        <v>19.003629764065337</v>
      </c>
    </row>
    <row r="222" spans="3:22" x14ac:dyDescent="0.2">
      <c r="D222" t="s">
        <v>126</v>
      </c>
      <c r="E222">
        <f t="shared" si="219"/>
        <v>100000</v>
      </c>
      <c r="F222">
        <v>35</v>
      </c>
      <c r="G222">
        <f t="shared" si="220"/>
        <v>875000000</v>
      </c>
      <c r="I222">
        <f t="shared" ref="I222:I223" si="225">10^0</f>
        <v>1</v>
      </c>
      <c r="J222">
        <v>1</v>
      </c>
      <c r="K222">
        <f t="shared" si="221"/>
        <v>250</v>
      </c>
      <c r="M222">
        <f t="shared" si="222"/>
        <v>250</v>
      </c>
      <c r="N222">
        <f t="shared" si="223"/>
        <v>874999750</v>
      </c>
      <c r="O222">
        <f t="shared" si="224"/>
        <v>3499999</v>
      </c>
      <c r="U222" t="s">
        <v>142</v>
      </c>
      <c r="V222">
        <f t="shared" si="175"/>
        <v>11.772958006460545</v>
      </c>
    </row>
    <row r="223" spans="3:22" x14ac:dyDescent="0.2">
      <c r="D223" t="s">
        <v>127</v>
      </c>
      <c r="E223">
        <f t="shared" si="219"/>
        <v>100000</v>
      </c>
      <c r="F223">
        <v>34</v>
      </c>
      <c r="G223">
        <f t="shared" si="220"/>
        <v>850000000</v>
      </c>
      <c r="I223">
        <f t="shared" si="225"/>
        <v>1</v>
      </c>
      <c r="J223">
        <v>3</v>
      </c>
      <c r="K223">
        <f t="shared" si="221"/>
        <v>750</v>
      </c>
      <c r="M223">
        <f t="shared" si="222"/>
        <v>750</v>
      </c>
      <c r="N223">
        <f t="shared" si="223"/>
        <v>849999250</v>
      </c>
      <c r="O223">
        <f t="shared" si="224"/>
        <v>1133332.3333333333</v>
      </c>
      <c r="U223" t="s">
        <v>143</v>
      </c>
      <c r="V223">
        <f t="shared" si="175"/>
        <v>22.174958415242703</v>
      </c>
    </row>
    <row r="224" spans="3:22" x14ac:dyDescent="0.2">
      <c r="D224" t="s">
        <v>128</v>
      </c>
      <c r="E224">
        <f t="shared" si="219"/>
        <v>100000</v>
      </c>
      <c r="F224">
        <v>23</v>
      </c>
      <c r="G224">
        <f t="shared" si="220"/>
        <v>575000000</v>
      </c>
      <c r="I224">
        <f>10^0</f>
        <v>1</v>
      </c>
      <c r="J224">
        <v>1</v>
      </c>
      <c r="K224">
        <f t="shared" si="221"/>
        <v>250</v>
      </c>
      <c r="M224">
        <f t="shared" si="222"/>
        <v>250</v>
      </c>
      <c r="N224">
        <f t="shared" si="223"/>
        <v>574999750</v>
      </c>
      <c r="O224">
        <f t="shared" si="224"/>
        <v>2299999</v>
      </c>
    </row>
    <row r="225" spans="3:22" x14ac:dyDescent="0.2">
      <c r="D225" t="s">
        <v>129</v>
      </c>
      <c r="E225">
        <f t="shared" si="219"/>
        <v>100000</v>
      </c>
      <c r="F225">
        <v>24</v>
      </c>
      <c r="G225">
        <f t="shared" si="220"/>
        <v>600000000</v>
      </c>
      <c r="I225">
        <f t="shared" ref="I225:I226" si="226">10^0</f>
        <v>1</v>
      </c>
      <c r="J225">
        <v>1</v>
      </c>
      <c r="K225">
        <f t="shared" si="221"/>
        <v>250</v>
      </c>
      <c r="M225">
        <f t="shared" si="222"/>
        <v>250</v>
      </c>
      <c r="N225">
        <f t="shared" si="223"/>
        <v>599999750</v>
      </c>
      <c r="O225">
        <f t="shared" si="224"/>
        <v>2399999</v>
      </c>
      <c r="T225" t="s">
        <v>124</v>
      </c>
      <c r="U225" t="s">
        <v>144</v>
      </c>
      <c r="V225">
        <f t="shared" ref="V225" si="227">O256/O181</f>
        <v>5.3260473588342441</v>
      </c>
    </row>
    <row r="226" spans="3:22" x14ac:dyDescent="0.2">
      <c r="D226" t="s">
        <v>130</v>
      </c>
      <c r="E226">
        <f t="shared" si="219"/>
        <v>100000</v>
      </c>
      <c r="F226">
        <v>21</v>
      </c>
      <c r="G226">
        <f t="shared" si="220"/>
        <v>525000000</v>
      </c>
      <c r="I226">
        <f t="shared" si="226"/>
        <v>1</v>
      </c>
      <c r="J226">
        <v>1</v>
      </c>
      <c r="K226">
        <f t="shared" si="221"/>
        <v>250</v>
      </c>
      <c r="M226">
        <f t="shared" si="222"/>
        <v>250</v>
      </c>
      <c r="N226">
        <f t="shared" si="223"/>
        <v>524999750</v>
      </c>
      <c r="O226">
        <f t="shared" si="224"/>
        <v>2099999</v>
      </c>
      <c r="U226" t="s">
        <v>145</v>
      </c>
      <c r="V226">
        <f t="shared" si="175"/>
        <v>6.5455743202778782</v>
      </c>
    </row>
    <row r="227" spans="3:22" x14ac:dyDescent="0.2">
      <c r="U227" t="s">
        <v>147</v>
      </c>
      <c r="V227">
        <f t="shared" si="175"/>
        <v>13.245384157236449</v>
      </c>
    </row>
    <row r="228" spans="3:22" x14ac:dyDescent="0.2">
      <c r="C228" t="s">
        <v>131</v>
      </c>
      <c r="D228" t="s">
        <v>286</v>
      </c>
      <c r="E228">
        <f>10^5</f>
        <v>100000</v>
      </c>
      <c r="F228">
        <v>26</v>
      </c>
      <c r="G228">
        <f>E228*F228/0.004</f>
        <v>650000000</v>
      </c>
      <c r="I228">
        <f>10^0</f>
        <v>1</v>
      </c>
      <c r="J228">
        <v>23</v>
      </c>
      <c r="K228">
        <f>I228*J228/0.004</f>
        <v>5750</v>
      </c>
      <c r="M228">
        <f>K228</f>
        <v>5750</v>
      </c>
      <c r="N228">
        <f>G228-K228</f>
        <v>649994250</v>
      </c>
      <c r="O228">
        <f>N228/M228</f>
        <v>113042.47826086957</v>
      </c>
      <c r="U228" t="s">
        <v>149</v>
      </c>
      <c r="V228">
        <f t="shared" si="175"/>
        <v>5.5061142736664559</v>
      </c>
    </row>
    <row r="229" spans="3:22" x14ac:dyDescent="0.2">
      <c r="D229" t="s">
        <v>287</v>
      </c>
      <c r="E229">
        <f t="shared" ref="E229:E233" si="228">10^5</f>
        <v>100000</v>
      </c>
      <c r="F229">
        <v>18</v>
      </c>
      <c r="G229">
        <f t="shared" ref="G229:G233" si="229">E229*F229/0.004</f>
        <v>450000000</v>
      </c>
      <c r="I229">
        <f t="shared" ref="I229:I233" si="230">10^0</f>
        <v>1</v>
      </c>
      <c r="J229">
        <v>5</v>
      </c>
      <c r="K229">
        <f t="shared" ref="K229:K232" si="231">I229*J229/0.004</f>
        <v>1250</v>
      </c>
      <c r="M229">
        <f t="shared" ref="M229:M233" si="232">K229</f>
        <v>1250</v>
      </c>
      <c r="N229">
        <f t="shared" ref="N229:N233" si="233">G229-K229</f>
        <v>449998750</v>
      </c>
      <c r="O229">
        <f t="shared" ref="O229:O233" si="234">N229/M229</f>
        <v>359999</v>
      </c>
      <c r="U229" t="s">
        <v>151</v>
      </c>
      <c r="V229">
        <f t="shared" si="175"/>
        <v>5.3956241032998573</v>
      </c>
    </row>
    <row r="230" spans="3:22" x14ac:dyDescent="0.2">
      <c r="D230" t="s">
        <v>288</v>
      </c>
      <c r="E230">
        <f t="shared" si="228"/>
        <v>100000</v>
      </c>
      <c r="F230">
        <v>24</v>
      </c>
      <c r="G230">
        <f t="shared" si="229"/>
        <v>600000000</v>
      </c>
      <c r="I230">
        <f t="shared" si="230"/>
        <v>1</v>
      </c>
      <c r="J230">
        <v>2</v>
      </c>
      <c r="K230">
        <f t="shared" si="231"/>
        <v>500</v>
      </c>
      <c r="M230">
        <f t="shared" si="232"/>
        <v>500</v>
      </c>
      <c r="N230">
        <f t="shared" si="233"/>
        <v>599999500</v>
      </c>
      <c r="O230">
        <f t="shared" si="234"/>
        <v>1199999</v>
      </c>
      <c r="U230" t="s">
        <v>153</v>
      </c>
      <c r="V230">
        <f t="shared" si="175"/>
        <v>8.9797979797979792</v>
      </c>
    </row>
    <row r="231" spans="3:22" x14ac:dyDescent="0.2">
      <c r="D231" t="s">
        <v>289</v>
      </c>
      <c r="E231">
        <f t="shared" si="228"/>
        <v>100000</v>
      </c>
      <c r="F231">
        <v>26</v>
      </c>
      <c r="G231">
        <f t="shared" si="229"/>
        <v>650000000</v>
      </c>
      <c r="I231">
        <f t="shared" si="230"/>
        <v>1</v>
      </c>
      <c r="J231">
        <v>14</v>
      </c>
      <c r="K231">
        <f t="shared" si="231"/>
        <v>3500</v>
      </c>
      <c r="M231">
        <f t="shared" si="232"/>
        <v>3500</v>
      </c>
      <c r="N231">
        <f t="shared" si="233"/>
        <v>649996500</v>
      </c>
      <c r="O231">
        <f t="shared" si="234"/>
        <v>185713.28571428571</v>
      </c>
    </row>
    <row r="232" spans="3:22" x14ac:dyDescent="0.2">
      <c r="D232" t="s">
        <v>290</v>
      </c>
      <c r="E232">
        <f t="shared" si="228"/>
        <v>100000</v>
      </c>
      <c r="F232">
        <v>17</v>
      </c>
      <c r="G232">
        <f t="shared" si="229"/>
        <v>425000000</v>
      </c>
      <c r="I232">
        <f t="shared" si="230"/>
        <v>1</v>
      </c>
      <c r="J232">
        <v>2</v>
      </c>
      <c r="K232">
        <f t="shared" si="231"/>
        <v>500</v>
      </c>
      <c r="M232">
        <f t="shared" si="232"/>
        <v>500</v>
      </c>
      <c r="N232">
        <f t="shared" si="233"/>
        <v>424999500</v>
      </c>
      <c r="O232">
        <f t="shared" si="234"/>
        <v>849999</v>
      </c>
      <c r="T232" t="s">
        <v>131</v>
      </c>
      <c r="U232" t="s">
        <v>298</v>
      </c>
      <c r="V232">
        <f t="shared" ref="V232" si="235">O263/O188</f>
        <v>1.9523809523809523</v>
      </c>
    </row>
    <row r="233" spans="3:22" x14ac:dyDescent="0.2">
      <c r="D233" t="s">
        <v>311</v>
      </c>
      <c r="E233">
        <f t="shared" si="228"/>
        <v>100000</v>
      </c>
      <c r="F233">
        <v>23</v>
      </c>
      <c r="G233">
        <f t="shared" si="229"/>
        <v>575000000</v>
      </c>
      <c r="I233">
        <f t="shared" si="230"/>
        <v>1</v>
      </c>
      <c r="J233">
        <v>1</v>
      </c>
      <c r="K233">
        <f>I233*J233/0.004</f>
        <v>250</v>
      </c>
      <c r="M233">
        <f t="shared" si="232"/>
        <v>250</v>
      </c>
      <c r="N233">
        <f t="shared" si="233"/>
        <v>574999750</v>
      </c>
      <c r="O233">
        <f t="shared" si="234"/>
        <v>2299999</v>
      </c>
      <c r="U233" t="s">
        <v>299</v>
      </c>
      <c r="V233">
        <f t="shared" si="175"/>
        <v>2.1133603238866399</v>
      </c>
    </row>
    <row r="234" spans="3:22" x14ac:dyDescent="0.2">
      <c r="U234" t="s">
        <v>300</v>
      </c>
      <c r="V234">
        <f t="shared" si="175"/>
        <v>4.9830508474576272</v>
      </c>
    </row>
    <row r="235" spans="3:22" x14ac:dyDescent="0.2">
      <c r="C235" t="s">
        <v>304</v>
      </c>
      <c r="D235" t="s">
        <v>292</v>
      </c>
      <c r="E235">
        <f>10^5</f>
        <v>100000</v>
      </c>
      <c r="F235">
        <v>38</v>
      </c>
      <c r="G235">
        <f>E235*F235/0.004</f>
        <v>950000000</v>
      </c>
      <c r="I235">
        <f>10^4</f>
        <v>10000</v>
      </c>
      <c r="J235">
        <v>22</v>
      </c>
      <c r="K235">
        <f t="shared" ref="K235:K240" si="236">I235*J235/0.004</f>
        <v>55000000</v>
      </c>
      <c r="M235">
        <f t="shared" ref="M235:M240" si="237">K235</f>
        <v>55000000</v>
      </c>
      <c r="N235">
        <f t="shared" ref="N235:N240" si="238">G235-K235</f>
        <v>895000000</v>
      </c>
      <c r="O235">
        <f t="shared" ref="O235:O240" si="239">N235/M235</f>
        <v>16.272727272727273</v>
      </c>
      <c r="U235" t="s">
        <v>301</v>
      </c>
      <c r="V235">
        <f t="shared" si="175"/>
        <v>5.7333333333333334</v>
      </c>
    </row>
    <row r="236" spans="3:22" x14ac:dyDescent="0.2">
      <c r="D236" t="s">
        <v>293</v>
      </c>
      <c r="E236">
        <f>10^5</f>
        <v>100000</v>
      </c>
      <c r="F236">
        <v>26</v>
      </c>
      <c r="G236">
        <f t="shared" ref="G236:G240" si="240">E236*F236/0.004</f>
        <v>650000000</v>
      </c>
      <c r="I236">
        <f t="shared" ref="I236:I240" si="241">10^4</f>
        <v>10000</v>
      </c>
      <c r="J236">
        <v>11</v>
      </c>
      <c r="K236">
        <f t="shared" si="236"/>
        <v>27500000</v>
      </c>
      <c r="M236">
        <f t="shared" si="237"/>
        <v>27500000</v>
      </c>
      <c r="N236">
        <f t="shared" si="238"/>
        <v>622500000</v>
      </c>
      <c r="O236">
        <f t="shared" si="239"/>
        <v>22.636363636363637</v>
      </c>
      <c r="U236" t="s">
        <v>302</v>
      </c>
      <c r="V236">
        <f t="shared" si="175"/>
        <v>2.5697674418604652</v>
      </c>
    </row>
    <row r="237" spans="3:22" x14ac:dyDescent="0.2">
      <c r="D237" t="s">
        <v>294</v>
      </c>
      <c r="E237">
        <f t="shared" ref="E237:E240" si="242">10^5</f>
        <v>100000</v>
      </c>
      <c r="F237">
        <v>25</v>
      </c>
      <c r="G237">
        <f t="shared" si="240"/>
        <v>625000000</v>
      </c>
      <c r="I237">
        <f t="shared" si="241"/>
        <v>10000</v>
      </c>
      <c r="J237">
        <v>9</v>
      </c>
      <c r="K237">
        <f t="shared" si="236"/>
        <v>22500000</v>
      </c>
      <c r="M237">
        <f t="shared" si="237"/>
        <v>22500000</v>
      </c>
      <c r="N237">
        <f t="shared" si="238"/>
        <v>602500000</v>
      </c>
      <c r="O237">
        <f t="shared" si="239"/>
        <v>26.777777777777779</v>
      </c>
      <c r="U237" t="s">
        <v>303</v>
      </c>
      <c r="V237">
        <f t="shared" si="175"/>
        <v>2.8067359143846398</v>
      </c>
    </row>
    <row r="238" spans="3:22" x14ac:dyDescent="0.2">
      <c r="D238" t="s">
        <v>295</v>
      </c>
      <c r="E238">
        <f t="shared" si="242"/>
        <v>100000</v>
      </c>
      <c r="F238">
        <v>24</v>
      </c>
      <c r="G238">
        <f t="shared" si="240"/>
        <v>600000000</v>
      </c>
      <c r="I238">
        <f t="shared" si="241"/>
        <v>10000</v>
      </c>
      <c r="J238">
        <v>11</v>
      </c>
      <c r="K238">
        <f t="shared" si="236"/>
        <v>27500000</v>
      </c>
      <c r="M238">
        <f t="shared" si="237"/>
        <v>27500000</v>
      </c>
      <c r="N238">
        <f t="shared" si="238"/>
        <v>572500000</v>
      </c>
      <c r="O238">
        <f t="shared" si="239"/>
        <v>20.818181818181817</v>
      </c>
    </row>
    <row r="239" spans="3:22" x14ac:dyDescent="0.2">
      <c r="D239" t="s">
        <v>296</v>
      </c>
      <c r="E239">
        <f t="shared" si="242"/>
        <v>100000</v>
      </c>
      <c r="F239">
        <v>22</v>
      </c>
      <c r="G239">
        <f t="shared" si="240"/>
        <v>550000000</v>
      </c>
      <c r="I239">
        <f t="shared" si="241"/>
        <v>10000</v>
      </c>
      <c r="J239">
        <v>10</v>
      </c>
      <c r="K239">
        <f t="shared" si="236"/>
        <v>25000000</v>
      </c>
      <c r="M239">
        <f t="shared" si="237"/>
        <v>25000000</v>
      </c>
      <c r="N239">
        <f t="shared" si="238"/>
        <v>525000000</v>
      </c>
      <c r="O239">
        <f t="shared" si="239"/>
        <v>21</v>
      </c>
      <c r="T239" t="s">
        <v>304</v>
      </c>
      <c r="U239" t="s">
        <v>305</v>
      </c>
      <c r="V239">
        <f t="shared" ref="V239" si="243">O270/O195</f>
        <v>1.6218781218781217</v>
      </c>
    </row>
    <row r="240" spans="3:22" x14ac:dyDescent="0.2">
      <c r="D240" t="s">
        <v>297</v>
      </c>
      <c r="E240">
        <f t="shared" si="242"/>
        <v>100000</v>
      </c>
      <c r="F240">
        <v>27</v>
      </c>
      <c r="G240">
        <f t="shared" si="240"/>
        <v>675000000</v>
      </c>
      <c r="I240">
        <f t="shared" si="241"/>
        <v>10000</v>
      </c>
      <c r="J240">
        <v>7</v>
      </c>
      <c r="K240">
        <f t="shared" si="236"/>
        <v>17500000</v>
      </c>
      <c r="M240">
        <f t="shared" si="237"/>
        <v>17500000</v>
      </c>
      <c r="N240">
        <f t="shared" si="238"/>
        <v>657500000</v>
      </c>
      <c r="O240">
        <f t="shared" si="239"/>
        <v>37.571428571428569</v>
      </c>
      <c r="U240" t="s">
        <v>306</v>
      </c>
      <c r="V240">
        <f t="shared" si="175"/>
        <v>2.1329588014981273</v>
      </c>
    </row>
    <row r="241" spans="2:22" x14ac:dyDescent="0.2">
      <c r="U241" t="s">
        <v>307</v>
      </c>
      <c r="V241">
        <f t="shared" si="175"/>
        <v>1.1511627906976745</v>
      </c>
    </row>
    <row r="242" spans="2:22" x14ac:dyDescent="0.2">
      <c r="B242" t="s">
        <v>123</v>
      </c>
      <c r="C242" t="s">
        <v>109</v>
      </c>
      <c r="D242" t="s">
        <v>132</v>
      </c>
      <c r="E242">
        <f t="shared" ref="E242:E247" si="244">10^5</f>
        <v>100000</v>
      </c>
      <c r="F242">
        <v>34</v>
      </c>
      <c r="G242">
        <f t="shared" ref="G242:G247" si="245">(E242*F242)/0.004</f>
        <v>850000000</v>
      </c>
      <c r="I242">
        <f>10^3</f>
        <v>1000</v>
      </c>
      <c r="J242">
        <v>46</v>
      </c>
      <c r="K242">
        <f t="shared" ref="K242:K247" si="246">(I242*J242)/0.004</f>
        <v>11500000</v>
      </c>
      <c r="M242">
        <f t="shared" ref="M242:M247" si="247">K242</f>
        <v>11500000</v>
      </c>
      <c r="N242">
        <f t="shared" ref="N242:N247" si="248">G242-K242</f>
        <v>838500000</v>
      </c>
      <c r="O242">
        <f t="shared" ref="O242:O247" si="249">N242/M242</f>
        <v>72.913043478260875</v>
      </c>
      <c r="U242" t="s">
        <v>308</v>
      </c>
      <c r="V242">
        <f t="shared" si="175"/>
        <v>1.9600903614457832</v>
      </c>
    </row>
    <row r="243" spans="2:22" x14ac:dyDescent="0.2">
      <c r="D243" t="s">
        <v>133</v>
      </c>
      <c r="E243">
        <f t="shared" si="244"/>
        <v>100000</v>
      </c>
      <c r="F243">
        <v>31</v>
      </c>
      <c r="G243">
        <f t="shared" si="245"/>
        <v>775000000</v>
      </c>
      <c r="I243">
        <f t="shared" ref="I243:I244" si="250">10^3</f>
        <v>1000</v>
      </c>
      <c r="J243">
        <v>49</v>
      </c>
      <c r="K243">
        <f t="shared" si="246"/>
        <v>12250000</v>
      </c>
      <c r="M243">
        <f t="shared" si="247"/>
        <v>12250000</v>
      </c>
      <c r="N243">
        <f t="shared" si="248"/>
        <v>762750000</v>
      </c>
      <c r="O243">
        <f t="shared" si="249"/>
        <v>62.265306122448976</v>
      </c>
      <c r="U243" t="s">
        <v>309</v>
      </c>
      <c r="V243">
        <f t="shared" si="175"/>
        <v>2.4587198515769946</v>
      </c>
    </row>
    <row r="244" spans="2:22" x14ac:dyDescent="0.2">
      <c r="D244" t="s">
        <v>134</v>
      </c>
      <c r="E244">
        <f t="shared" si="244"/>
        <v>100000</v>
      </c>
      <c r="F244">
        <v>33</v>
      </c>
      <c r="G244">
        <f t="shared" si="245"/>
        <v>825000000</v>
      </c>
      <c r="I244">
        <f t="shared" si="250"/>
        <v>1000</v>
      </c>
      <c r="J244">
        <v>44</v>
      </c>
      <c r="K244">
        <f t="shared" si="246"/>
        <v>11000000</v>
      </c>
      <c r="M244">
        <f t="shared" si="247"/>
        <v>11000000</v>
      </c>
      <c r="N244">
        <f t="shared" si="248"/>
        <v>814000000</v>
      </c>
      <c r="O244">
        <f t="shared" si="249"/>
        <v>74</v>
      </c>
      <c r="U244" t="s">
        <v>310</v>
      </c>
      <c r="V244">
        <f t="shared" si="175"/>
        <v>1.2995391705069124</v>
      </c>
    </row>
    <row r="245" spans="2:22" x14ac:dyDescent="0.2">
      <c r="D245" t="s">
        <v>135</v>
      </c>
      <c r="E245">
        <f t="shared" si="244"/>
        <v>100000</v>
      </c>
      <c r="F245">
        <v>28</v>
      </c>
      <c r="G245">
        <f t="shared" si="245"/>
        <v>700000000</v>
      </c>
      <c r="I245">
        <f>10^3</f>
        <v>1000</v>
      </c>
      <c r="J245">
        <v>52</v>
      </c>
      <c r="K245">
        <f t="shared" si="246"/>
        <v>13000000</v>
      </c>
      <c r="M245">
        <f t="shared" si="247"/>
        <v>13000000</v>
      </c>
      <c r="N245">
        <f t="shared" si="248"/>
        <v>687000000</v>
      </c>
      <c r="O245">
        <f t="shared" si="249"/>
        <v>52.846153846153847</v>
      </c>
    </row>
    <row r="246" spans="2:22" x14ac:dyDescent="0.2">
      <c r="D246" t="s">
        <v>136</v>
      </c>
      <c r="E246">
        <f t="shared" si="244"/>
        <v>100000</v>
      </c>
      <c r="F246">
        <v>25</v>
      </c>
      <c r="G246">
        <f t="shared" si="245"/>
        <v>625000000</v>
      </c>
      <c r="I246">
        <f t="shared" ref="I246:I247" si="251">10^3</f>
        <v>1000</v>
      </c>
      <c r="J246">
        <v>45</v>
      </c>
      <c r="K246">
        <f t="shared" si="246"/>
        <v>11250000</v>
      </c>
      <c r="M246">
        <f t="shared" si="247"/>
        <v>11250000</v>
      </c>
      <c r="N246">
        <f t="shared" si="248"/>
        <v>613750000</v>
      </c>
      <c r="O246">
        <f t="shared" si="249"/>
        <v>54.555555555555557</v>
      </c>
    </row>
    <row r="247" spans="2:22" x14ac:dyDescent="0.2">
      <c r="D247" t="s">
        <v>137</v>
      </c>
      <c r="E247">
        <f t="shared" si="244"/>
        <v>100000</v>
      </c>
      <c r="F247">
        <v>23</v>
      </c>
      <c r="G247">
        <f t="shared" si="245"/>
        <v>575000000</v>
      </c>
      <c r="I247">
        <f t="shared" si="251"/>
        <v>1000</v>
      </c>
      <c r="J247">
        <v>46</v>
      </c>
      <c r="K247">
        <f t="shared" si="246"/>
        <v>11500000</v>
      </c>
      <c r="M247">
        <f t="shared" si="247"/>
        <v>11500000</v>
      </c>
      <c r="N247">
        <f t="shared" si="248"/>
        <v>563500000</v>
      </c>
      <c r="O247">
        <f t="shared" si="249"/>
        <v>49</v>
      </c>
    </row>
    <row r="249" spans="2:22" x14ac:dyDescent="0.2">
      <c r="C249" t="s">
        <v>116</v>
      </c>
      <c r="D249" t="s">
        <v>138</v>
      </c>
      <c r="E249">
        <f t="shared" ref="E249:E254" si="252">10^5</f>
        <v>100000</v>
      </c>
      <c r="F249">
        <v>30</v>
      </c>
      <c r="G249">
        <f t="shared" ref="G249:G254" si="253">(E249*F249)/0.004</f>
        <v>750000000</v>
      </c>
      <c r="I249">
        <f t="shared" ref="I249:I251" si="254">10^3</f>
        <v>1000</v>
      </c>
      <c r="J249">
        <v>22</v>
      </c>
      <c r="K249">
        <f t="shared" ref="K249:K254" si="255">(I249*J249)/0.004</f>
        <v>5500000</v>
      </c>
      <c r="M249">
        <f t="shared" ref="M249:M254" si="256">K249</f>
        <v>5500000</v>
      </c>
      <c r="N249">
        <f t="shared" ref="N249:N254" si="257">G249-K249</f>
        <v>744500000</v>
      </c>
      <c r="O249">
        <f t="shared" ref="O249:O254" si="258">N249/M249</f>
        <v>135.36363636363637</v>
      </c>
    </row>
    <row r="250" spans="2:22" x14ac:dyDescent="0.2">
      <c r="D250" t="s">
        <v>139</v>
      </c>
      <c r="E250">
        <f t="shared" si="252"/>
        <v>100000</v>
      </c>
      <c r="F250">
        <v>37</v>
      </c>
      <c r="G250">
        <f t="shared" si="253"/>
        <v>925000000</v>
      </c>
      <c r="I250">
        <f t="shared" si="254"/>
        <v>1000</v>
      </c>
      <c r="J250">
        <v>20</v>
      </c>
      <c r="K250">
        <f t="shared" si="255"/>
        <v>5000000</v>
      </c>
      <c r="M250">
        <f t="shared" si="256"/>
        <v>5000000</v>
      </c>
      <c r="N250">
        <f t="shared" si="257"/>
        <v>920000000</v>
      </c>
      <c r="O250">
        <f t="shared" si="258"/>
        <v>184</v>
      </c>
    </row>
    <row r="251" spans="2:22" x14ac:dyDescent="0.2">
      <c r="D251" t="s">
        <v>140</v>
      </c>
      <c r="E251">
        <f t="shared" si="252"/>
        <v>100000</v>
      </c>
      <c r="F251">
        <v>31</v>
      </c>
      <c r="G251">
        <f t="shared" si="253"/>
        <v>775000000</v>
      </c>
      <c r="I251">
        <f t="shared" si="254"/>
        <v>1000</v>
      </c>
      <c r="J251">
        <v>20</v>
      </c>
      <c r="K251">
        <f t="shared" si="255"/>
        <v>5000000</v>
      </c>
      <c r="M251">
        <f t="shared" si="256"/>
        <v>5000000</v>
      </c>
      <c r="N251">
        <f t="shared" si="257"/>
        <v>770000000</v>
      </c>
      <c r="O251">
        <f t="shared" si="258"/>
        <v>154</v>
      </c>
    </row>
    <row r="252" spans="2:22" x14ac:dyDescent="0.2">
      <c r="D252" t="s">
        <v>141</v>
      </c>
      <c r="E252">
        <f t="shared" si="252"/>
        <v>100000</v>
      </c>
      <c r="F252">
        <v>21</v>
      </c>
      <c r="G252">
        <f t="shared" si="253"/>
        <v>525000000</v>
      </c>
      <c r="I252">
        <f>10^2</f>
        <v>100</v>
      </c>
      <c r="J252">
        <v>58</v>
      </c>
      <c r="K252">
        <f t="shared" si="255"/>
        <v>1450000</v>
      </c>
      <c r="M252">
        <f t="shared" si="256"/>
        <v>1450000</v>
      </c>
      <c r="N252">
        <f t="shared" si="257"/>
        <v>523550000</v>
      </c>
      <c r="O252">
        <f t="shared" si="258"/>
        <v>361.06896551724139</v>
      </c>
    </row>
    <row r="253" spans="2:22" x14ac:dyDescent="0.2">
      <c r="D253" t="s">
        <v>142</v>
      </c>
      <c r="E253">
        <f t="shared" si="252"/>
        <v>100000</v>
      </c>
      <c r="F253">
        <v>16</v>
      </c>
      <c r="G253">
        <f t="shared" si="253"/>
        <v>400000000</v>
      </c>
      <c r="I253">
        <f t="shared" ref="I253:I254" si="259">10^2</f>
        <v>100</v>
      </c>
      <c r="J253">
        <v>55</v>
      </c>
      <c r="K253">
        <f t="shared" si="255"/>
        <v>1375000</v>
      </c>
      <c r="M253">
        <f t="shared" si="256"/>
        <v>1375000</v>
      </c>
      <c r="N253">
        <f t="shared" si="257"/>
        <v>398625000</v>
      </c>
      <c r="O253">
        <f t="shared" si="258"/>
        <v>289.90909090909093</v>
      </c>
    </row>
    <row r="254" spans="2:22" x14ac:dyDescent="0.2">
      <c r="D254" t="s">
        <v>143</v>
      </c>
      <c r="E254">
        <f t="shared" si="252"/>
        <v>100000</v>
      </c>
      <c r="F254">
        <v>21</v>
      </c>
      <c r="G254">
        <f t="shared" si="253"/>
        <v>525000000</v>
      </c>
      <c r="I254">
        <f t="shared" si="259"/>
        <v>100</v>
      </c>
      <c r="J254">
        <v>51</v>
      </c>
      <c r="K254">
        <f t="shared" si="255"/>
        <v>1275000</v>
      </c>
      <c r="M254">
        <f t="shared" si="256"/>
        <v>1275000</v>
      </c>
      <c r="N254">
        <f t="shared" si="257"/>
        <v>523725000</v>
      </c>
      <c r="O254">
        <f t="shared" si="258"/>
        <v>410.76470588235293</v>
      </c>
    </row>
    <row r="256" spans="2:22" x14ac:dyDescent="0.2">
      <c r="C256" t="s">
        <v>124</v>
      </c>
      <c r="D256" t="s">
        <v>144</v>
      </c>
      <c r="E256">
        <f t="shared" ref="E256:E261" si="260">10^5</f>
        <v>100000</v>
      </c>
      <c r="F256">
        <v>28</v>
      </c>
      <c r="G256">
        <f t="shared" ref="G256:G261" si="261">(E256*F256)/0.004</f>
        <v>700000000</v>
      </c>
      <c r="I256">
        <f t="shared" ref="I256:I258" si="262">10^3</f>
        <v>1000</v>
      </c>
      <c r="J256">
        <v>48</v>
      </c>
      <c r="K256">
        <f t="shared" ref="K256:K261" si="263">(I256*J256)/0.004</f>
        <v>12000000</v>
      </c>
      <c r="M256">
        <f t="shared" ref="M256:M261" si="264">K256</f>
        <v>12000000</v>
      </c>
      <c r="N256">
        <f t="shared" ref="N256:N261" si="265">G256-K256</f>
        <v>688000000</v>
      </c>
      <c r="O256">
        <f t="shared" ref="O256:O261" si="266">N256/M256</f>
        <v>57.333333333333336</v>
      </c>
    </row>
    <row r="257" spans="3:15" x14ac:dyDescent="0.2">
      <c r="D257" t="s">
        <v>145</v>
      </c>
      <c r="E257">
        <f t="shared" si="260"/>
        <v>100000</v>
      </c>
      <c r="F257">
        <v>30</v>
      </c>
      <c r="G257">
        <f t="shared" si="261"/>
        <v>750000000</v>
      </c>
      <c r="I257">
        <f t="shared" si="262"/>
        <v>1000</v>
      </c>
      <c r="J257">
        <v>46</v>
      </c>
      <c r="K257">
        <f t="shared" si="263"/>
        <v>11500000</v>
      </c>
      <c r="M257">
        <f t="shared" si="264"/>
        <v>11500000</v>
      </c>
      <c r="N257">
        <f t="shared" si="265"/>
        <v>738500000</v>
      </c>
      <c r="O257">
        <f t="shared" si="266"/>
        <v>64.217391304347828</v>
      </c>
    </row>
    <row r="258" spans="3:15" x14ac:dyDescent="0.2">
      <c r="D258" t="s">
        <v>147</v>
      </c>
      <c r="E258">
        <f t="shared" si="260"/>
        <v>100000</v>
      </c>
      <c r="F258">
        <v>32</v>
      </c>
      <c r="G258">
        <f t="shared" si="261"/>
        <v>800000000</v>
      </c>
      <c r="I258">
        <f t="shared" si="262"/>
        <v>1000</v>
      </c>
      <c r="J258">
        <v>23</v>
      </c>
      <c r="K258">
        <f t="shared" si="263"/>
        <v>5750000</v>
      </c>
      <c r="M258">
        <f t="shared" si="264"/>
        <v>5750000</v>
      </c>
      <c r="N258">
        <f t="shared" si="265"/>
        <v>794250000</v>
      </c>
      <c r="O258">
        <f t="shared" si="266"/>
        <v>138.13043478260869</v>
      </c>
    </row>
    <row r="259" spans="3:15" x14ac:dyDescent="0.2">
      <c r="D259" t="s">
        <v>149</v>
      </c>
      <c r="E259">
        <f t="shared" si="260"/>
        <v>100000</v>
      </c>
      <c r="F259">
        <v>28</v>
      </c>
      <c r="G259">
        <f t="shared" si="261"/>
        <v>700000000</v>
      </c>
      <c r="I259">
        <f>10^3</f>
        <v>1000</v>
      </c>
      <c r="J259">
        <v>51</v>
      </c>
      <c r="K259">
        <f t="shared" si="263"/>
        <v>12750000</v>
      </c>
      <c r="M259">
        <f t="shared" si="264"/>
        <v>12750000</v>
      </c>
      <c r="N259">
        <f t="shared" si="265"/>
        <v>687250000</v>
      </c>
      <c r="O259">
        <f t="shared" si="266"/>
        <v>53.901960784313722</v>
      </c>
    </row>
    <row r="260" spans="3:15" x14ac:dyDescent="0.2">
      <c r="D260" t="s">
        <v>151</v>
      </c>
      <c r="E260">
        <f t="shared" si="260"/>
        <v>100000</v>
      </c>
      <c r="F260">
        <v>22</v>
      </c>
      <c r="G260">
        <f t="shared" si="261"/>
        <v>550000000</v>
      </c>
      <c r="I260">
        <f t="shared" ref="I260:I261" si="267">10^3</f>
        <v>1000</v>
      </c>
      <c r="J260">
        <v>51</v>
      </c>
      <c r="K260">
        <f t="shared" si="263"/>
        <v>12750000</v>
      </c>
      <c r="M260">
        <f t="shared" si="264"/>
        <v>12750000</v>
      </c>
      <c r="N260">
        <f t="shared" si="265"/>
        <v>537250000</v>
      </c>
      <c r="O260">
        <f t="shared" si="266"/>
        <v>42.137254901960787</v>
      </c>
    </row>
    <row r="261" spans="3:15" x14ac:dyDescent="0.2">
      <c r="D261" t="s">
        <v>153</v>
      </c>
      <c r="E261">
        <f t="shared" si="260"/>
        <v>100000</v>
      </c>
      <c r="F261">
        <v>27</v>
      </c>
      <c r="G261">
        <f t="shared" si="261"/>
        <v>675000000</v>
      </c>
      <c r="I261">
        <f t="shared" si="267"/>
        <v>1000</v>
      </c>
      <c r="J261">
        <v>33</v>
      </c>
      <c r="K261">
        <f t="shared" si="263"/>
        <v>8250000</v>
      </c>
      <c r="M261">
        <f t="shared" si="264"/>
        <v>8250000</v>
      </c>
      <c r="N261">
        <f t="shared" si="265"/>
        <v>666750000</v>
      </c>
      <c r="O261">
        <f t="shared" si="266"/>
        <v>80.818181818181813</v>
      </c>
    </row>
    <row r="263" spans="3:15" x14ac:dyDescent="0.2">
      <c r="C263" t="s">
        <v>131</v>
      </c>
      <c r="D263" t="s">
        <v>298</v>
      </c>
      <c r="E263">
        <f>10^5</f>
        <v>100000</v>
      </c>
      <c r="F263">
        <v>14</v>
      </c>
      <c r="G263">
        <f>E263*F263/0.004</f>
        <v>350000000</v>
      </c>
      <c r="I263">
        <f>10^4</f>
        <v>10000</v>
      </c>
      <c r="J263">
        <v>7</v>
      </c>
      <c r="K263">
        <f>I263*J263/0.004</f>
        <v>17500000</v>
      </c>
      <c r="M263">
        <f t="shared" ref="M263:M268" si="268">K263</f>
        <v>17500000</v>
      </c>
      <c r="N263">
        <f t="shared" ref="N263:N268" si="269">G263-K263</f>
        <v>332500000</v>
      </c>
      <c r="O263">
        <f t="shared" ref="O263:O268" si="270">N263/M263</f>
        <v>19</v>
      </c>
    </row>
    <row r="264" spans="3:15" x14ac:dyDescent="0.2">
      <c r="D264" t="s">
        <v>299</v>
      </c>
      <c r="E264">
        <f t="shared" ref="E264:E268" si="271">10^5</f>
        <v>100000</v>
      </c>
      <c r="F264">
        <v>21</v>
      </c>
      <c r="G264">
        <f>E264*F264/0.004</f>
        <v>525000000</v>
      </c>
      <c r="I264">
        <f t="shared" ref="I264:I268" si="272">10^4</f>
        <v>10000</v>
      </c>
      <c r="J264">
        <v>7</v>
      </c>
      <c r="K264">
        <f t="shared" ref="K264:K267" si="273">I264*J264/0.004</f>
        <v>17500000</v>
      </c>
      <c r="M264">
        <f t="shared" si="268"/>
        <v>17500000</v>
      </c>
      <c r="N264">
        <f t="shared" si="269"/>
        <v>507500000</v>
      </c>
      <c r="O264">
        <f t="shared" si="270"/>
        <v>29</v>
      </c>
    </row>
    <row r="265" spans="3:15" x14ac:dyDescent="0.2">
      <c r="D265" t="s">
        <v>300</v>
      </c>
      <c r="E265">
        <f t="shared" si="271"/>
        <v>100000</v>
      </c>
      <c r="F265">
        <v>25</v>
      </c>
      <c r="G265">
        <f t="shared" ref="G265:G268" si="274">E265*F265/0.004</f>
        <v>625000000</v>
      </c>
      <c r="I265">
        <f t="shared" si="272"/>
        <v>10000</v>
      </c>
      <c r="J265">
        <v>5</v>
      </c>
      <c r="K265">
        <f t="shared" si="273"/>
        <v>12500000</v>
      </c>
      <c r="M265">
        <f t="shared" si="268"/>
        <v>12500000</v>
      </c>
      <c r="N265">
        <f t="shared" si="269"/>
        <v>612500000</v>
      </c>
      <c r="O265">
        <f t="shared" si="270"/>
        <v>49</v>
      </c>
    </row>
    <row r="266" spans="3:15" x14ac:dyDescent="0.2">
      <c r="D266" t="s">
        <v>301</v>
      </c>
      <c r="E266">
        <f t="shared" si="271"/>
        <v>100000</v>
      </c>
      <c r="F266">
        <v>22</v>
      </c>
      <c r="G266">
        <f t="shared" si="274"/>
        <v>550000000</v>
      </c>
      <c r="I266">
        <f t="shared" si="272"/>
        <v>10000</v>
      </c>
      <c r="J266">
        <v>5</v>
      </c>
      <c r="K266">
        <f t="shared" si="273"/>
        <v>12500000</v>
      </c>
      <c r="M266">
        <f t="shared" si="268"/>
        <v>12500000</v>
      </c>
      <c r="N266">
        <f t="shared" si="269"/>
        <v>537500000</v>
      </c>
      <c r="O266">
        <f t="shared" si="270"/>
        <v>43</v>
      </c>
    </row>
    <row r="267" spans="3:15" x14ac:dyDescent="0.2">
      <c r="D267" t="s">
        <v>302</v>
      </c>
      <c r="E267">
        <f t="shared" si="271"/>
        <v>100000</v>
      </c>
      <c r="F267">
        <v>23</v>
      </c>
      <c r="G267">
        <f t="shared" si="274"/>
        <v>575000000</v>
      </c>
      <c r="I267">
        <f t="shared" si="272"/>
        <v>10000</v>
      </c>
      <c r="J267">
        <v>9</v>
      </c>
      <c r="K267">
        <f t="shared" si="273"/>
        <v>22500000</v>
      </c>
      <c r="M267">
        <f t="shared" si="268"/>
        <v>22500000</v>
      </c>
      <c r="N267">
        <f t="shared" si="269"/>
        <v>552500000</v>
      </c>
      <c r="O267">
        <f t="shared" si="270"/>
        <v>24.555555555555557</v>
      </c>
    </row>
    <row r="268" spans="3:15" x14ac:dyDescent="0.2">
      <c r="D268" t="s">
        <v>303</v>
      </c>
      <c r="E268">
        <f t="shared" si="271"/>
        <v>100000</v>
      </c>
      <c r="F268">
        <v>25</v>
      </c>
      <c r="G268">
        <f t="shared" si="274"/>
        <v>625000000</v>
      </c>
      <c r="I268">
        <f t="shared" si="272"/>
        <v>10000</v>
      </c>
      <c r="J268">
        <v>9</v>
      </c>
      <c r="K268">
        <f>I268*J268/0.004</f>
        <v>22500000</v>
      </c>
      <c r="M268">
        <f t="shared" si="268"/>
        <v>22500000</v>
      </c>
      <c r="N268">
        <f t="shared" si="269"/>
        <v>602500000</v>
      </c>
      <c r="O268">
        <f t="shared" si="270"/>
        <v>26.777777777777779</v>
      </c>
    </row>
    <row r="270" spans="3:15" x14ac:dyDescent="0.2">
      <c r="C270" t="s">
        <v>304</v>
      </c>
      <c r="D270" t="s">
        <v>305</v>
      </c>
      <c r="E270">
        <f>10^5</f>
        <v>100000</v>
      </c>
      <c r="F270">
        <v>41</v>
      </c>
      <c r="G270">
        <f t="shared" ref="G270:G275" si="275">E270*F270/0.004</f>
        <v>1025000000</v>
      </c>
      <c r="I270">
        <f>10^4</f>
        <v>10000</v>
      </c>
      <c r="J270">
        <v>28</v>
      </c>
      <c r="K270">
        <f>I270*J270/0.004</f>
        <v>70000000</v>
      </c>
      <c r="M270">
        <f t="shared" ref="M270:M275" si="276">K270</f>
        <v>70000000</v>
      </c>
      <c r="N270">
        <f t="shared" ref="N270:N275" si="277">G270-K270</f>
        <v>955000000</v>
      </c>
      <c r="O270">
        <f t="shared" ref="O270:O275" si="278">N270/M270</f>
        <v>13.642857142857142</v>
      </c>
    </row>
    <row r="271" spans="3:15" x14ac:dyDescent="0.2">
      <c r="D271" t="s">
        <v>306</v>
      </c>
      <c r="E271">
        <f t="shared" ref="E271:E275" si="279">10^5</f>
        <v>100000</v>
      </c>
      <c r="F271">
        <v>21</v>
      </c>
      <c r="G271">
        <f t="shared" si="275"/>
        <v>525000000</v>
      </c>
      <c r="I271">
        <f t="shared" ref="I271:I275" si="280">10^4</f>
        <v>10000</v>
      </c>
      <c r="J271">
        <v>9</v>
      </c>
      <c r="K271">
        <f t="shared" ref="K271:K275" si="281">I271*J271/0.004</f>
        <v>22500000</v>
      </c>
      <c r="M271">
        <f t="shared" si="276"/>
        <v>22500000</v>
      </c>
      <c r="N271">
        <f t="shared" si="277"/>
        <v>502500000</v>
      </c>
      <c r="O271">
        <f t="shared" si="278"/>
        <v>22.333333333333332</v>
      </c>
    </row>
    <row r="272" spans="3:15" x14ac:dyDescent="0.2">
      <c r="D272" t="s">
        <v>307</v>
      </c>
      <c r="E272">
        <f t="shared" si="279"/>
        <v>100000</v>
      </c>
      <c r="F272">
        <v>18</v>
      </c>
      <c r="G272">
        <f t="shared" si="275"/>
        <v>450000000</v>
      </c>
      <c r="I272">
        <f t="shared" si="280"/>
        <v>10000</v>
      </c>
      <c r="J272">
        <v>15</v>
      </c>
      <c r="K272">
        <f t="shared" si="281"/>
        <v>37500000</v>
      </c>
      <c r="M272">
        <f t="shared" si="276"/>
        <v>37500000</v>
      </c>
      <c r="N272">
        <f t="shared" si="277"/>
        <v>412500000</v>
      </c>
      <c r="O272">
        <f t="shared" si="278"/>
        <v>11</v>
      </c>
    </row>
    <row r="273" spans="4:15" x14ac:dyDescent="0.2">
      <c r="D273" t="s">
        <v>308</v>
      </c>
      <c r="E273">
        <f t="shared" si="279"/>
        <v>100000</v>
      </c>
      <c r="F273">
        <v>29</v>
      </c>
      <c r="G273">
        <f t="shared" si="275"/>
        <v>725000000</v>
      </c>
      <c r="I273">
        <f t="shared" si="280"/>
        <v>10000</v>
      </c>
      <c r="J273">
        <v>16</v>
      </c>
      <c r="K273">
        <f t="shared" si="281"/>
        <v>40000000</v>
      </c>
      <c r="M273">
        <f t="shared" si="276"/>
        <v>40000000</v>
      </c>
      <c r="N273">
        <f t="shared" si="277"/>
        <v>685000000</v>
      </c>
      <c r="O273">
        <f t="shared" si="278"/>
        <v>17.125</v>
      </c>
    </row>
    <row r="274" spans="4:15" x14ac:dyDescent="0.2">
      <c r="D274" t="s">
        <v>309</v>
      </c>
      <c r="E274">
        <f t="shared" si="279"/>
        <v>100000</v>
      </c>
      <c r="F274">
        <v>29</v>
      </c>
      <c r="G274">
        <f t="shared" si="275"/>
        <v>725000000</v>
      </c>
      <c r="I274">
        <f t="shared" si="280"/>
        <v>10000</v>
      </c>
      <c r="J274">
        <v>11</v>
      </c>
      <c r="K274">
        <f t="shared" si="281"/>
        <v>27500000</v>
      </c>
      <c r="M274">
        <f t="shared" si="276"/>
        <v>27500000</v>
      </c>
      <c r="N274">
        <f t="shared" si="277"/>
        <v>697500000</v>
      </c>
      <c r="O274">
        <f t="shared" si="278"/>
        <v>25.363636363636363</v>
      </c>
    </row>
    <row r="275" spans="4:15" x14ac:dyDescent="0.2">
      <c r="D275" t="s">
        <v>310</v>
      </c>
      <c r="E275">
        <f t="shared" si="279"/>
        <v>100000</v>
      </c>
      <c r="F275">
        <v>20</v>
      </c>
      <c r="G275">
        <f t="shared" si="275"/>
        <v>500000000</v>
      </c>
      <c r="I275">
        <f t="shared" si="280"/>
        <v>10000</v>
      </c>
      <c r="J275">
        <v>12</v>
      </c>
      <c r="K275">
        <f t="shared" si="281"/>
        <v>30000000</v>
      </c>
      <c r="M275">
        <f t="shared" si="276"/>
        <v>30000000</v>
      </c>
      <c r="N275">
        <f t="shared" si="277"/>
        <v>470000000</v>
      </c>
      <c r="O275">
        <f t="shared" si="278"/>
        <v>15.666666666666666</v>
      </c>
    </row>
  </sheetData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222C-2787-664B-A2C4-6549A8965428}">
  <dimension ref="A1:AD233"/>
  <sheetViews>
    <sheetView topLeftCell="B180" workbookViewId="0">
      <selection activeCell="P170" sqref="P170"/>
    </sheetView>
  </sheetViews>
  <sheetFormatPr baseColWidth="10" defaultRowHeight="16" x14ac:dyDescent="0.2"/>
  <cols>
    <col min="1" max="1" width="29.1640625" customWidth="1"/>
    <col min="2" max="2" width="34.83203125" customWidth="1"/>
    <col min="5" max="5" width="20.6640625" customWidth="1"/>
    <col min="6" max="6" width="17.33203125" customWidth="1"/>
    <col min="7" max="7" width="11.6640625" bestFit="1" customWidth="1"/>
    <col min="8" max="8" width="14.83203125" customWidth="1"/>
    <col min="9" max="11" width="13.83203125" bestFit="1" customWidth="1"/>
    <col min="12" max="12" width="15.5" customWidth="1"/>
    <col min="13" max="13" width="13.83203125" bestFit="1" customWidth="1"/>
    <col min="14" max="14" width="14" customWidth="1"/>
    <col min="16" max="16" width="15.33203125" customWidth="1"/>
    <col min="17" max="17" width="24" customWidth="1"/>
    <col min="18" max="18" width="15.5" customWidth="1"/>
    <col min="20" max="20" width="14.1640625" customWidth="1"/>
    <col min="22" max="22" width="15.83203125" customWidth="1"/>
    <col min="24" max="24" width="14.33203125" customWidth="1"/>
    <col min="26" max="26" width="16.5" customWidth="1"/>
    <col min="28" max="28" width="14.6640625" customWidth="1"/>
  </cols>
  <sheetData>
    <row r="1" spans="1:30" s="15" customFormat="1" ht="21" x14ac:dyDescent="0.25">
      <c r="A1" s="14" t="s">
        <v>54</v>
      </c>
    </row>
    <row r="2" spans="1:30" x14ac:dyDescent="0.2">
      <c r="A2" t="s">
        <v>272</v>
      </c>
    </row>
    <row r="3" spans="1:30" x14ac:dyDescent="0.2">
      <c r="A3" t="s">
        <v>210</v>
      </c>
    </row>
    <row r="4" spans="1:30" x14ac:dyDescent="0.2">
      <c r="A4" t="s">
        <v>213</v>
      </c>
      <c r="B4" t="s">
        <v>273</v>
      </c>
      <c r="C4" s="16" t="s">
        <v>109</v>
      </c>
    </row>
    <row r="5" spans="1:30" x14ac:dyDescent="0.2">
      <c r="A5" t="s">
        <v>214</v>
      </c>
      <c r="B5" t="s">
        <v>274</v>
      </c>
      <c r="C5" s="16" t="s">
        <v>123</v>
      </c>
    </row>
    <row r="6" spans="1:30" x14ac:dyDescent="0.2">
      <c r="C6" s="16"/>
    </row>
    <row r="11" spans="1:30" x14ac:dyDescent="0.2">
      <c r="A11" t="s">
        <v>261</v>
      </c>
      <c r="E11" t="s">
        <v>275</v>
      </c>
      <c r="F11" t="s">
        <v>276</v>
      </c>
      <c r="G11" t="s">
        <v>277</v>
      </c>
      <c r="H11" t="s">
        <v>278</v>
      </c>
      <c r="J11" t="s">
        <v>218</v>
      </c>
      <c r="K11" t="s">
        <v>219</v>
      </c>
      <c r="M11" t="s">
        <v>0</v>
      </c>
      <c r="N11" t="s">
        <v>220</v>
      </c>
      <c r="O11" t="s">
        <v>1</v>
      </c>
      <c r="P11" t="s">
        <v>221</v>
      </c>
      <c r="Q11" t="s">
        <v>222</v>
      </c>
      <c r="R11" t="s">
        <v>223</v>
      </c>
      <c r="S11" t="s">
        <v>2</v>
      </c>
      <c r="T11" t="s">
        <v>224</v>
      </c>
      <c r="U11" t="s">
        <v>225</v>
      </c>
      <c r="V11" t="s">
        <v>226</v>
      </c>
      <c r="W11" t="s">
        <v>3</v>
      </c>
      <c r="X11" t="s">
        <v>227</v>
      </c>
      <c r="Y11" t="s">
        <v>228</v>
      </c>
      <c r="Z11" t="s">
        <v>229</v>
      </c>
      <c r="AA11" t="s">
        <v>4</v>
      </c>
      <c r="AB11" t="s">
        <v>230</v>
      </c>
      <c r="AC11" t="s">
        <v>231</v>
      </c>
      <c r="AD11" t="s">
        <v>232</v>
      </c>
    </row>
    <row r="12" spans="1:30" x14ac:dyDescent="0.2">
      <c r="D12" t="s">
        <v>233</v>
      </c>
      <c r="E12">
        <v>0.9788</v>
      </c>
      <c r="F12">
        <v>1.0431999999999999</v>
      </c>
      <c r="G12">
        <v>0.98240000000000005</v>
      </c>
      <c r="H12">
        <v>1.0296000000000001</v>
      </c>
      <c r="J12">
        <v>0.97760000000000002</v>
      </c>
      <c r="K12">
        <v>1.0314000000000001</v>
      </c>
      <c r="M12">
        <v>0.97789999999999999</v>
      </c>
      <c r="N12">
        <v>1.0285</v>
      </c>
      <c r="O12">
        <v>0.97919999999999996</v>
      </c>
      <c r="P12">
        <v>1.0437000000000001</v>
      </c>
      <c r="Q12">
        <v>0.98180000000000001</v>
      </c>
      <c r="R12">
        <v>1.0414000000000001</v>
      </c>
      <c r="S12">
        <v>0.98470000000000002</v>
      </c>
      <c r="T12">
        <v>1.0458000000000001</v>
      </c>
      <c r="U12">
        <v>0.98780000000000001</v>
      </c>
      <c r="V12">
        <v>1.0465</v>
      </c>
      <c r="W12">
        <v>0.98719999999999997</v>
      </c>
      <c r="X12">
        <v>1.0670999999999999</v>
      </c>
      <c r="Y12">
        <v>0.98829999999999996</v>
      </c>
      <c r="Z12">
        <v>1.0611999999999999</v>
      </c>
      <c r="AA12">
        <v>0.98319999999999996</v>
      </c>
      <c r="AB12">
        <v>1.0422</v>
      </c>
      <c r="AC12">
        <v>0.98529999999999995</v>
      </c>
      <c r="AD12">
        <v>1.0503</v>
      </c>
    </row>
    <row r="13" spans="1:30" x14ac:dyDescent="0.2">
      <c r="D13" t="s">
        <v>234</v>
      </c>
      <c r="E13">
        <v>0.9869</v>
      </c>
      <c r="F13">
        <v>1.0533999999999999</v>
      </c>
      <c r="G13">
        <v>0.98370000000000002</v>
      </c>
      <c r="H13">
        <v>1.0363</v>
      </c>
      <c r="J13">
        <v>0.9778</v>
      </c>
      <c r="K13">
        <v>1.0367999999999999</v>
      </c>
      <c r="M13">
        <v>0.98540000000000005</v>
      </c>
      <c r="N13">
        <v>1.0678000000000001</v>
      </c>
      <c r="O13">
        <v>0.98899999999999999</v>
      </c>
      <c r="P13">
        <v>1.0409999999999999</v>
      </c>
      <c r="Q13">
        <v>0.9788</v>
      </c>
      <c r="R13">
        <v>1.0355000000000001</v>
      </c>
      <c r="S13">
        <v>0.98160000000000003</v>
      </c>
      <c r="T13">
        <v>1.0474000000000001</v>
      </c>
      <c r="U13">
        <v>0.98089999999999999</v>
      </c>
      <c r="V13">
        <v>1.0516000000000001</v>
      </c>
      <c r="W13">
        <v>0.98399999999999999</v>
      </c>
      <c r="X13">
        <v>1.0568</v>
      </c>
      <c r="Y13">
        <v>0.9849</v>
      </c>
      <c r="Z13">
        <v>1.0579000000000001</v>
      </c>
      <c r="AA13">
        <v>0.98560000000000003</v>
      </c>
      <c r="AB13">
        <v>1.0422</v>
      </c>
      <c r="AC13">
        <v>0.9849</v>
      </c>
      <c r="AD13">
        <v>1.0684</v>
      </c>
    </row>
    <row r="14" spans="1:30" x14ac:dyDescent="0.2">
      <c r="D14" t="s">
        <v>235</v>
      </c>
      <c r="E14">
        <v>0.98819999999999997</v>
      </c>
      <c r="F14">
        <v>1.0508999999999999</v>
      </c>
      <c r="G14">
        <v>0.98370000000000002</v>
      </c>
      <c r="H14">
        <v>1.0446</v>
      </c>
      <c r="J14">
        <v>0.98280000000000001</v>
      </c>
      <c r="K14">
        <v>1.0789</v>
      </c>
      <c r="M14">
        <v>0.98140000000000005</v>
      </c>
      <c r="N14">
        <v>1.0658000000000001</v>
      </c>
      <c r="O14">
        <v>0.98299999999999998</v>
      </c>
      <c r="P14">
        <v>1.0702</v>
      </c>
      <c r="Q14">
        <v>0.98419999999999996</v>
      </c>
      <c r="R14">
        <v>1.0689</v>
      </c>
      <c r="S14">
        <v>0.9829</v>
      </c>
      <c r="T14">
        <v>1.0478000000000001</v>
      </c>
      <c r="U14">
        <v>0.98109999999999997</v>
      </c>
      <c r="V14">
        <v>1.0729</v>
      </c>
      <c r="W14">
        <v>0.98760000000000003</v>
      </c>
      <c r="X14">
        <v>1.0506</v>
      </c>
      <c r="Y14">
        <v>0.98550000000000004</v>
      </c>
      <c r="Z14">
        <v>1.0563</v>
      </c>
      <c r="AA14">
        <v>0.98199999999999998</v>
      </c>
      <c r="AB14">
        <v>1.0558000000000001</v>
      </c>
      <c r="AC14">
        <v>0.98470000000000002</v>
      </c>
      <c r="AD14">
        <v>1.0793999999999999</v>
      </c>
    </row>
    <row r="15" spans="1:30" x14ac:dyDescent="0.2">
      <c r="D15" t="s">
        <v>236</v>
      </c>
      <c r="E15">
        <v>0.98089999999999999</v>
      </c>
      <c r="F15">
        <v>1.0416000000000001</v>
      </c>
      <c r="G15">
        <v>0.98199999999999998</v>
      </c>
      <c r="H15">
        <v>1.0524</v>
      </c>
      <c r="J15">
        <v>0.98299999999999998</v>
      </c>
      <c r="K15">
        <v>1.0387999999999999</v>
      </c>
      <c r="M15">
        <v>0.98060000000000003</v>
      </c>
      <c r="N15">
        <v>1.0466</v>
      </c>
      <c r="O15">
        <v>0.9819</v>
      </c>
      <c r="P15">
        <v>1.0613999999999999</v>
      </c>
      <c r="Q15">
        <v>0.98460000000000003</v>
      </c>
      <c r="R15">
        <v>1.0414000000000001</v>
      </c>
      <c r="S15">
        <v>0.98089999999999999</v>
      </c>
      <c r="T15">
        <v>1.0346</v>
      </c>
      <c r="U15">
        <v>0.98429999999999995</v>
      </c>
      <c r="V15">
        <v>1.0471999999999999</v>
      </c>
      <c r="W15">
        <v>0.98829999999999996</v>
      </c>
      <c r="X15">
        <v>1.0827</v>
      </c>
      <c r="Y15">
        <v>0.98499999999999999</v>
      </c>
      <c r="Z15">
        <v>1.0563</v>
      </c>
      <c r="AA15">
        <v>0.97989999999999999</v>
      </c>
      <c r="AB15">
        <v>1.0610999999999999</v>
      </c>
      <c r="AC15">
        <v>0.98760000000000003</v>
      </c>
      <c r="AD15">
        <v>1.0392999999999999</v>
      </c>
    </row>
    <row r="16" spans="1:30" x14ac:dyDescent="0.2">
      <c r="D16" t="s">
        <v>237</v>
      </c>
      <c r="E16">
        <v>0.98029999999999995</v>
      </c>
      <c r="F16">
        <v>1.0384</v>
      </c>
      <c r="G16">
        <v>0.98180000000000001</v>
      </c>
      <c r="H16">
        <v>1.0444</v>
      </c>
      <c r="J16">
        <v>0.98280000000000001</v>
      </c>
      <c r="K16">
        <v>1.0326</v>
      </c>
      <c r="M16">
        <v>0.97809999999999997</v>
      </c>
      <c r="N16">
        <v>1.0367999999999999</v>
      </c>
      <c r="O16">
        <v>0.97870000000000001</v>
      </c>
      <c r="P16">
        <v>1.0773999999999999</v>
      </c>
      <c r="Q16">
        <v>0.98729999999999996</v>
      </c>
      <c r="R16">
        <v>1.0408999999999999</v>
      </c>
      <c r="S16">
        <v>0.98250000000000004</v>
      </c>
      <c r="T16">
        <v>1.0424</v>
      </c>
      <c r="U16">
        <v>0.98699999999999999</v>
      </c>
      <c r="V16">
        <v>1.0462</v>
      </c>
      <c r="W16">
        <v>0.97929999999999995</v>
      </c>
      <c r="X16">
        <v>1.0455000000000001</v>
      </c>
      <c r="Y16">
        <v>0.98240000000000005</v>
      </c>
      <c r="Z16">
        <v>1.0546</v>
      </c>
      <c r="AA16">
        <v>0.9819</v>
      </c>
      <c r="AB16">
        <v>1.0595000000000001</v>
      </c>
      <c r="AC16">
        <v>0.97840000000000005</v>
      </c>
      <c r="AD16">
        <v>1.0430999999999999</v>
      </c>
    </row>
    <row r="17" spans="1:30" x14ac:dyDescent="0.2">
      <c r="D17" t="s">
        <v>238</v>
      </c>
      <c r="E17">
        <v>0.98060000000000003</v>
      </c>
      <c r="F17">
        <v>1.0361</v>
      </c>
      <c r="G17">
        <v>0.98660000000000003</v>
      </c>
      <c r="H17">
        <v>1.0462</v>
      </c>
      <c r="J17">
        <v>0.98619999999999997</v>
      </c>
      <c r="K17">
        <v>1.0439000000000001</v>
      </c>
      <c r="M17">
        <v>0.98070000000000002</v>
      </c>
      <c r="N17">
        <v>1.0414000000000001</v>
      </c>
      <c r="O17">
        <v>0.98929999999999996</v>
      </c>
      <c r="P17">
        <v>1.0760000000000001</v>
      </c>
      <c r="Q17">
        <v>0.98360000000000003</v>
      </c>
      <c r="R17">
        <v>1.0451999999999999</v>
      </c>
      <c r="S17">
        <v>0.9778</v>
      </c>
      <c r="T17">
        <v>1.0226999999999999</v>
      </c>
      <c r="U17">
        <v>0.98629999999999995</v>
      </c>
      <c r="V17">
        <v>1.0484</v>
      </c>
      <c r="W17">
        <v>0.98309999999999997</v>
      </c>
      <c r="X17">
        <v>1.0419</v>
      </c>
      <c r="Y17">
        <v>0.98180000000000001</v>
      </c>
      <c r="Z17">
        <v>1.0448</v>
      </c>
      <c r="AA17">
        <v>0.98599999999999999</v>
      </c>
      <c r="AB17">
        <v>1.0513999999999999</v>
      </c>
      <c r="AC17">
        <v>0.98150000000000004</v>
      </c>
      <c r="AD17">
        <v>1.0512999999999999</v>
      </c>
    </row>
    <row r="18" spans="1:30" x14ac:dyDescent="0.2">
      <c r="D18" t="s">
        <v>239</v>
      </c>
      <c r="E18">
        <v>0.98329999999999995</v>
      </c>
      <c r="F18">
        <v>3.09E-2</v>
      </c>
      <c r="G18">
        <v>0.9839</v>
      </c>
      <c r="H18">
        <v>1.1001000000000001</v>
      </c>
      <c r="J18">
        <v>0.9869</v>
      </c>
      <c r="K18">
        <v>1.0663</v>
      </c>
      <c r="M18">
        <v>0.97789999999999999</v>
      </c>
      <c r="N18">
        <v>1.0441</v>
      </c>
      <c r="O18">
        <v>0.98909999999999998</v>
      </c>
      <c r="P18">
        <v>1.0608</v>
      </c>
      <c r="Q18">
        <v>0.98219999999999996</v>
      </c>
      <c r="R18">
        <v>1.0543</v>
      </c>
      <c r="S18">
        <v>0.98419999999999996</v>
      </c>
      <c r="T18">
        <v>1.0673999999999999</v>
      </c>
      <c r="U18">
        <v>0.97699999999999998</v>
      </c>
      <c r="V18">
        <v>1.0348999999999999</v>
      </c>
      <c r="W18">
        <v>0.98699999999999999</v>
      </c>
      <c r="X18">
        <v>1.077</v>
      </c>
      <c r="Y18">
        <v>0.98799999999999999</v>
      </c>
      <c r="Z18">
        <v>1.0581</v>
      </c>
      <c r="AA18">
        <v>0.98580000000000001</v>
      </c>
      <c r="AB18">
        <v>1.0606</v>
      </c>
      <c r="AC18">
        <v>0.98519999999999996</v>
      </c>
      <c r="AD18">
        <v>1.0378000000000001</v>
      </c>
    </row>
    <row r="19" spans="1:30" x14ac:dyDescent="0.2">
      <c r="D19" t="s">
        <v>240</v>
      </c>
      <c r="E19">
        <v>0.98660000000000003</v>
      </c>
      <c r="F19">
        <v>1.0618000000000001</v>
      </c>
      <c r="G19">
        <v>0.98719999999999997</v>
      </c>
      <c r="H19">
        <v>1.0571999999999999</v>
      </c>
      <c r="J19">
        <v>0.98199999999999998</v>
      </c>
      <c r="K19">
        <v>1.0486</v>
      </c>
      <c r="M19">
        <v>0.97770000000000001</v>
      </c>
      <c r="N19">
        <v>1.0368999999999999</v>
      </c>
      <c r="O19">
        <v>0.97450000000000003</v>
      </c>
      <c r="P19">
        <v>1.0345</v>
      </c>
      <c r="Q19">
        <v>0.98950000000000005</v>
      </c>
      <c r="R19">
        <v>1.0539000000000001</v>
      </c>
      <c r="S19">
        <v>0.98670000000000002</v>
      </c>
      <c r="T19">
        <v>1.0634999999999999</v>
      </c>
      <c r="U19">
        <v>0.97499999999999998</v>
      </c>
      <c r="V19">
        <v>1.0306999999999999</v>
      </c>
      <c r="W19">
        <v>0.97799999999999998</v>
      </c>
      <c r="X19">
        <v>1.0354000000000001</v>
      </c>
      <c r="Y19">
        <v>0.98929999999999996</v>
      </c>
      <c r="Z19">
        <v>1.0347999999999999</v>
      </c>
      <c r="AA19">
        <v>0.97860000000000003</v>
      </c>
      <c r="AB19">
        <v>1.0437000000000001</v>
      </c>
      <c r="AC19">
        <v>0.9819</v>
      </c>
      <c r="AD19">
        <v>1.0669</v>
      </c>
    </row>
    <row r="20" spans="1:30" x14ac:dyDescent="0.2">
      <c r="D20" t="s">
        <v>241</v>
      </c>
      <c r="E20">
        <v>0.97450000000000003</v>
      </c>
      <c r="F20">
        <v>1.0314000000000001</v>
      </c>
      <c r="G20">
        <v>0.98360000000000003</v>
      </c>
      <c r="H20">
        <v>1.0483</v>
      </c>
      <c r="J20">
        <v>0.98719999999999997</v>
      </c>
      <c r="K20">
        <v>1.0377000000000001</v>
      </c>
      <c r="M20">
        <v>0.98299999999999998</v>
      </c>
      <c r="N20">
        <v>1.0286999999999999</v>
      </c>
      <c r="O20">
        <v>0.97899999999999998</v>
      </c>
      <c r="P20">
        <v>1.0373000000000001</v>
      </c>
      <c r="Q20">
        <v>0.98760000000000003</v>
      </c>
      <c r="R20">
        <v>1.044</v>
      </c>
      <c r="S20">
        <v>0.98160000000000003</v>
      </c>
      <c r="T20">
        <v>1.0274000000000001</v>
      </c>
      <c r="U20">
        <v>0.97719999999999996</v>
      </c>
      <c r="V20">
        <v>1.0193000000000001</v>
      </c>
      <c r="W20">
        <v>0.98560000000000003</v>
      </c>
      <c r="X20">
        <v>1.0306999999999999</v>
      </c>
      <c r="Y20">
        <v>0.98319999999999996</v>
      </c>
      <c r="Z20">
        <v>1.397</v>
      </c>
      <c r="AA20">
        <v>0.99</v>
      </c>
      <c r="AB20">
        <v>1.0687</v>
      </c>
      <c r="AC20">
        <v>0.98</v>
      </c>
      <c r="AD20">
        <v>1.0727</v>
      </c>
    </row>
    <row r="21" spans="1:30" x14ac:dyDescent="0.2">
      <c r="D21" t="s">
        <v>242</v>
      </c>
      <c r="E21">
        <v>0.9859</v>
      </c>
      <c r="F21">
        <v>1.0454000000000001</v>
      </c>
      <c r="G21">
        <v>0.98199999999999998</v>
      </c>
      <c r="H21">
        <v>1.0873999999999999</v>
      </c>
      <c r="J21">
        <v>0.98870000000000002</v>
      </c>
      <c r="K21">
        <v>1.0270999999999999</v>
      </c>
      <c r="M21">
        <v>0.9879</v>
      </c>
      <c r="N21">
        <v>1.0524</v>
      </c>
      <c r="O21">
        <v>0.98219999999999996</v>
      </c>
      <c r="P21">
        <v>1.0305</v>
      </c>
      <c r="Q21">
        <v>0.98440000000000005</v>
      </c>
      <c r="R21">
        <v>1.0381</v>
      </c>
      <c r="S21">
        <v>0.98480000000000001</v>
      </c>
      <c r="T21">
        <v>1.0445</v>
      </c>
      <c r="U21">
        <v>0.98440000000000005</v>
      </c>
      <c r="V21">
        <v>1.042</v>
      </c>
      <c r="W21">
        <v>0.98160000000000003</v>
      </c>
      <c r="X21">
        <v>1.0384</v>
      </c>
      <c r="Y21">
        <v>0.98870000000000002</v>
      </c>
      <c r="Z21">
        <v>1.0549999999999999</v>
      </c>
      <c r="AA21">
        <v>0.98309999999999997</v>
      </c>
      <c r="AB21">
        <v>1.0652999999999999</v>
      </c>
      <c r="AC21">
        <v>0.98650000000000004</v>
      </c>
      <c r="AD21">
        <v>1.0418000000000001</v>
      </c>
    </row>
    <row r="22" spans="1:30" x14ac:dyDescent="0.2">
      <c r="D22" t="s">
        <v>243</v>
      </c>
      <c r="E22">
        <v>0.98199999999999998</v>
      </c>
      <c r="F22">
        <v>1.0383</v>
      </c>
      <c r="G22">
        <v>0.98209999999999997</v>
      </c>
      <c r="H22">
        <v>1.0704</v>
      </c>
      <c r="J22">
        <v>0.98199999999999998</v>
      </c>
      <c r="K22">
        <v>1.0381</v>
      </c>
      <c r="M22">
        <v>0.98080000000000001</v>
      </c>
      <c r="N22">
        <v>1.0299</v>
      </c>
      <c r="O22">
        <v>0.98440000000000005</v>
      </c>
      <c r="P22">
        <v>1.0435000000000001</v>
      </c>
      <c r="Q22">
        <v>0.98070000000000002</v>
      </c>
      <c r="R22">
        <v>1.0383</v>
      </c>
      <c r="S22">
        <v>0.98760000000000003</v>
      </c>
      <c r="T22">
        <v>1.0383</v>
      </c>
      <c r="U22">
        <v>0.97719999999999996</v>
      </c>
      <c r="V22">
        <v>1.0234000000000001</v>
      </c>
      <c r="W22">
        <v>0.98299999999999998</v>
      </c>
      <c r="X22">
        <v>1.0508</v>
      </c>
      <c r="Y22">
        <v>0.98599999999999999</v>
      </c>
      <c r="Z22">
        <v>1.0479000000000001</v>
      </c>
      <c r="AA22">
        <v>0.98499999999999999</v>
      </c>
      <c r="AB22">
        <v>1.0494000000000001</v>
      </c>
      <c r="AC22">
        <v>0.98480000000000001</v>
      </c>
      <c r="AD22">
        <v>1.0882000000000001</v>
      </c>
    </row>
    <row r="23" spans="1:30" x14ac:dyDescent="0.2">
      <c r="D23" t="s">
        <v>244</v>
      </c>
      <c r="E23">
        <v>0.98670000000000002</v>
      </c>
      <c r="F23">
        <v>1.0566</v>
      </c>
      <c r="G23">
        <v>0.98409999999999997</v>
      </c>
      <c r="H23">
        <v>1.1125</v>
      </c>
      <c r="J23">
        <v>0.98209999999999997</v>
      </c>
      <c r="K23">
        <v>1.0264</v>
      </c>
      <c r="M23">
        <v>1.0076000000000001</v>
      </c>
      <c r="N23">
        <v>1.0713999999999999</v>
      </c>
      <c r="O23">
        <v>0.98360000000000003</v>
      </c>
      <c r="P23">
        <v>1.0250999999999999</v>
      </c>
      <c r="Q23">
        <v>0.98609999999999998</v>
      </c>
      <c r="R23">
        <v>1.0670999999999999</v>
      </c>
      <c r="S23">
        <v>0.9829</v>
      </c>
      <c r="T23">
        <v>1.0562</v>
      </c>
      <c r="U23">
        <v>0.98309999999999997</v>
      </c>
      <c r="V23">
        <v>1.0667</v>
      </c>
      <c r="W23">
        <v>0.98170000000000002</v>
      </c>
      <c r="X23">
        <v>1.0894999999999999</v>
      </c>
      <c r="Y23">
        <v>0.98829999999999996</v>
      </c>
      <c r="Z23">
        <v>1.0834999999999999</v>
      </c>
      <c r="AA23">
        <v>0.98450000000000004</v>
      </c>
      <c r="AB23">
        <v>1.0546</v>
      </c>
      <c r="AC23">
        <v>0.98509999999999998</v>
      </c>
      <c r="AD23">
        <v>1.0593999999999999</v>
      </c>
    </row>
    <row r="24" spans="1:30" x14ac:dyDescent="0.2">
      <c r="D24" t="s">
        <v>245</v>
      </c>
      <c r="E24">
        <v>0.98380000000000001</v>
      </c>
      <c r="F24">
        <v>1.0305</v>
      </c>
      <c r="G24">
        <v>0.97709999999999997</v>
      </c>
      <c r="H24">
        <v>1.0770999999999999</v>
      </c>
      <c r="J24">
        <v>0.98670000000000002</v>
      </c>
      <c r="K24">
        <v>1.0734999999999999</v>
      </c>
      <c r="M24">
        <v>1.0087999999999999</v>
      </c>
      <c r="N24">
        <v>1.0807</v>
      </c>
      <c r="O24">
        <v>0.98899999999999999</v>
      </c>
      <c r="P24">
        <v>1.0542</v>
      </c>
      <c r="Q24">
        <v>0.98560000000000003</v>
      </c>
      <c r="R24">
        <v>1.0395000000000001</v>
      </c>
      <c r="S24">
        <v>0.98060000000000003</v>
      </c>
      <c r="T24">
        <v>1.0275000000000001</v>
      </c>
      <c r="U24">
        <v>0.98119999999999996</v>
      </c>
      <c r="V24">
        <v>1.0768</v>
      </c>
      <c r="W24">
        <v>0.98760000000000003</v>
      </c>
      <c r="X24">
        <v>1.0507</v>
      </c>
      <c r="Y24">
        <v>0.98580000000000001</v>
      </c>
      <c r="Z24">
        <v>1.0508</v>
      </c>
      <c r="AA24">
        <v>0.97789999999999999</v>
      </c>
      <c r="AB24">
        <v>1.0427</v>
      </c>
      <c r="AC24">
        <v>0.98480000000000001</v>
      </c>
      <c r="AD24">
        <v>1.0593999999999999</v>
      </c>
    </row>
    <row r="25" spans="1:30" x14ac:dyDescent="0.2">
      <c r="D25" t="s">
        <v>246</v>
      </c>
      <c r="E25">
        <v>0.9839</v>
      </c>
      <c r="F25">
        <v>1.0508</v>
      </c>
      <c r="G25">
        <v>0.97799999999999998</v>
      </c>
      <c r="H25">
        <v>1.0761000000000001</v>
      </c>
      <c r="J25">
        <v>0.98429999999999995</v>
      </c>
      <c r="K25">
        <v>1.038</v>
      </c>
      <c r="M25">
        <v>0.98180000000000001</v>
      </c>
      <c r="N25">
        <v>1.0386</v>
      </c>
      <c r="O25">
        <v>0.98699999999999999</v>
      </c>
      <c r="P25">
        <v>1.0630999999999999</v>
      </c>
      <c r="Q25">
        <v>0.98270000000000002</v>
      </c>
      <c r="R25">
        <v>1.0334000000000001</v>
      </c>
      <c r="S25">
        <v>0.98270000000000002</v>
      </c>
      <c r="T25">
        <v>1.04</v>
      </c>
      <c r="U25">
        <v>0.98119999999999996</v>
      </c>
      <c r="V25">
        <v>1.0548</v>
      </c>
      <c r="W25">
        <v>0.98529999999999995</v>
      </c>
      <c r="X25">
        <v>1.0557000000000001</v>
      </c>
      <c r="Y25">
        <v>0.98939999999999995</v>
      </c>
      <c r="Z25">
        <v>1.0891</v>
      </c>
      <c r="AA25">
        <v>0.98160000000000003</v>
      </c>
      <c r="AB25">
        <v>1.0437000000000001</v>
      </c>
      <c r="AC25">
        <v>0.98550000000000004</v>
      </c>
      <c r="AD25">
        <v>1.0541</v>
      </c>
    </row>
    <row r="26" spans="1:30" x14ac:dyDescent="0.2">
      <c r="D26" t="s">
        <v>247</v>
      </c>
      <c r="E26">
        <v>0.98509999999999998</v>
      </c>
      <c r="F26">
        <v>1.0392999999999999</v>
      </c>
      <c r="G26">
        <v>0.9849</v>
      </c>
      <c r="H26">
        <v>1.0860000000000001</v>
      </c>
      <c r="J26">
        <v>0.98550000000000004</v>
      </c>
      <c r="K26">
        <v>1.0297000000000001</v>
      </c>
      <c r="M26">
        <v>0.98409999999999997</v>
      </c>
      <c r="N26">
        <v>1.0438000000000001</v>
      </c>
      <c r="O26">
        <v>0.98399999999999999</v>
      </c>
      <c r="P26">
        <v>1.0339</v>
      </c>
      <c r="Q26">
        <v>0.98780000000000001</v>
      </c>
      <c r="R26">
        <v>1.0361</v>
      </c>
      <c r="S26">
        <v>0.98929999999999996</v>
      </c>
      <c r="T26">
        <v>1.0405</v>
      </c>
      <c r="U26">
        <v>0.98280000000000001</v>
      </c>
      <c r="V26">
        <v>1.0555000000000001</v>
      </c>
      <c r="W26">
        <v>0.98729999999999996</v>
      </c>
      <c r="X26">
        <v>1.0401</v>
      </c>
      <c r="Y26">
        <v>0.98360000000000003</v>
      </c>
      <c r="Z26">
        <v>1.0391999999999999</v>
      </c>
      <c r="AA26">
        <v>0.98299999999999998</v>
      </c>
      <c r="AB26">
        <v>1.0491999999999999</v>
      </c>
      <c r="AC26">
        <v>0.98950000000000005</v>
      </c>
      <c r="AD26">
        <v>1.0485</v>
      </c>
    </row>
    <row r="27" spans="1:30" x14ac:dyDescent="0.2">
      <c r="D27" t="s">
        <v>248</v>
      </c>
      <c r="E27">
        <v>0.97919999999999996</v>
      </c>
      <c r="F27">
        <v>1.0411999999999999</v>
      </c>
      <c r="G27">
        <v>0.98580000000000001</v>
      </c>
      <c r="H27">
        <v>1.0901000000000001</v>
      </c>
      <c r="J27">
        <v>0.97970000000000002</v>
      </c>
      <c r="K27">
        <v>1.0319</v>
      </c>
      <c r="M27">
        <v>0.98209999999999997</v>
      </c>
      <c r="N27">
        <v>1.0423</v>
      </c>
      <c r="O27">
        <v>0.98240000000000005</v>
      </c>
      <c r="P27">
        <v>1.0396000000000001</v>
      </c>
      <c r="Q27">
        <v>0.98799999999999999</v>
      </c>
      <c r="R27">
        <v>1.0358000000000001</v>
      </c>
      <c r="S27">
        <v>0.98460000000000003</v>
      </c>
      <c r="T27">
        <v>1.0441</v>
      </c>
      <c r="U27">
        <v>0.97689999999999999</v>
      </c>
      <c r="V27">
        <v>1.0335000000000001</v>
      </c>
      <c r="W27">
        <v>0.98260000000000003</v>
      </c>
      <c r="X27">
        <v>1.0509999999999999</v>
      </c>
      <c r="Y27">
        <v>0.98370000000000002</v>
      </c>
      <c r="Z27">
        <v>1.0288999999999999</v>
      </c>
      <c r="AA27">
        <v>0.98480000000000001</v>
      </c>
      <c r="AB27">
        <v>1.038</v>
      </c>
      <c r="AC27">
        <v>0.97960000000000003</v>
      </c>
      <c r="AD27">
        <v>1.0263</v>
      </c>
    </row>
    <row r="30" spans="1:30" x14ac:dyDescent="0.2">
      <c r="A30" t="s">
        <v>262</v>
      </c>
      <c r="E30" t="s">
        <v>275</v>
      </c>
      <c r="F30" t="s">
        <v>277</v>
      </c>
      <c r="G30" t="s">
        <v>218</v>
      </c>
      <c r="H30" t="s">
        <v>0</v>
      </c>
      <c r="I30" t="s">
        <v>1</v>
      </c>
      <c r="J30" t="s">
        <v>222</v>
      </c>
      <c r="K30" t="s">
        <v>2</v>
      </c>
      <c r="L30" t="s">
        <v>225</v>
      </c>
      <c r="M30" t="s">
        <v>3</v>
      </c>
      <c r="N30" t="s">
        <v>228</v>
      </c>
      <c r="O30" t="s">
        <v>4</v>
      </c>
      <c r="P30" t="s">
        <v>231</v>
      </c>
    </row>
    <row r="31" spans="1:30" x14ac:dyDescent="0.2">
      <c r="D31" t="s">
        <v>233</v>
      </c>
      <c r="E31">
        <f>F12-E12</f>
        <v>6.4399999999999902E-2</v>
      </c>
      <c r="F31">
        <f>H12-G12</f>
        <v>4.720000000000002E-2</v>
      </c>
      <c r="G31">
        <f>K12-J12</f>
        <v>5.380000000000007E-2</v>
      </c>
      <c r="H31">
        <f>N12-M12</f>
        <v>5.0599999999999978E-2</v>
      </c>
      <c r="I31">
        <f>P12-O12</f>
        <v>6.4500000000000113E-2</v>
      </c>
      <c r="J31">
        <f>R12-Q12</f>
        <v>5.9600000000000097E-2</v>
      </c>
      <c r="K31">
        <f>T12-S12</f>
        <v>6.1100000000000043E-2</v>
      </c>
      <c r="L31">
        <f>X12-W12</f>
        <v>7.9899999999999971E-2</v>
      </c>
      <c r="M31">
        <f>X12-W12</f>
        <v>7.9899999999999971E-2</v>
      </c>
      <c r="N31">
        <f>Z12-Y12</f>
        <v>7.2899999999999965E-2</v>
      </c>
      <c r="O31">
        <f>AB12-AA12</f>
        <v>5.9000000000000052E-2</v>
      </c>
      <c r="P31">
        <f>AD12-AC12</f>
        <v>6.5000000000000058E-2</v>
      </c>
    </row>
    <row r="32" spans="1:30" x14ac:dyDescent="0.2">
      <c r="D32" t="s">
        <v>234</v>
      </c>
      <c r="E32">
        <f>F13-E13</f>
        <v>6.6499999999999893E-2</v>
      </c>
      <c r="F32">
        <f>H13-G13</f>
        <v>5.259999999999998E-2</v>
      </c>
      <c r="G32">
        <f>K13-J13</f>
        <v>5.8999999999999941E-2</v>
      </c>
      <c r="H32">
        <f>N13-M13</f>
        <v>8.2400000000000029E-2</v>
      </c>
      <c r="I32">
        <f>P13-O13</f>
        <v>5.1999999999999935E-2</v>
      </c>
      <c r="J32">
        <f>R13-Q13</f>
        <v>5.6700000000000084E-2</v>
      </c>
      <c r="K32">
        <f>T13-S13</f>
        <v>6.5800000000000081E-2</v>
      </c>
      <c r="L32">
        <f>X13-W13</f>
        <v>7.2799999999999976E-2</v>
      </c>
      <c r="M32">
        <f>X13-W13</f>
        <v>7.2799999999999976E-2</v>
      </c>
      <c r="N32">
        <f>Z13-Y13</f>
        <v>7.3000000000000065E-2</v>
      </c>
      <c r="O32">
        <f>AB13-AA13</f>
        <v>5.6599999999999984E-2</v>
      </c>
      <c r="P32">
        <f>AD13-AC13</f>
        <v>8.3500000000000019E-2</v>
      </c>
    </row>
    <row r="33" spans="4:16" x14ac:dyDescent="0.2">
      <c r="D33" t="s">
        <v>235</v>
      </c>
      <c r="E33">
        <f>F14-E14</f>
        <v>6.2699999999999978E-2</v>
      </c>
      <c r="F33">
        <f>H14-G14</f>
        <v>6.0899999999999954E-2</v>
      </c>
      <c r="G33">
        <f>K14-J14</f>
        <v>9.6099999999999963E-2</v>
      </c>
      <c r="H33">
        <f>N14-M14</f>
        <v>8.4400000000000031E-2</v>
      </c>
      <c r="I33">
        <f>P14-O14</f>
        <v>8.7200000000000055E-2</v>
      </c>
      <c r="J33">
        <f>R14-Q14</f>
        <v>8.4699999999999998E-2</v>
      </c>
      <c r="K33">
        <f>T14-S14</f>
        <v>6.4900000000000069E-2</v>
      </c>
      <c r="L33">
        <f>X14-W14</f>
        <v>6.2999999999999945E-2</v>
      </c>
      <c r="M33">
        <f>X14-W14</f>
        <v>6.2999999999999945E-2</v>
      </c>
      <c r="N33">
        <f>Z14-Y14</f>
        <v>7.0799999999999974E-2</v>
      </c>
      <c r="O33">
        <f>AB14-AA14</f>
        <v>7.3800000000000088E-2</v>
      </c>
      <c r="P33">
        <f>AD14-AC14</f>
        <v>9.4699999999999895E-2</v>
      </c>
    </row>
    <row r="34" spans="4:16" x14ac:dyDescent="0.2">
      <c r="D34" t="s">
        <v>236</v>
      </c>
      <c r="E34">
        <f>F15-E15</f>
        <v>6.0700000000000087E-2</v>
      </c>
      <c r="F34">
        <f>H15-G15</f>
        <v>7.0400000000000018E-2</v>
      </c>
      <c r="G34">
        <f>K15-J15</f>
        <v>5.5799999999999961E-2</v>
      </c>
      <c r="H34">
        <f>N15-M15</f>
        <v>6.5999999999999948E-2</v>
      </c>
      <c r="I34">
        <f>P15-O15</f>
        <v>7.9499999999999904E-2</v>
      </c>
      <c r="J34">
        <f>R15-Q15</f>
        <v>5.6800000000000073E-2</v>
      </c>
      <c r="K34">
        <f>T15-S15</f>
        <v>5.369999999999997E-2</v>
      </c>
      <c r="L34">
        <f>X15-W15</f>
        <v>9.4400000000000039E-2</v>
      </c>
      <c r="M34">
        <f>X15-W15</f>
        <v>9.4400000000000039E-2</v>
      </c>
      <c r="N34">
        <f>Z15-Y15</f>
        <v>7.130000000000003E-2</v>
      </c>
      <c r="O34">
        <f>AB15-AA15</f>
        <v>8.1199999999999939E-2</v>
      </c>
      <c r="P34">
        <f>AD15-AC15</f>
        <v>5.1699999999999857E-2</v>
      </c>
    </row>
    <row r="35" spans="4:16" x14ac:dyDescent="0.2">
      <c r="D35" t="s">
        <v>237</v>
      </c>
      <c r="E35">
        <f>F16-E16</f>
        <v>5.8100000000000041E-2</v>
      </c>
      <c r="F35">
        <f>H16-G16</f>
        <v>6.2599999999999989E-2</v>
      </c>
      <c r="G35">
        <f>K16-J16</f>
        <v>4.9799999999999955E-2</v>
      </c>
      <c r="H35">
        <f>N16-M16</f>
        <v>5.8699999999999974E-2</v>
      </c>
      <c r="I35">
        <f>P16-O16</f>
        <v>9.8699999999999899E-2</v>
      </c>
      <c r="J35">
        <f>R16-Q16</f>
        <v>5.3599999999999981E-2</v>
      </c>
      <c r="K35">
        <f>T16-S16</f>
        <v>5.9899999999999953E-2</v>
      </c>
      <c r="L35">
        <f>X16-W16</f>
        <v>6.6200000000000148E-2</v>
      </c>
      <c r="M35">
        <f>X16-W16</f>
        <v>6.6200000000000148E-2</v>
      </c>
      <c r="N35">
        <f>Z16-Y16</f>
        <v>7.2199999999999931E-2</v>
      </c>
      <c r="O35">
        <f>AB16-AA16</f>
        <v>7.7600000000000113E-2</v>
      </c>
      <c r="P35">
        <f>AD16-AC16</f>
        <v>6.4699999999999869E-2</v>
      </c>
    </row>
    <row r="36" spans="4:16" x14ac:dyDescent="0.2">
      <c r="D36" t="s">
        <v>238</v>
      </c>
      <c r="E36">
        <f>F17-E17</f>
        <v>5.5499999999999994E-2</v>
      </c>
      <c r="F36">
        <f>H17-G17</f>
        <v>5.9599999999999986E-2</v>
      </c>
      <c r="G36">
        <f>K17-J17</f>
        <v>5.7700000000000085E-2</v>
      </c>
      <c r="H36">
        <f>N17-M17</f>
        <v>6.0700000000000087E-2</v>
      </c>
      <c r="I36">
        <f>P17-O17</f>
        <v>8.670000000000011E-2</v>
      </c>
      <c r="J36">
        <f>R17-Q17</f>
        <v>6.1599999999999877E-2</v>
      </c>
      <c r="K36">
        <f>T17-S17</f>
        <v>4.489999999999994E-2</v>
      </c>
      <c r="L36">
        <f>X17-W17</f>
        <v>5.8800000000000074E-2</v>
      </c>
      <c r="M36">
        <f>X17-W17</f>
        <v>5.8800000000000074E-2</v>
      </c>
      <c r="N36">
        <f>Z17-Y17</f>
        <v>6.2999999999999945E-2</v>
      </c>
      <c r="O36">
        <f>AB17-AA17</f>
        <v>6.5399999999999903E-2</v>
      </c>
      <c r="P36">
        <f>AD17-AC17</f>
        <v>6.9799999999999862E-2</v>
      </c>
    </row>
    <row r="37" spans="4:16" x14ac:dyDescent="0.2">
      <c r="D37" t="s">
        <v>239</v>
      </c>
      <c r="E37">
        <f>F18-E18</f>
        <v>-0.95239999999999991</v>
      </c>
      <c r="F37">
        <f>H18-G18</f>
        <v>0.11620000000000008</v>
      </c>
      <c r="G37">
        <f>K18-J18</f>
        <v>7.9400000000000026E-2</v>
      </c>
      <c r="H37">
        <f>N18-M18</f>
        <v>6.6200000000000037E-2</v>
      </c>
      <c r="I37">
        <f>P18-O18</f>
        <v>7.1699999999999986E-2</v>
      </c>
      <c r="J37">
        <f>R18-Q18</f>
        <v>7.2100000000000053E-2</v>
      </c>
      <c r="K37">
        <f>T18-S18</f>
        <v>8.3199999999999941E-2</v>
      </c>
      <c r="L37">
        <f>X18-W18</f>
        <v>8.9999999999999969E-2</v>
      </c>
      <c r="M37">
        <f>X18-W18</f>
        <v>8.9999999999999969E-2</v>
      </c>
      <c r="N37">
        <f>Z18-Y18</f>
        <v>7.0100000000000051E-2</v>
      </c>
      <c r="O37">
        <f>AB18-AA18</f>
        <v>7.4799999999999978E-2</v>
      </c>
      <c r="P37">
        <f>AD18-AC18</f>
        <v>5.2600000000000091E-2</v>
      </c>
    </row>
    <row r="38" spans="4:16" x14ac:dyDescent="0.2">
      <c r="D38" t="s">
        <v>240</v>
      </c>
      <c r="E38">
        <f>F19-E19</f>
        <v>7.5200000000000045E-2</v>
      </c>
      <c r="F38">
        <f>H19-G19</f>
        <v>6.9999999999999951E-2</v>
      </c>
      <c r="G38">
        <f>K19-J19</f>
        <v>6.6599999999999993E-2</v>
      </c>
      <c r="H38">
        <f>N19-M19</f>
        <v>5.9199999999999919E-2</v>
      </c>
      <c r="I38">
        <f>P19-O19</f>
        <v>5.9999999999999942E-2</v>
      </c>
      <c r="J38">
        <f>R19-Q19</f>
        <v>6.4400000000000013E-2</v>
      </c>
      <c r="K38">
        <f>T19-S19</f>
        <v>7.6799999999999868E-2</v>
      </c>
      <c r="L38">
        <f>X19-W19</f>
        <v>5.7400000000000118E-2</v>
      </c>
      <c r="M38">
        <f>X19-W19</f>
        <v>5.7400000000000118E-2</v>
      </c>
      <c r="N38">
        <f>Z19-Y19</f>
        <v>4.5499999999999985E-2</v>
      </c>
      <c r="O38">
        <f>AB19-AA19</f>
        <v>6.5100000000000047E-2</v>
      </c>
      <c r="P38">
        <f>AD19-AC19</f>
        <v>8.4999999999999964E-2</v>
      </c>
    </row>
    <row r="39" spans="4:16" x14ac:dyDescent="0.2">
      <c r="D39" t="s">
        <v>241</v>
      </c>
      <c r="E39">
        <f>F20-E20</f>
        <v>5.6900000000000062E-2</v>
      </c>
      <c r="F39">
        <f>H20-G20</f>
        <v>6.469999999999998E-2</v>
      </c>
      <c r="G39">
        <f>K20-J20</f>
        <v>5.05000000000001E-2</v>
      </c>
      <c r="H39">
        <f>N20-M20</f>
        <v>4.5699999999999963E-2</v>
      </c>
      <c r="I39">
        <f>P20-O20</f>
        <v>5.8300000000000129E-2</v>
      </c>
      <c r="J39">
        <f>R20-Q20</f>
        <v>5.6400000000000006E-2</v>
      </c>
      <c r="K39">
        <f>T20-S20</f>
        <v>4.5800000000000063E-2</v>
      </c>
      <c r="L39">
        <f>X20-W20</f>
        <v>4.5099999999999918E-2</v>
      </c>
      <c r="M39">
        <f>X20-W20</f>
        <v>4.5099999999999918E-2</v>
      </c>
      <c r="N39">
        <f>Z20-Y20</f>
        <v>0.41380000000000006</v>
      </c>
      <c r="O39">
        <f>AB20-AA20</f>
        <v>7.8699999999999992E-2</v>
      </c>
      <c r="P39">
        <f>AD20-AC20</f>
        <v>9.2700000000000005E-2</v>
      </c>
    </row>
    <row r="40" spans="4:16" x14ac:dyDescent="0.2">
      <c r="D40" t="s">
        <v>242</v>
      </c>
      <c r="E40">
        <f>F21-E21</f>
        <v>5.9500000000000108E-2</v>
      </c>
      <c r="F40">
        <f>H21-G21</f>
        <v>0.10539999999999994</v>
      </c>
      <c r="G40">
        <f>K21-J21</f>
        <v>3.8399999999999879E-2</v>
      </c>
      <c r="H40">
        <f>N21-M21</f>
        <v>6.4500000000000002E-2</v>
      </c>
      <c r="I40">
        <f>P21-O21</f>
        <v>4.830000000000001E-2</v>
      </c>
      <c r="J40">
        <f>R21-Q21</f>
        <v>5.369999999999997E-2</v>
      </c>
      <c r="K40">
        <f>T21-S21</f>
        <v>5.9699999999999975E-2</v>
      </c>
      <c r="L40">
        <f>X21-W21</f>
        <v>5.6799999999999962E-2</v>
      </c>
      <c r="M40">
        <f>X21-W21</f>
        <v>5.6799999999999962E-2</v>
      </c>
      <c r="N40">
        <f>Z21-Y21</f>
        <v>6.6299999999999915E-2</v>
      </c>
      <c r="O40">
        <f>AB21-AA21</f>
        <v>8.219999999999994E-2</v>
      </c>
      <c r="P40">
        <f>AD21-AC21</f>
        <v>5.5300000000000016E-2</v>
      </c>
    </row>
    <row r="41" spans="4:16" x14ac:dyDescent="0.2">
      <c r="D41" t="s">
        <v>243</v>
      </c>
      <c r="E41">
        <f>F22-E22</f>
        <v>5.6300000000000017E-2</v>
      </c>
      <c r="F41">
        <f>H22-G22</f>
        <v>8.8300000000000045E-2</v>
      </c>
      <c r="G41">
        <f>K22-J22</f>
        <v>5.6100000000000039E-2</v>
      </c>
      <c r="H41">
        <f>N22-M22</f>
        <v>4.9100000000000033E-2</v>
      </c>
      <c r="I41">
        <f>P22-O22</f>
        <v>5.9100000000000041E-2</v>
      </c>
      <c r="J41">
        <f>R22-Q22</f>
        <v>5.7599999999999985E-2</v>
      </c>
      <c r="K41">
        <f>T22-S22</f>
        <v>5.0699999999999967E-2</v>
      </c>
      <c r="L41">
        <f>X22-W22</f>
        <v>6.7799999999999971E-2</v>
      </c>
      <c r="M41">
        <f>X22-W22</f>
        <v>6.7799999999999971E-2</v>
      </c>
      <c r="N41">
        <f>Z22-Y22</f>
        <v>6.1900000000000066E-2</v>
      </c>
      <c r="O41">
        <f>AB22-AA22</f>
        <v>6.4400000000000124E-2</v>
      </c>
      <c r="P41">
        <f>AD22-AC22</f>
        <v>0.10340000000000005</v>
      </c>
    </row>
    <row r="42" spans="4:16" x14ac:dyDescent="0.2">
      <c r="D42" t="s">
        <v>244</v>
      </c>
      <c r="E42">
        <f>F23-E23</f>
        <v>6.9899999999999962E-2</v>
      </c>
      <c r="F42">
        <f>H23-G23</f>
        <v>0.12840000000000007</v>
      </c>
      <c r="G42">
        <f>K23-J23</f>
        <v>4.4300000000000006E-2</v>
      </c>
      <c r="H42">
        <f>N23-M23</f>
        <v>6.3799999999999857E-2</v>
      </c>
      <c r="I42">
        <f>P23-O23</f>
        <v>4.149999999999987E-2</v>
      </c>
      <c r="J42">
        <f>R23-Q23</f>
        <v>8.0999999999999961E-2</v>
      </c>
      <c r="K42">
        <f>T23-S23</f>
        <v>7.3300000000000032E-2</v>
      </c>
      <c r="L42">
        <f>X23-W23</f>
        <v>0.1077999999999999</v>
      </c>
      <c r="M42">
        <f>X23-W23</f>
        <v>0.1077999999999999</v>
      </c>
      <c r="N42">
        <f>Z23-Y23</f>
        <v>9.5199999999999951E-2</v>
      </c>
      <c r="O42">
        <f>AB23-AA23</f>
        <v>7.009999999999994E-2</v>
      </c>
      <c r="P42">
        <f>AD23-AC23</f>
        <v>7.4299999999999922E-2</v>
      </c>
    </row>
    <row r="43" spans="4:16" x14ac:dyDescent="0.2">
      <c r="D43" t="s">
        <v>245</v>
      </c>
      <c r="E43">
        <f>F24-E24</f>
        <v>4.6699999999999964E-2</v>
      </c>
      <c r="F43">
        <f>H24-G24</f>
        <v>9.9999999999999978E-2</v>
      </c>
      <c r="G43">
        <f>K24-J24</f>
        <v>8.6799999999999877E-2</v>
      </c>
      <c r="H43">
        <f>N24-M24</f>
        <v>7.1900000000000075E-2</v>
      </c>
      <c r="I43">
        <f>P24-O24</f>
        <v>6.5200000000000036E-2</v>
      </c>
      <c r="J43">
        <f>R24-Q24</f>
        <v>5.3900000000000059E-2</v>
      </c>
      <c r="K43">
        <f>T24-S24</f>
        <v>4.6900000000000053E-2</v>
      </c>
      <c r="L43">
        <f>X24-W24</f>
        <v>6.3099999999999934E-2</v>
      </c>
      <c r="M43">
        <f>X24-W24</f>
        <v>6.3099999999999934E-2</v>
      </c>
      <c r="N43">
        <f>Z24-Y24</f>
        <v>6.4999999999999947E-2</v>
      </c>
      <c r="O43">
        <f>AB24-AA24</f>
        <v>6.4799999999999969E-2</v>
      </c>
      <c r="P43">
        <f>AD24-AC24</f>
        <v>7.4599999999999889E-2</v>
      </c>
    </row>
    <row r="44" spans="4:16" x14ac:dyDescent="0.2">
      <c r="D44" t="s">
        <v>246</v>
      </c>
      <c r="E44">
        <f>F25-E25</f>
        <v>6.6899999999999959E-2</v>
      </c>
      <c r="F44">
        <f>H25-G25</f>
        <v>9.8100000000000076E-2</v>
      </c>
      <c r="G44">
        <f>K25-J25</f>
        <v>5.3700000000000081E-2</v>
      </c>
      <c r="H44">
        <f>N25-M25</f>
        <v>5.6799999999999962E-2</v>
      </c>
      <c r="I44">
        <f>P25-O25</f>
        <v>7.6099999999999945E-2</v>
      </c>
      <c r="J44">
        <f>R25-Q25</f>
        <v>5.0700000000000078E-2</v>
      </c>
      <c r="K44">
        <f>T25-S25</f>
        <v>5.7300000000000018E-2</v>
      </c>
      <c r="L44">
        <f>X25-W25</f>
        <v>7.0400000000000129E-2</v>
      </c>
      <c r="M44">
        <f>X25-W25</f>
        <v>7.0400000000000129E-2</v>
      </c>
      <c r="N44">
        <f>Z25-Y25</f>
        <v>9.9700000000000011E-2</v>
      </c>
      <c r="O44">
        <f>AB25-AA25</f>
        <v>6.2100000000000044E-2</v>
      </c>
      <c r="P44">
        <f>AD25-AC25</f>
        <v>6.8599999999999994E-2</v>
      </c>
    </row>
    <row r="45" spans="4:16" x14ac:dyDescent="0.2">
      <c r="D45" t="s">
        <v>247</v>
      </c>
      <c r="E45">
        <f>F26-E26</f>
        <v>5.4199999999999915E-2</v>
      </c>
      <c r="F45">
        <f>H26-G26</f>
        <v>0.10110000000000008</v>
      </c>
      <c r="G45">
        <f>K26-J26</f>
        <v>4.4200000000000017E-2</v>
      </c>
      <c r="H45">
        <f>N26-M26</f>
        <v>5.9700000000000086E-2</v>
      </c>
      <c r="I45">
        <f>P26-O26</f>
        <v>4.9900000000000055E-2</v>
      </c>
      <c r="J45">
        <f>R26-Q26</f>
        <v>4.830000000000001E-2</v>
      </c>
      <c r="K45">
        <f>T26-S26</f>
        <v>5.1200000000000023E-2</v>
      </c>
      <c r="L45">
        <f>X26-W26</f>
        <v>5.2800000000000069E-2</v>
      </c>
      <c r="M45">
        <f>X26-W26</f>
        <v>5.2800000000000069E-2</v>
      </c>
      <c r="N45">
        <f>Z26-Y26</f>
        <v>5.5599999999999872E-2</v>
      </c>
      <c r="O45">
        <f>AB26-AA26</f>
        <v>6.6199999999999926E-2</v>
      </c>
      <c r="P45">
        <f>AD26-AC26</f>
        <v>5.8999999999999941E-2</v>
      </c>
    </row>
    <row r="46" spans="4:16" x14ac:dyDescent="0.2">
      <c r="D46" t="s">
        <v>248</v>
      </c>
      <c r="E46">
        <f>F27-E27</f>
        <v>6.1999999999999944E-2</v>
      </c>
      <c r="F46">
        <f>H27-G27</f>
        <v>0.10430000000000006</v>
      </c>
      <c r="G46">
        <f>K27-J27</f>
        <v>5.2200000000000024E-2</v>
      </c>
      <c r="H46">
        <f>N27-M27</f>
        <v>6.0200000000000031E-2</v>
      </c>
      <c r="I46">
        <f>P27-O27</f>
        <v>5.7200000000000029E-2</v>
      </c>
      <c r="J46">
        <f>R27-Q27</f>
        <v>4.7800000000000065E-2</v>
      </c>
      <c r="K46">
        <f>T27-S27</f>
        <v>5.9499999999999997E-2</v>
      </c>
      <c r="L46">
        <f>X27-W27</f>
        <v>6.8399999999999905E-2</v>
      </c>
      <c r="M46">
        <f>X27-W27</f>
        <v>6.8399999999999905E-2</v>
      </c>
      <c r="N46">
        <f>Z27-Y27</f>
        <v>4.5199999999999907E-2</v>
      </c>
      <c r="O46">
        <f>AB27-AA27</f>
        <v>5.3200000000000025E-2</v>
      </c>
      <c r="P46">
        <f>AD27-AC27</f>
        <v>4.6699999999999964E-2</v>
      </c>
    </row>
    <row r="49" spans="1:28" x14ac:dyDescent="0.2">
      <c r="A49" t="s">
        <v>257</v>
      </c>
      <c r="E49" s="66" t="s">
        <v>275</v>
      </c>
      <c r="F49" s="66"/>
      <c r="G49" s="66" t="s">
        <v>277</v>
      </c>
      <c r="H49" s="66"/>
      <c r="I49" s="66" t="s">
        <v>218</v>
      </c>
      <c r="J49" s="66"/>
      <c r="K49" s="66" t="s">
        <v>0</v>
      </c>
      <c r="L49" s="66"/>
      <c r="M49" s="66" t="s">
        <v>1</v>
      </c>
      <c r="N49" s="66"/>
      <c r="O49" s="66" t="s">
        <v>222</v>
      </c>
      <c r="P49" s="66"/>
      <c r="Q49" s="66" t="s">
        <v>2</v>
      </c>
      <c r="R49" s="66"/>
      <c r="S49" s="66" t="s">
        <v>225</v>
      </c>
      <c r="T49" s="66"/>
      <c r="U49" s="66" t="s">
        <v>3</v>
      </c>
      <c r="V49" s="66"/>
      <c r="W49" s="66" t="s">
        <v>228</v>
      </c>
      <c r="X49" s="66"/>
      <c r="Y49" s="66" t="s">
        <v>4</v>
      </c>
      <c r="Z49" s="66"/>
      <c r="AA49" s="66" t="s">
        <v>231</v>
      </c>
      <c r="AB49" s="66"/>
    </row>
    <row r="50" spans="1:28" x14ac:dyDescent="0.2">
      <c r="E50" t="s">
        <v>279</v>
      </c>
      <c r="F50" t="s">
        <v>280</v>
      </c>
      <c r="G50" t="s">
        <v>279</v>
      </c>
      <c r="H50" t="s">
        <v>280</v>
      </c>
      <c r="I50" t="s">
        <v>279</v>
      </c>
      <c r="J50" t="s">
        <v>281</v>
      </c>
      <c r="K50" t="s">
        <v>279</v>
      </c>
      <c r="L50" t="s">
        <v>281</v>
      </c>
      <c r="M50" t="s">
        <v>279</v>
      </c>
      <c r="N50" t="s">
        <v>281</v>
      </c>
      <c r="O50" t="s">
        <v>279</v>
      </c>
      <c r="P50" t="s">
        <v>281</v>
      </c>
      <c r="Q50" t="s">
        <v>279</v>
      </c>
      <c r="R50" t="s">
        <v>281</v>
      </c>
      <c r="S50" t="s">
        <v>279</v>
      </c>
      <c r="T50" t="s">
        <v>281</v>
      </c>
      <c r="U50" t="s">
        <v>279</v>
      </c>
      <c r="V50" t="s">
        <v>281</v>
      </c>
      <c r="W50" t="s">
        <v>279</v>
      </c>
      <c r="X50" t="s">
        <v>281</v>
      </c>
      <c r="Y50" t="s">
        <v>279</v>
      </c>
      <c r="Z50" t="s">
        <v>281</v>
      </c>
      <c r="AA50" t="s">
        <v>279</v>
      </c>
      <c r="AB50" t="s">
        <v>281</v>
      </c>
    </row>
    <row r="51" spans="1:28" x14ac:dyDescent="0.2">
      <c r="D51" t="s">
        <v>233</v>
      </c>
      <c r="E51">
        <f>(110*10^1)/0.1</f>
        <v>11000</v>
      </c>
      <c r="G51">
        <f>(36*10^1)/0.1</f>
        <v>3600</v>
      </c>
      <c r="I51">
        <f>(26*10^1)/0.1</f>
        <v>2600</v>
      </c>
      <c r="J51">
        <f t="shared" ref="J51:J66" si="0">(0*10^0)/0.1</f>
        <v>0</v>
      </c>
      <c r="K51">
        <f>(63*10^1)/0.1</f>
        <v>6300</v>
      </c>
      <c r="L51">
        <f>(36*10^1)/0.1</f>
        <v>3600</v>
      </c>
      <c r="M51">
        <f>(41*10^2)/0.1</f>
        <v>41000</v>
      </c>
      <c r="N51">
        <f>(1*10^0)/0.1</f>
        <v>10</v>
      </c>
      <c r="O51">
        <f>(115*10^0)/0.1</f>
        <v>1150</v>
      </c>
      <c r="P51">
        <f t="shared" ref="P51:P57" si="1">(0*10^0)/0.1</f>
        <v>0</v>
      </c>
      <c r="Q51">
        <f>(75*10^1)/0.1</f>
        <v>7500</v>
      </c>
      <c r="R51">
        <f>(0*10^0)/0.1</f>
        <v>0</v>
      </c>
      <c r="S51">
        <f>(35*10^1)/0.1</f>
        <v>3500</v>
      </c>
      <c r="T51">
        <f>(0*10^0)/0.1</f>
        <v>0</v>
      </c>
      <c r="U51">
        <f>(141*10^1)/0.1</f>
        <v>14100</v>
      </c>
      <c r="V51">
        <f>(166*10^0)/0.1</f>
        <v>1660</v>
      </c>
      <c r="W51">
        <f>(135*10^1)/0.1</f>
        <v>13500</v>
      </c>
      <c r="X51">
        <f>(27*10^0)/0.1</f>
        <v>270</v>
      </c>
      <c r="Y51">
        <f>(268*10^1)/0.1</f>
        <v>26800</v>
      </c>
      <c r="Z51">
        <f>(29*10^0)/0.1</f>
        <v>290</v>
      </c>
      <c r="AA51">
        <f>(232*10^1)/0.1</f>
        <v>23200</v>
      </c>
      <c r="AB51">
        <f>(38*10^0)/0.1</f>
        <v>380</v>
      </c>
    </row>
    <row r="52" spans="1:28" x14ac:dyDescent="0.2">
      <c r="D52" t="s">
        <v>234</v>
      </c>
      <c r="E52">
        <f>(67*10^1)/0.1</f>
        <v>6700</v>
      </c>
      <c r="G52">
        <f>(31*10^1)/0.1</f>
        <v>3100</v>
      </c>
      <c r="I52">
        <f>(63*10^1)/0.1</f>
        <v>6300</v>
      </c>
      <c r="J52">
        <f t="shared" si="0"/>
        <v>0</v>
      </c>
      <c r="K52">
        <f>(62*10^1)/0.1</f>
        <v>6200</v>
      </c>
      <c r="L52">
        <f>(52*10^0)/0.1</f>
        <v>520</v>
      </c>
      <c r="M52">
        <f>(185*10^1)/0.1</f>
        <v>18500</v>
      </c>
      <c r="N52">
        <f>(0*10^0)/0.1</f>
        <v>0</v>
      </c>
      <c r="O52">
        <f>(77*10^1)/0.1</f>
        <v>7700</v>
      </c>
      <c r="P52">
        <f t="shared" si="1"/>
        <v>0</v>
      </c>
      <c r="Q52">
        <f>(49*10^1)/0.1</f>
        <v>4900</v>
      </c>
      <c r="R52">
        <f>(0*10^0)/0.1</f>
        <v>0</v>
      </c>
      <c r="S52">
        <f>(67*10^2)/0.1</f>
        <v>67000</v>
      </c>
      <c r="T52">
        <f t="shared" ref="T52:T57" si="2">(0*10^0)/0.1</f>
        <v>0</v>
      </c>
      <c r="U52">
        <f>(68*10^1)/0.1</f>
        <v>6800</v>
      </c>
      <c r="V52">
        <f>(40*10^0)/0.1</f>
        <v>400</v>
      </c>
      <c r="W52">
        <f>(376*10^2)/0.1</f>
        <v>376000</v>
      </c>
      <c r="X52">
        <f>(204*10^2)/0.1</f>
        <v>204000</v>
      </c>
      <c r="Y52">
        <f>(344*10^1)/0.1</f>
        <v>34400</v>
      </c>
      <c r="Z52">
        <f>(151*10^1)/0.1</f>
        <v>15100</v>
      </c>
      <c r="AA52">
        <f>(34*10^2)/0.1</f>
        <v>34000</v>
      </c>
      <c r="AB52">
        <f>(25*10^1)/0.1</f>
        <v>2500</v>
      </c>
    </row>
    <row r="53" spans="1:28" x14ac:dyDescent="0.2">
      <c r="D53" t="s">
        <v>235</v>
      </c>
      <c r="E53">
        <f>(123*10^1)/0.1</f>
        <v>12300</v>
      </c>
      <c r="G53">
        <f>(25*10^1)/0.1</f>
        <v>2500</v>
      </c>
      <c r="I53">
        <f>(137*10^0)/0.1</f>
        <v>1370</v>
      </c>
      <c r="J53">
        <f>(64*10^0)/0.1</f>
        <v>640</v>
      </c>
      <c r="K53">
        <f>(103*10^2)/0.1</f>
        <v>103000</v>
      </c>
      <c r="L53">
        <f>(91*10^2)/0.1</f>
        <v>91000</v>
      </c>
      <c r="M53">
        <f>(73*10^1)/0.1</f>
        <v>7300</v>
      </c>
      <c r="N53">
        <f>(136*10^0)/0.1</f>
        <v>1360</v>
      </c>
      <c r="O53">
        <f>(109*10^0)/0.1</f>
        <v>1090</v>
      </c>
      <c r="P53">
        <f>(4*10^0)/0.1</f>
        <v>40</v>
      </c>
      <c r="Q53">
        <f>(80*10^1)/0.1</f>
        <v>8000</v>
      </c>
      <c r="R53">
        <f>(3*10^0)/0.1</f>
        <v>30</v>
      </c>
      <c r="S53">
        <f>(127*10^1)/0.1</f>
        <v>12700</v>
      </c>
      <c r="T53">
        <f>(5*10^0)/0.1</f>
        <v>50</v>
      </c>
      <c r="U53">
        <f>(103*10^1)/0.1</f>
        <v>10300</v>
      </c>
      <c r="V53">
        <f>(11*10^0)/0.1</f>
        <v>110</v>
      </c>
      <c r="W53">
        <f>(78*10^1)/0.1</f>
        <v>7800</v>
      </c>
      <c r="X53">
        <f>(71*10^0)/0.1</f>
        <v>710</v>
      </c>
      <c r="Y53">
        <f>(156*10^1)/0.1</f>
        <v>15600</v>
      </c>
      <c r="Z53">
        <f>(69*10^0)/0.1</f>
        <v>690</v>
      </c>
      <c r="AA53">
        <f>(122*10^1)/0.1</f>
        <v>12200</v>
      </c>
      <c r="AB53">
        <f>(47*10^0)/0.1</f>
        <v>470</v>
      </c>
    </row>
    <row r="54" spans="1:28" x14ac:dyDescent="0.2">
      <c r="D54" t="s">
        <v>236</v>
      </c>
      <c r="E54">
        <f>(226*10^1)/0.1</f>
        <v>22600</v>
      </c>
      <c r="G54">
        <f>(149*10^0)/0.1</f>
        <v>1490</v>
      </c>
      <c r="I54">
        <f>(31*10^1)/0.1</f>
        <v>3100</v>
      </c>
      <c r="J54">
        <f t="shared" si="0"/>
        <v>0</v>
      </c>
      <c r="K54">
        <f>(181*10^1)/0.1</f>
        <v>18100</v>
      </c>
      <c r="L54">
        <f>(122*10^1)/0.1</f>
        <v>12200</v>
      </c>
      <c r="M54">
        <f>(92*10^1)/0.1</f>
        <v>9200</v>
      </c>
      <c r="N54">
        <f>(200*10^0)/0.1</f>
        <v>2000</v>
      </c>
      <c r="O54">
        <f>(43*10^1)/0.1</f>
        <v>4300</v>
      </c>
      <c r="P54">
        <f>(11*10^0)/0.1</f>
        <v>110</v>
      </c>
      <c r="Q54">
        <f>(55*10^1)/0.1</f>
        <v>5500</v>
      </c>
      <c r="R54">
        <f>(15*10^0)/0.1</f>
        <v>150</v>
      </c>
      <c r="S54">
        <f>(39*10^1)/0.1</f>
        <v>3900</v>
      </c>
      <c r="T54">
        <f>(13*10^0)/0.1</f>
        <v>130</v>
      </c>
      <c r="U54">
        <f>(126*10^1)/0.1</f>
        <v>12600</v>
      </c>
      <c r="V54">
        <f>(11*10^0)/0.1</f>
        <v>110</v>
      </c>
      <c r="W54">
        <f>(95*10^1)/0.1</f>
        <v>9500</v>
      </c>
      <c r="X54">
        <f>(98*10^0)/0.1</f>
        <v>980</v>
      </c>
      <c r="Y54">
        <f>(154*10^1)/0.1</f>
        <v>15400</v>
      </c>
      <c r="Z54">
        <f>(229*10^0)/0.1</f>
        <v>2290</v>
      </c>
      <c r="AA54">
        <f>(107*10^1)/0.1</f>
        <v>10700</v>
      </c>
      <c r="AB54">
        <f>(56*10^0)/0.1</f>
        <v>560</v>
      </c>
    </row>
    <row r="55" spans="1:28" x14ac:dyDescent="0.2">
      <c r="D55" t="s">
        <v>237</v>
      </c>
      <c r="E55">
        <f>(174*10^1)/0.1</f>
        <v>17400</v>
      </c>
      <c r="G55">
        <f>(48*10^0)/0.1</f>
        <v>480</v>
      </c>
      <c r="I55">
        <f>(107*10^1)/0.1</f>
        <v>10700</v>
      </c>
      <c r="J55">
        <f t="shared" si="0"/>
        <v>0</v>
      </c>
      <c r="K55">
        <f>(56*10^1)/0.1</f>
        <v>5600</v>
      </c>
      <c r="L55">
        <f>(110*10^0)/0.1</f>
        <v>1100</v>
      </c>
      <c r="M55">
        <f>(176*10^1)/0.1</f>
        <v>17600</v>
      </c>
      <c r="N55">
        <f t="shared" ref="N55" si="3">(0*10^0)/0.1</f>
        <v>0</v>
      </c>
      <c r="O55">
        <f>(100*10^0)/0.1</f>
        <v>1000</v>
      </c>
      <c r="P55">
        <f>(42*10^0)/0.1</f>
        <v>420</v>
      </c>
      <c r="Q55">
        <f>(79*10^1)/0.1</f>
        <v>7900</v>
      </c>
      <c r="R55">
        <f>(0*10^0)/0.1</f>
        <v>0</v>
      </c>
      <c r="S55">
        <f>(159*10^1)/0.1</f>
        <v>15900</v>
      </c>
      <c r="T55">
        <f t="shared" si="2"/>
        <v>0</v>
      </c>
      <c r="U55">
        <f>(44*10^2)/0.1</f>
        <v>44000</v>
      </c>
      <c r="V55">
        <f>(3*10^0)/0.1</f>
        <v>30</v>
      </c>
      <c r="W55">
        <f>(512*10^2)/0.1</f>
        <v>512000</v>
      </c>
      <c r="X55">
        <f>(92*10^1)/0.1</f>
        <v>9200</v>
      </c>
      <c r="Y55">
        <f>(72*10^3)/0.1</f>
        <v>720000</v>
      </c>
      <c r="Z55">
        <f>(90*10^2)/0.1</f>
        <v>90000</v>
      </c>
      <c r="AA55">
        <f>(54*10^3)/0.1</f>
        <v>540000</v>
      </c>
      <c r="AB55">
        <f>(66*10^2)/0.1</f>
        <v>66000</v>
      </c>
    </row>
    <row r="56" spans="1:28" x14ac:dyDescent="0.2">
      <c r="D56" t="s">
        <v>238</v>
      </c>
      <c r="E56">
        <f>(119*10^1)/0.1</f>
        <v>11900</v>
      </c>
      <c r="G56">
        <f>(92*10^0)/0.1</f>
        <v>920</v>
      </c>
      <c r="I56">
        <f>(56*10^0)/0.1</f>
        <v>560</v>
      </c>
      <c r="J56">
        <f t="shared" si="0"/>
        <v>0</v>
      </c>
      <c r="K56">
        <f>(60*10^1)/0.1</f>
        <v>6000</v>
      </c>
      <c r="L56">
        <f>(33*10^1)/0.1</f>
        <v>3300</v>
      </c>
      <c r="M56">
        <f>(134*10^1)/0.1</f>
        <v>13400</v>
      </c>
      <c r="N56">
        <f>(50*10^0)/0.1</f>
        <v>500</v>
      </c>
      <c r="O56">
        <f>(142*10^1)/0.1</f>
        <v>14200</v>
      </c>
      <c r="P56">
        <f>(6*10^0)/0.1</f>
        <v>60</v>
      </c>
      <c r="Q56">
        <f>(51*10^1)/0.1</f>
        <v>5100</v>
      </c>
      <c r="R56">
        <f>(7*10^0)/0.1</f>
        <v>70</v>
      </c>
      <c r="S56">
        <f>(42*10^1)/0.1</f>
        <v>4200</v>
      </c>
      <c r="T56">
        <f>(6*10^0)/0.1</f>
        <v>60</v>
      </c>
      <c r="U56">
        <f>(69*10^1)/0.1</f>
        <v>6900</v>
      </c>
      <c r="V56">
        <f>(6*10^0)/0.1</f>
        <v>60</v>
      </c>
      <c r="W56">
        <f>(271*10^1)/0.1</f>
        <v>27100</v>
      </c>
      <c r="X56">
        <f>(14*10^0)/0.1</f>
        <v>140</v>
      </c>
      <c r="Y56">
        <f>(253*10^1)/0.1</f>
        <v>25300</v>
      </c>
      <c r="Z56">
        <f>(13*10^0)/0.1</f>
        <v>130</v>
      </c>
      <c r="AA56">
        <f>(33*10^2)/0.1</f>
        <v>33000</v>
      </c>
      <c r="AB56">
        <f>(26*10^1)/0.1</f>
        <v>2600</v>
      </c>
    </row>
    <row r="57" spans="1:28" x14ac:dyDescent="0.2">
      <c r="D57" t="s">
        <v>239</v>
      </c>
      <c r="E57">
        <f>(219*10^1)/0.1</f>
        <v>21900</v>
      </c>
      <c r="G57">
        <f>(95*10^0)/0.1</f>
        <v>950</v>
      </c>
      <c r="I57">
        <f>(185*10^0)/0.1</f>
        <v>1850</v>
      </c>
      <c r="J57">
        <f t="shared" si="0"/>
        <v>0</v>
      </c>
      <c r="K57">
        <f>(74*10^2)/0.1</f>
        <v>74000</v>
      </c>
      <c r="L57">
        <f>(77*10^2)/0.1</f>
        <v>77000</v>
      </c>
      <c r="M57">
        <f>(141*10^2)/0.1</f>
        <v>141000</v>
      </c>
      <c r="N57">
        <f>(32*10^2)/0.1</f>
        <v>32000</v>
      </c>
      <c r="O57">
        <f>(68*10^1)/0.1</f>
        <v>6800</v>
      </c>
      <c r="P57">
        <f t="shared" si="1"/>
        <v>0</v>
      </c>
      <c r="Q57">
        <f>(42*10^1)/0.1</f>
        <v>4200</v>
      </c>
      <c r="R57">
        <f>(11*10^0)/0.1</f>
        <v>110</v>
      </c>
      <c r="S57">
        <f>(54*10^1)/0.1</f>
        <v>5400</v>
      </c>
      <c r="T57">
        <f t="shared" si="2"/>
        <v>0</v>
      </c>
      <c r="U57">
        <f>(290*10^1)/0.1</f>
        <v>29000</v>
      </c>
      <c r="V57">
        <f>(9*10^0)/0.1</f>
        <v>90</v>
      </c>
      <c r="W57">
        <f>(192*10^2)/0.1</f>
        <v>192000</v>
      </c>
      <c r="X57">
        <f>(131*10^1)/0.1</f>
        <v>13100</v>
      </c>
      <c r="Y57">
        <f>(46*10^3)/0.1</f>
        <v>460000</v>
      </c>
      <c r="Z57">
        <f>(22*10^2)/0.1</f>
        <v>22000</v>
      </c>
      <c r="AA57">
        <f>(316*10^3)/0.1</f>
        <v>3160000</v>
      </c>
      <c r="AB57">
        <f>(340*10^2)/0.1</f>
        <v>340000</v>
      </c>
    </row>
    <row r="58" spans="1:28" s="10" customFormat="1" x14ac:dyDescent="0.2">
      <c r="D58" s="10" t="s">
        <v>240</v>
      </c>
      <c r="E58" s="10">
        <f>(147*10^0)/0.1</f>
        <v>1470</v>
      </c>
      <c r="G58" s="10">
        <f>(82*10^0)/0.1</f>
        <v>820</v>
      </c>
      <c r="I58" s="10">
        <f>(109*10^0)/0.1</f>
        <v>1090</v>
      </c>
      <c r="J58" s="10">
        <f t="shared" si="0"/>
        <v>0</v>
      </c>
      <c r="K58" s="10">
        <f>(69*10^0)/0.1</f>
        <v>690</v>
      </c>
      <c r="L58" s="10">
        <f>(30*10^0)/0.1</f>
        <v>300</v>
      </c>
      <c r="M58" s="10">
        <f>(222*10^1)/0.1</f>
        <v>22200</v>
      </c>
      <c r="N58" s="10">
        <f>(1*10^0)/0.1</f>
        <v>10</v>
      </c>
      <c r="O58" s="10">
        <f>(57*10^0)/0.1</f>
        <v>570</v>
      </c>
      <c r="P58" s="10">
        <f>(20*10^0)/0.1</f>
        <v>200</v>
      </c>
      <c r="Q58" s="10">
        <f>(133*10^0)/0.1</f>
        <v>1330</v>
      </c>
      <c r="R58" s="10">
        <f>(10*10^0)/0.1</f>
        <v>100</v>
      </c>
      <c r="S58" s="10">
        <f>(37*10^1)/0.1</f>
        <v>3700</v>
      </c>
      <c r="T58" s="10">
        <f>(16*10^0)/0.1</f>
        <v>160</v>
      </c>
      <c r="U58" s="10">
        <f>(89*10^1)/0.1</f>
        <v>8900</v>
      </c>
      <c r="V58" s="10">
        <f>(12*10^0)/0.1</f>
        <v>120</v>
      </c>
      <c r="W58" s="10">
        <f>(74*10^1)/0.1</f>
        <v>7400</v>
      </c>
      <c r="X58" s="10">
        <f>(84*10^0)/0.1</f>
        <v>840</v>
      </c>
      <c r="Y58" s="10">
        <f>(105*10^1)/0.1</f>
        <v>10500</v>
      </c>
      <c r="Z58" s="10">
        <f>(62*10^0)/0.1</f>
        <v>620</v>
      </c>
      <c r="AA58" s="10">
        <f>(76*10^1)/0.1</f>
        <v>7600</v>
      </c>
      <c r="AB58" s="10">
        <f>(7*10^0)/0.1</f>
        <v>70</v>
      </c>
    </row>
    <row r="59" spans="1:28" x14ac:dyDescent="0.2">
      <c r="D59" t="s">
        <v>241</v>
      </c>
      <c r="E59">
        <f>(83*10^1)/0.1</f>
        <v>8300</v>
      </c>
      <c r="G59">
        <f>(36*10^1)/0.1</f>
        <v>3600</v>
      </c>
      <c r="I59">
        <f>(50*10^1)/0.1</f>
        <v>5000</v>
      </c>
      <c r="J59">
        <f t="shared" si="0"/>
        <v>0</v>
      </c>
      <c r="K59">
        <f>(186*10^1)/0.1</f>
        <v>18600</v>
      </c>
      <c r="L59">
        <f>(152*10^1)/0.1</f>
        <v>15200</v>
      </c>
      <c r="M59">
        <f>(44*10^2)/0.1</f>
        <v>44000</v>
      </c>
      <c r="N59">
        <f>(131*10^1)/0.1</f>
        <v>13100</v>
      </c>
      <c r="O59">
        <f>(252*10^0)/0.1</f>
        <v>2520</v>
      </c>
      <c r="P59">
        <f>(32*10^0)/0.1</f>
        <v>320</v>
      </c>
      <c r="Q59">
        <f>(43*10^1)/0.1</f>
        <v>4300</v>
      </c>
      <c r="R59">
        <f>(52*10^0)/0.1</f>
        <v>520</v>
      </c>
      <c r="S59">
        <f>(82*10^1)/0.1</f>
        <v>8200</v>
      </c>
      <c r="T59">
        <f>(23*10^0)/0.1</f>
        <v>230</v>
      </c>
      <c r="U59">
        <f>(324*10^1)/0.1</f>
        <v>32400</v>
      </c>
      <c r="V59">
        <f>(23*10^0)/0.1</f>
        <v>230</v>
      </c>
      <c r="W59">
        <f>(87*10^1)/0.1</f>
        <v>8700</v>
      </c>
      <c r="X59">
        <f>(4*10^0)/0.1</f>
        <v>40</v>
      </c>
      <c r="Y59">
        <f>(82*10^1)/0.1</f>
        <v>8200</v>
      </c>
      <c r="Z59">
        <f>(12*10^0)/0.1</f>
        <v>120</v>
      </c>
      <c r="AA59">
        <f>(39*10^1)/0.1</f>
        <v>3900</v>
      </c>
      <c r="AB59">
        <f>(34*10^0)/0.1</f>
        <v>340</v>
      </c>
    </row>
    <row r="60" spans="1:28" x14ac:dyDescent="0.2">
      <c r="D60" t="s">
        <v>242</v>
      </c>
      <c r="E60">
        <f>(116*10^1)/0.1</f>
        <v>11600</v>
      </c>
      <c r="G60">
        <f>(25*10^1)/0.1</f>
        <v>2500</v>
      </c>
      <c r="I60">
        <f>(94*10^0)/0.1</f>
        <v>940</v>
      </c>
      <c r="J60">
        <f t="shared" si="0"/>
        <v>0</v>
      </c>
      <c r="K60">
        <f>(126*10^0)/0.1</f>
        <v>1260</v>
      </c>
      <c r="L60">
        <f>(135*10^0)/0.1</f>
        <v>1350</v>
      </c>
      <c r="M60">
        <f>(160*10^1)/0.1</f>
        <v>16000</v>
      </c>
      <c r="N60">
        <f>(12*10^0)/0.1</f>
        <v>120</v>
      </c>
      <c r="O60">
        <f>(87*10^0)/0.1</f>
        <v>870</v>
      </c>
      <c r="P60">
        <f>(9*10^0)/0.1</f>
        <v>90</v>
      </c>
      <c r="Q60">
        <f>(185*10^1)/0.1</f>
        <v>18500</v>
      </c>
      <c r="R60">
        <f>(6*10^0)/0.1</f>
        <v>60</v>
      </c>
      <c r="S60">
        <f>(256*10^1)/0.1</f>
        <v>25600</v>
      </c>
      <c r="T60">
        <f>(27*10^0)/0.1</f>
        <v>270</v>
      </c>
      <c r="U60">
        <f>(254*10^1)/0.1</f>
        <v>25400</v>
      </c>
      <c r="V60">
        <f>(2*10^0)/0.1</f>
        <v>20</v>
      </c>
      <c r="W60">
        <f>(83*10^1)/0.1</f>
        <v>8300</v>
      </c>
      <c r="X60">
        <f>(19*10^0)/0.1</f>
        <v>190</v>
      </c>
      <c r="Y60">
        <f>(204*10^1)/0.1</f>
        <v>20400</v>
      </c>
      <c r="Z60">
        <f>(3*10^0)/0.1</f>
        <v>30</v>
      </c>
      <c r="AA60">
        <f>(180*10^1)/0.1</f>
        <v>18000</v>
      </c>
      <c r="AB60">
        <f>(21*10^0)/0.1</f>
        <v>210</v>
      </c>
    </row>
    <row r="61" spans="1:28" x14ac:dyDescent="0.2">
      <c r="D61" t="s">
        <v>243</v>
      </c>
      <c r="E61">
        <f>(108*10^1)/0.1</f>
        <v>10800</v>
      </c>
      <c r="G61">
        <f>(40*10^1)/0.1</f>
        <v>4000</v>
      </c>
      <c r="I61">
        <f>(187*10^0)/0.1</f>
        <v>1870</v>
      </c>
      <c r="J61">
        <f t="shared" si="0"/>
        <v>0</v>
      </c>
      <c r="K61">
        <f>(148*10^1)/0.1</f>
        <v>14800</v>
      </c>
      <c r="L61">
        <f>(57*10^1)/0.1</f>
        <v>5700</v>
      </c>
      <c r="M61">
        <f>(248*10^1)/0.1</f>
        <v>24800</v>
      </c>
      <c r="N61">
        <f>(115*10^0)/0.1</f>
        <v>1150</v>
      </c>
      <c r="O61">
        <f>(91*10^1)/0.1</f>
        <v>9100</v>
      </c>
      <c r="P61">
        <f>(36*10^1)/0.1</f>
        <v>3600</v>
      </c>
      <c r="Q61">
        <f>(54*10^1)/0.1</f>
        <v>5400</v>
      </c>
      <c r="R61">
        <f>(123*10^0)/0.1</f>
        <v>1230</v>
      </c>
      <c r="S61">
        <f>(67*10^1)/0.1</f>
        <v>6700</v>
      </c>
      <c r="T61">
        <f>(80*10^0)/0.1</f>
        <v>800</v>
      </c>
      <c r="U61">
        <f>(96*10^1)/0.1</f>
        <v>9600</v>
      </c>
      <c r="V61">
        <f>(32*10^1)/0.1</f>
        <v>3200</v>
      </c>
      <c r="W61">
        <f>(53*10^1)/0.1</f>
        <v>5300</v>
      </c>
      <c r="X61">
        <f>(11*10^0)/0.1</f>
        <v>110</v>
      </c>
      <c r="Y61">
        <f>(266*10^1)/0.1</f>
        <v>26600</v>
      </c>
      <c r="Z61">
        <f>(64*10^0)/0.1</f>
        <v>640</v>
      </c>
      <c r="AA61">
        <f>(167*10^1)/0.1</f>
        <v>16700</v>
      </c>
      <c r="AB61">
        <f>(7*10^0)/0.1</f>
        <v>70</v>
      </c>
    </row>
    <row r="62" spans="1:28" x14ac:dyDescent="0.2">
      <c r="D62" t="s">
        <v>244</v>
      </c>
      <c r="E62">
        <f>(116*10^1)/0.1</f>
        <v>11600</v>
      </c>
      <c r="G62">
        <f>(26*10^1)/0.1</f>
        <v>2600</v>
      </c>
      <c r="I62">
        <f>(129*10^1)/0.1</f>
        <v>12900</v>
      </c>
      <c r="J62">
        <f t="shared" si="0"/>
        <v>0</v>
      </c>
      <c r="K62">
        <f>(50*10^3)/0.1</f>
        <v>500000</v>
      </c>
      <c r="L62">
        <f>(43*10^3)/0.1</f>
        <v>430000</v>
      </c>
      <c r="M62">
        <f>(97*10^1)/0.1</f>
        <v>9700</v>
      </c>
      <c r="N62">
        <f>(20*10^0)/0.1</f>
        <v>200</v>
      </c>
      <c r="O62">
        <f>(181*10^1)/0.1</f>
        <v>18100</v>
      </c>
      <c r="P62">
        <f>(144*10^1)/0.1</f>
        <v>14400</v>
      </c>
      <c r="Q62">
        <f>(66*10^1)/0.1</f>
        <v>6600</v>
      </c>
      <c r="R62">
        <f>(50*10^1)/0.1</f>
        <v>5000</v>
      </c>
      <c r="S62">
        <f>(50*10^1)/0.1</f>
        <v>5000</v>
      </c>
      <c r="T62">
        <f>(45*10^0)/0.1</f>
        <v>450</v>
      </c>
      <c r="U62">
        <f>(124*10^1)/0.1</f>
        <v>12400</v>
      </c>
      <c r="V62">
        <f>(199*10^0)/0.1</f>
        <v>1990</v>
      </c>
      <c r="W62">
        <f>(53*10^1)/0.1</f>
        <v>5300</v>
      </c>
      <c r="X62">
        <f>(49*10^0)/0.1</f>
        <v>490</v>
      </c>
      <c r="Y62">
        <f>(98*10^1)/0.1</f>
        <v>9800</v>
      </c>
      <c r="Z62">
        <f>(161*10^0)/0.1</f>
        <v>1610</v>
      </c>
      <c r="AA62">
        <f>(110*10^1)/0.1</f>
        <v>11000</v>
      </c>
      <c r="AB62">
        <f>(264*10^0)/0.1</f>
        <v>2640</v>
      </c>
    </row>
    <row r="63" spans="1:28" x14ac:dyDescent="0.2">
      <c r="D63" t="s">
        <v>245</v>
      </c>
      <c r="E63">
        <f>(230*10^1)/0.1</f>
        <v>23000</v>
      </c>
      <c r="G63">
        <f>(87*10^1)/0.1</f>
        <v>8700</v>
      </c>
      <c r="I63">
        <f>(62*10^1)/0.1</f>
        <v>6200</v>
      </c>
      <c r="J63">
        <f t="shared" si="0"/>
        <v>0</v>
      </c>
      <c r="K63">
        <f>(97*10^2)/0.1</f>
        <v>97000</v>
      </c>
      <c r="L63">
        <f>(67*10^2)/0.1</f>
        <v>67000</v>
      </c>
      <c r="M63">
        <f>(352*10^1)/0.1</f>
        <v>35200</v>
      </c>
      <c r="N63">
        <f>(132*10^0)/0.1</f>
        <v>1320</v>
      </c>
      <c r="O63">
        <f>(45*10^1)/0.1</f>
        <v>4500</v>
      </c>
      <c r="P63">
        <f>(10*10^0)/0.1</f>
        <v>100</v>
      </c>
      <c r="Q63">
        <f>(55*10^1)/0.1</f>
        <v>5500</v>
      </c>
      <c r="R63">
        <f>(7*10^0)/0.1</f>
        <v>70</v>
      </c>
      <c r="S63">
        <f>(268*10^1)/0.1</f>
        <v>26800</v>
      </c>
      <c r="T63">
        <f>(6*10^0)/0.1</f>
        <v>60</v>
      </c>
      <c r="U63">
        <f>(179*10^1)/0.1</f>
        <v>17900</v>
      </c>
      <c r="V63">
        <f>(74*10^0)/0.1</f>
        <v>740</v>
      </c>
      <c r="W63">
        <f>(294*10^1)/0.1</f>
        <v>29400</v>
      </c>
      <c r="X63">
        <f>(44*10^0)/0.1</f>
        <v>440</v>
      </c>
      <c r="Y63">
        <f>(55*10^2)/0.1</f>
        <v>55000</v>
      </c>
      <c r="Z63">
        <f>(9*10^0)/0.1</f>
        <v>90</v>
      </c>
      <c r="AA63">
        <f>(189*10^1)/0.1</f>
        <v>18900</v>
      </c>
      <c r="AB63">
        <f>(24*10^0)/0.1</f>
        <v>240</v>
      </c>
    </row>
    <row r="64" spans="1:28" x14ac:dyDescent="0.2">
      <c r="D64" t="s">
        <v>246</v>
      </c>
      <c r="E64">
        <f>(159*10^1)/0.1</f>
        <v>15900</v>
      </c>
      <c r="G64">
        <f>(39*10^1)/0.1</f>
        <v>3900</v>
      </c>
      <c r="I64">
        <f>(92*10^1)/0.1</f>
        <v>9200</v>
      </c>
      <c r="J64">
        <f t="shared" si="0"/>
        <v>0</v>
      </c>
      <c r="K64">
        <f>(77*10^0)/0.1</f>
        <v>770</v>
      </c>
      <c r="L64">
        <f>(64*10^0)/0.1</f>
        <v>640</v>
      </c>
      <c r="M64">
        <f>(96*10^1)/0.1</f>
        <v>9600</v>
      </c>
      <c r="N64">
        <f>(20*10^0)/0.1</f>
        <v>200</v>
      </c>
      <c r="O64">
        <f>(244*10^0)/0.1</f>
        <v>2440</v>
      </c>
      <c r="P64">
        <f>(93*10^0)/0.1</f>
        <v>930</v>
      </c>
      <c r="Q64">
        <f>(145*10^0)/0.1</f>
        <v>1450</v>
      </c>
      <c r="R64">
        <f>(21*10^0)/0.1</f>
        <v>210</v>
      </c>
      <c r="S64">
        <f>(103*10^1)/0.1</f>
        <v>10300</v>
      </c>
      <c r="T64">
        <f>(104*10^0)/0.1</f>
        <v>1040</v>
      </c>
      <c r="U64">
        <f>(175*10^1)/0.1</f>
        <v>17500</v>
      </c>
      <c r="V64">
        <f>(6*10^0)/0.1</f>
        <v>60</v>
      </c>
      <c r="W64">
        <f>(257*10^1)/0.1</f>
        <v>25700</v>
      </c>
      <c r="X64">
        <f>(5*10^0)/0.1</f>
        <v>50</v>
      </c>
      <c r="Y64">
        <f>(123*10^1)/0.1</f>
        <v>12300</v>
      </c>
      <c r="Z64">
        <f>(10*10^0)/0.1</f>
        <v>100</v>
      </c>
      <c r="AA64">
        <f>(43*10^2)/0.1</f>
        <v>43000</v>
      </c>
      <c r="AB64">
        <f>(111*10^0)/0.1</f>
        <v>1110</v>
      </c>
    </row>
    <row r="65" spans="1:29" x14ac:dyDescent="0.2">
      <c r="D65" t="s">
        <v>247</v>
      </c>
      <c r="E65">
        <f>(72*10^1)/0.1</f>
        <v>7200</v>
      </c>
      <c r="G65">
        <f>(27*10^1)/0.1</f>
        <v>2700</v>
      </c>
      <c r="I65">
        <f>(58*10^1)/0.1</f>
        <v>5800</v>
      </c>
      <c r="J65">
        <f t="shared" si="0"/>
        <v>0</v>
      </c>
      <c r="K65">
        <f>(94*10^2)/0.1</f>
        <v>94000</v>
      </c>
      <c r="L65">
        <f>(88*10^2)/0.1</f>
        <v>88000</v>
      </c>
      <c r="M65">
        <f>(169*10^1)/0.1</f>
        <v>16900</v>
      </c>
      <c r="N65">
        <f>(102*10^0)/0.1</f>
        <v>1020</v>
      </c>
      <c r="O65">
        <f>(127*10^1)/0.1</f>
        <v>12700</v>
      </c>
      <c r="P65">
        <f>(57*10^1)/0.1</f>
        <v>5700</v>
      </c>
      <c r="Q65">
        <f>(254*10^0)/0.1</f>
        <v>2540</v>
      </c>
      <c r="R65">
        <f>(25*10^0)/0.1</f>
        <v>250</v>
      </c>
      <c r="S65">
        <f>(32*10^1)/0.1</f>
        <v>3200</v>
      </c>
      <c r="T65">
        <f>(13*10^0)/0.1</f>
        <v>130</v>
      </c>
      <c r="U65">
        <f>(90*10^1)/0.1</f>
        <v>9000</v>
      </c>
      <c r="V65">
        <f>(6*10^0)/0.1</f>
        <v>60</v>
      </c>
      <c r="W65">
        <f>(88*10^1)/0.1</f>
        <v>8800</v>
      </c>
      <c r="X65">
        <f>(9*10^0)/0.1</f>
        <v>90</v>
      </c>
      <c r="Y65">
        <f>(130*10^1)/0.1</f>
        <v>13000</v>
      </c>
      <c r="Z65">
        <f>(11*10^0)/0.1</f>
        <v>110</v>
      </c>
      <c r="AA65">
        <f>(195*10^1)/0.1</f>
        <v>19500</v>
      </c>
      <c r="AB65">
        <f>(15*10^0)/0.1</f>
        <v>150</v>
      </c>
    </row>
    <row r="66" spans="1:29" s="10" customFormat="1" x14ac:dyDescent="0.2">
      <c r="D66" s="10" t="s">
        <v>248</v>
      </c>
      <c r="E66" s="10">
        <f>(98*10^1)/0.1</f>
        <v>9800</v>
      </c>
      <c r="G66" s="10">
        <f>(27*10^1)/0.1</f>
        <v>2700</v>
      </c>
      <c r="I66" s="10">
        <f>(54*10^1)/0.1</f>
        <v>5400</v>
      </c>
      <c r="J66" s="10">
        <f t="shared" si="0"/>
        <v>0</v>
      </c>
      <c r="K66" s="10">
        <f>(131*10^0)/0.1</f>
        <v>1310</v>
      </c>
      <c r="L66" s="10">
        <f>(78*10^0)/0.1</f>
        <v>780</v>
      </c>
      <c r="M66" s="10">
        <f>(167*10^1)/0.1</f>
        <v>16700</v>
      </c>
      <c r="N66" s="10">
        <f>(12*10^0)/0.1</f>
        <v>120</v>
      </c>
      <c r="O66" s="10">
        <f>(55*10^1)/0.1</f>
        <v>5500</v>
      </c>
      <c r="P66" s="10">
        <f>(8*10^0)/0.1</f>
        <v>80</v>
      </c>
      <c r="Q66" s="10">
        <f>(76*10^1)/0.1</f>
        <v>7600</v>
      </c>
      <c r="R66" s="10">
        <f>(3*10^0)/0.1</f>
        <v>30</v>
      </c>
      <c r="S66" s="10">
        <f>(189*10^1)/0.1</f>
        <v>18900</v>
      </c>
      <c r="T66" s="10">
        <f>(3*10^0)/0.1</f>
        <v>30</v>
      </c>
      <c r="U66" s="10">
        <f>(51*10^2)/0.1</f>
        <v>51000</v>
      </c>
      <c r="V66" s="10">
        <f>(11*10^0)/0.1</f>
        <v>110</v>
      </c>
      <c r="W66" s="10">
        <f>(67*10^1)/0.1</f>
        <v>6700</v>
      </c>
      <c r="X66" s="10">
        <f t="shared" ref="X66" si="4">(0*10^0)/0.1</f>
        <v>0</v>
      </c>
      <c r="Y66" s="10">
        <f>(191*10^2)/0.1</f>
        <v>191000</v>
      </c>
      <c r="Z66" s="10">
        <f t="shared" ref="Z66" si="5">(0*10^0)/0.1</f>
        <v>0</v>
      </c>
      <c r="AA66" s="10">
        <f>(58*10^1)/0.1</f>
        <v>5800</v>
      </c>
      <c r="AB66" s="10">
        <f>(5*10^0)/0.1</f>
        <v>50</v>
      </c>
    </row>
    <row r="69" spans="1:29" x14ac:dyDescent="0.2">
      <c r="E69" s="66" t="s">
        <v>275</v>
      </c>
      <c r="F69" s="66"/>
      <c r="G69" s="66" t="s">
        <v>277</v>
      </c>
      <c r="H69" s="66"/>
      <c r="I69" s="66" t="s">
        <v>218</v>
      </c>
      <c r="J69" s="66"/>
      <c r="K69" s="66" t="s">
        <v>0</v>
      </c>
      <c r="L69" s="66"/>
      <c r="M69" s="66" t="s">
        <v>1</v>
      </c>
      <c r="N69" s="66"/>
      <c r="O69" s="66" t="s">
        <v>222</v>
      </c>
      <c r="P69" s="66"/>
      <c r="Q69" s="66" t="s">
        <v>2</v>
      </c>
      <c r="R69" s="66"/>
      <c r="S69" s="66" t="s">
        <v>225</v>
      </c>
      <c r="T69" s="66"/>
      <c r="U69" s="66" t="s">
        <v>3</v>
      </c>
      <c r="V69" s="66"/>
      <c r="W69" s="66" t="s">
        <v>228</v>
      </c>
      <c r="X69" s="66"/>
      <c r="Y69" s="66" t="s">
        <v>4</v>
      </c>
      <c r="Z69" s="66"/>
      <c r="AA69" s="66" t="s">
        <v>231</v>
      </c>
      <c r="AB69" s="66"/>
    </row>
    <row r="70" spans="1:29" x14ac:dyDescent="0.2">
      <c r="A70" t="s">
        <v>20</v>
      </c>
      <c r="E70" t="s">
        <v>279</v>
      </c>
      <c r="G70" t="s">
        <v>279</v>
      </c>
      <c r="I70" t="s">
        <v>279</v>
      </c>
      <c r="J70" t="s">
        <v>281</v>
      </c>
      <c r="K70" t="s">
        <v>279</v>
      </c>
      <c r="L70" t="s">
        <v>281</v>
      </c>
      <c r="M70" t="s">
        <v>279</v>
      </c>
      <c r="N70" t="s">
        <v>281</v>
      </c>
      <c r="O70" t="s">
        <v>279</v>
      </c>
      <c r="P70" t="s">
        <v>281</v>
      </c>
      <c r="Q70" t="s">
        <v>279</v>
      </c>
      <c r="R70" t="s">
        <v>281</v>
      </c>
      <c r="S70" t="s">
        <v>279</v>
      </c>
      <c r="T70" t="s">
        <v>281</v>
      </c>
      <c r="U70" t="s">
        <v>279</v>
      </c>
      <c r="V70" t="s">
        <v>281</v>
      </c>
      <c r="W70" t="s">
        <v>279</v>
      </c>
      <c r="X70" t="s">
        <v>281</v>
      </c>
      <c r="Y70" t="s">
        <v>279</v>
      </c>
      <c r="Z70" t="s">
        <v>281</v>
      </c>
      <c r="AA70" t="s">
        <v>279</v>
      </c>
      <c r="AB70" t="s">
        <v>281</v>
      </c>
    </row>
    <row r="71" spans="1:29" x14ac:dyDescent="0.2">
      <c r="D71" s="19" t="s">
        <v>233</v>
      </c>
      <c r="E71">
        <f>E51/E31</f>
        <v>170807.45341614934</v>
      </c>
      <c r="G71">
        <f>G51/F31</f>
        <v>76271.186440677935</v>
      </c>
      <c r="I71">
        <f>I51/G31</f>
        <v>48327.137546468337</v>
      </c>
      <c r="J71">
        <f>J51/G31</f>
        <v>0</v>
      </c>
      <c r="K71">
        <f>K51/H31</f>
        <v>124505.92885375499</v>
      </c>
      <c r="L71">
        <f>L51/H31</f>
        <v>71146.245059288573</v>
      </c>
      <c r="M71">
        <f>M51/I31</f>
        <v>635658.91472868109</v>
      </c>
      <c r="N71">
        <f>N51/I31</f>
        <v>155.03875968992222</v>
      </c>
      <c r="O71">
        <f>O51/J31</f>
        <v>19295.302013422788</v>
      </c>
      <c r="P71">
        <f>P51/J31</f>
        <v>0</v>
      </c>
      <c r="Q71">
        <f>Q51/K31</f>
        <v>122749.59083469713</v>
      </c>
      <c r="R71">
        <f>R51/K31</f>
        <v>0</v>
      </c>
      <c r="S71">
        <f>S51/L31</f>
        <v>43804.755944931181</v>
      </c>
      <c r="T71">
        <f>T51/L31</f>
        <v>0</v>
      </c>
      <c r="U71">
        <f>U51/M31</f>
        <v>176470.58823529418</v>
      </c>
      <c r="V71">
        <f>V51/M31</f>
        <v>20775.969962453073</v>
      </c>
      <c r="W71">
        <f>W51/N31</f>
        <v>185185.18518518528</v>
      </c>
      <c r="X71">
        <f>X51/N31</f>
        <v>3703.7037037037053</v>
      </c>
      <c r="Y71">
        <f>Y51/O31</f>
        <v>454237.28813559283</v>
      </c>
      <c r="Z71">
        <f>Z51/O31</f>
        <v>4915.2542372881317</v>
      </c>
      <c r="AA71">
        <f>AA51/P31</f>
        <v>356923.07692307659</v>
      </c>
      <c r="AB71">
        <f>AB51/P31</f>
        <v>5846.1538461538412</v>
      </c>
      <c r="AC71">
        <f>AB71/AA71</f>
        <v>1.6379310344827588E-2</v>
      </c>
    </row>
    <row r="72" spans="1:29" x14ac:dyDescent="0.2">
      <c r="D72" s="19" t="s">
        <v>234</v>
      </c>
      <c r="E72">
        <f>E52/E32</f>
        <v>100751.87969924828</v>
      </c>
      <c r="G72">
        <f>G52/F32</f>
        <v>58935.36121673006</v>
      </c>
      <c r="I72">
        <f>I52/G32</f>
        <v>106779.66101694926</v>
      </c>
      <c r="J72">
        <f>J52/G32</f>
        <v>0</v>
      </c>
      <c r="K72">
        <f>K52/H32</f>
        <v>75242.71844660191</v>
      </c>
      <c r="L72">
        <f>L52/H32</f>
        <v>6310.6796116504829</v>
      </c>
      <c r="M72">
        <f>M52/I32</f>
        <v>355769.23076923122</v>
      </c>
      <c r="N72">
        <f>N52/I32</f>
        <v>0</v>
      </c>
      <c r="O72">
        <f>O52/J32</f>
        <v>135802.46913580227</v>
      </c>
      <c r="P72">
        <f>P52/J32</f>
        <v>0</v>
      </c>
      <c r="Q72">
        <f>Q52/K32</f>
        <v>74468.085106382889</v>
      </c>
      <c r="R72">
        <f>R52/K32</f>
        <v>0</v>
      </c>
      <c r="S72">
        <f>S52/L32</f>
        <v>920329.67032967065</v>
      </c>
      <c r="T72">
        <f>T52/L32</f>
        <v>0</v>
      </c>
      <c r="U72">
        <f>U52/M32</f>
        <v>93406.593406593442</v>
      </c>
      <c r="V72">
        <f>V52/M32</f>
        <v>5494.5054945054962</v>
      </c>
      <c r="W72">
        <f>W52/N32</f>
        <v>5150684.9315068452</v>
      </c>
      <c r="X72">
        <f>X52/N32</f>
        <v>2794520.5479452028</v>
      </c>
      <c r="Y72">
        <f>Y52/O32</f>
        <v>607773.85159010615</v>
      </c>
      <c r="Z72">
        <f>Z52/O32</f>
        <v>266784.45229681989</v>
      </c>
      <c r="AA72">
        <f>AA52/P32</f>
        <v>407185.62874251488</v>
      </c>
      <c r="AB72">
        <f>AB52/P32</f>
        <v>29940.119760479036</v>
      </c>
      <c r="AC72">
        <f t="shared" ref="AC72:AC86" si="6">AB72/AA72</f>
        <v>7.3529411764705885E-2</v>
      </c>
    </row>
    <row r="73" spans="1:29" x14ac:dyDescent="0.2">
      <c r="D73" s="19" t="s">
        <v>235</v>
      </c>
      <c r="E73">
        <f>E53/E33</f>
        <v>196172.24880382782</v>
      </c>
      <c r="G73">
        <f>G53/F33</f>
        <v>41050.903119868672</v>
      </c>
      <c r="I73">
        <f>I53/G33</f>
        <v>14255.983350676384</v>
      </c>
      <c r="J73">
        <f>J53/G33</f>
        <v>6659.7294484911572</v>
      </c>
      <c r="K73">
        <f>K53/H33</f>
        <v>1220379.1469194309</v>
      </c>
      <c r="L73">
        <f>L53/H33</f>
        <v>1078199.052132701</v>
      </c>
      <c r="M73">
        <f>M53/I33</f>
        <v>83715.596330275177</v>
      </c>
      <c r="N73">
        <f>N53/I33</f>
        <v>15596.330275229348</v>
      </c>
      <c r="O73">
        <f>O53/J33</f>
        <v>12868.949232585597</v>
      </c>
      <c r="P73">
        <f>P53/J33</f>
        <v>472.25501770956316</v>
      </c>
      <c r="Q73">
        <f>Q53/K33</f>
        <v>123266.56394452992</v>
      </c>
      <c r="R73">
        <f>R53/K33</f>
        <v>462.2496147919872</v>
      </c>
      <c r="S73">
        <f>S53/L33</f>
        <v>201587.30158730177</v>
      </c>
      <c r="T73">
        <f>T53/L33</f>
        <v>793.6507936507943</v>
      </c>
      <c r="U73">
        <f>U53/M33</f>
        <v>163492.06349206364</v>
      </c>
      <c r="V73">
        <f>V53/M33</f>
        <v>1746.0317460317476</v>
      </c>
      <c r="W73">
        <f>W53/N33</f>
        <v>110169.49152542377</v>
      </c>
      <c r="X73">
        <f>X53/N33</f>
        <v>10028.248587570624</v>
      </c>
      <c r="Y73">
        <f>Y53/O33</f>
        <v>211382.11382113796</v>
      </c>
      <c r="Z73">
        <f>Z53/O33</f>
        <v>9349.5934959349488</v>
      </c>
      <c r="AA73">
        <f>AA53/P33</f>
        <v>128827.87750791988</v>
      </c>
      <c r="AB73">
        <f>AB53/P33</f>
        <v>4963.0411826821601</v>
      </c>
      <c r="AC73">
        <f t="shared" si="6"/>
        <v>3.8524590163934433E-2</v>
      </c>
    </row>
    <row r="74" spans="1:29" x14ac:dyDescent="0.2">
      <c r="D74" s="19" t="s">
        <v>236</v>
      </c>
      <c r="E74">
        <f>E54/E34</f>
        <v>372322.89950576553</v>
      </c>
      <c r="G74">
        <f>G54/F34</f>
        <v>21164.772727272721</v>
      </c>
      <c r="I74">
        <f>I54/G34</f>
        <v>55555.555555555591</v>
      </c>
      <c r="J74">
        <f>J54/G34</f>
        <v>0</v>
      </c>
      <c r="K74">
        <f>K54/H34</f>
        <v>274242.42424242449</v>
      </c>
      <c r="L74">
        <f>L54/H34</f>
        <v>184848.48484848501</v>
      </c>
      <c r="M74">
        <f>M54/I34</f>
        <v>115723.27044025171</v>
      </c>
      <c r="N74">
        <f>N54/I34</f>
        <v>25157.232704402548</v>
      </c>
      <c r="O74">
        <f>O54/J34</f>
        <v>75704.225352112582</v>
      </c>
      <c r="P74">
        <f>P54/J34</f>
        <v>1936.6197183098566</v>
      </c>
      <c r="Q74">
        <f>Q54/K34</f>
        <v>102420.85661080081</v>
      </c>
      <c r="R74">
        <f>R54/K34</f>
        <v>2793.2960893854765</v>
      </c>
      <c r="S74">
        <f>S54/L34</f>
        <v>41313.559322033878</v>
      </c>
      <c r="T74">
        <f>T54/L34</f>
        <v>1377.1186440677961</v>
      </c>
      <c r="U74">
        <f>U54/M34</f>
        <v>133474.57627118638</v>
      </c>
      <c r="V74">
        <f>V54/M34</f>
        <v>1165.2542372881351</v>
      </c>
      <c r="W74">
        <f>W54/N34</f>
        <v>133239.83169705464</v>
      </c>
      <c r="X74">
        <f>X54/N34</f>
        <v>13744.74053295932</v>
      </c>
      <c r="Y74">
        <f>Y54/O34</f>
        <v>189655.17241379325</v>
      </c>
      <c r="Z74">
        <f>Z54/O34</f>
        <v>28201.970443349775</v>
      </c>
      <c r="AA74">
        <f>AA54/P34</f>
        <v>206963.24951644157</v>
      </c>
      <c r="AB74">
        <f>AB54/P34</f>
        <v>10831.721470019373</v>
      </c>
      <c r="AC74">
        <f t="shared" si="6"/>
        <v>5.2336448598130844E-2</v>
      </c>
    </row>
    <row r="75" spans="1:29" x14ac:dyDescent="0.2">
      <c r="D75" s="19" t="s">
        <v>237</v>
      </c>
      <c r="E75">
        <f>E55/E35</f>
        <v>299483.64888123906</v>
      </c>
      <c r="G75">
        <f>G55/F35</f>
        <v>7667.7316293929725</v>
      </c>
      <c r="I75">
        <f>I55/G35</f>
        <v>214859.43775100421</v>
      </c>
      <c r="J75">
        <f>J55/G35</f>
        <v>0</v>
      </c>
      <c r="K75">
        <f>K55/H35</f>
        <v>95400.340715502593</v>
      </c>
      <c r="L75">
        <f>L55/H35</f>
        <v>18739.352640545152</v>
      </c>
      <c r="M75">
        <f>M55/I35</f>
        <v>178318.13576494445</v>
      </c>
      <c r="N75">
        <f>N55/I35</f>
        <v>0</v>
      </c>
      <c r="O75">
        <f>O55/J35</f>
        <v>18656.716417910455</v>
      </c>
      <c r="P75">
        <f>P55/J35</f>
        <v>7835.8208955223909</v>
      </c>
      <c r="Q75">
        <f>Q55/K35</f>
        <v>131886.4774624375</v>
      </c>
      <c r="R75">
        <f>R55/K35</f>
        <v>0</v>
      </c>
      <c r="S75">
        <f>S55/L35</f>
        <v>240181.26888217469</v>
      </c>
      <c r="T75">
        <f>T55/L35</f>
        <v>0</v>
      </c>
      <c r="U75">
        <f>U55/M35</f>
        <v>664652.56797582936</v>
      </c>
      <c r="V75">
        <f>V55/M35</f>
        <v>453.17220543806548</v>
      </c>
      <c r="W75">
        <f>W55/N35</f>
        <v>7091412.7423822787</v>
      </c>
      <c r="X75">
        <f>X55/N35</f>
        <v>127423.82271468156</v>
      </c>
      <c r="Y75">
        <f>Y55/O35</f>
        <v>9278350.5154639035</v>
      </c>
      <c r="Z75">
        <f>Z55/O35</f>
        <v>1159793.8144329879</v>
      </c>
      <c r="AA75">
        <f>AA55/P35</f>
        <v>8346213.2921174821</v>
      </c>
      <c r="AB75">
        <f>AB55/P35</f>
        <v>1020092.7357032478</v>
      </c>
      <c r="AC75">
        <f t="shared" si="6"/>
        <v>0.12222222222222223</v>
      </c>
    </row>
    <row r="76" spans="1:29" x14ac:dyDescent="0.2">
      <c r="D76" s="19" t="s">
        <v>238</v>
      </c>
      <c r="E76">
        <f>E56/E36</f>
        <v>214414.41441441444</v>
      </c>
      <c r="G76">
        <f>G56/F36</f>
        <v>15436.241610738258</v>
      </c>
      <c r="I76">
        <f>I56/G36</f>
        <v>9705.3726169843885</v>
      </c>
      <c r="J76">
        <f>J56/G36</f>
        <v>0</v>
      </c>
      <c r="K76">
        <f>K56/H36</f>
        <v>98846.787479406776</v>
      </c>
      <c r="L76">
        <f>L56/H36</f>
        <v>54365.733113673727</v>
      </c>
      <c r="M76">
        <f>M56/I36</f>
        <v>154555.94002306784</v>
      </c>
      <c r="N76">
        <f>N56/I36</f>
        <v>5767.0126874279049</v>
      </c>
      <c r="O76">
        <f>O56/J36</f>
        <v>230519.48051948097</v>
      </c>
      <c r="P76">
        <f>P56/J36</f>
        <v>974.02597402597598</v>
      </c>
      <c r="Q76">
        <f>Q56/K36</f>
        <v>113585.74610245004</v>
      </c>
      <c r="R76">
        <f>R56/K36</f>
        <v>1559.0200445434318</v>
      </c>
      <c r="S76">
        <f>S56/L36</f>
        <v>71428.571428571333</v>
      </c>
      <c r="T76">
        <f>T56/L36</f>
        <v>1020.4081632653048</v>
      </c>
      <c r="U76">
        <f>U56/M36</f>
        <v>117346.93877551006</v>
      </c>
      <c r="V76">
        <f>V56/M36</f>
        <v>1020.4081632653048</v>
      </c>
      <c r="W76">
        <f>W56/N36</f>
        <v>430158.73015873053</v>
      </c>
      <c r="X76">
        <f>X56/N36</f>
        <v>2222.222222222224</v>
      </c>
      <c r="Y76">
        <f>Y56/O36</f>
        <v>386850.15290519933</v>
      </c>
      <c r="Z76">
        <f>Z56/O36</f>
        <v>1987.7675840978623</v>
      </c>
      <c r="AA76">
        <f>AA56/P36</f>
        <v>472779.3696275081</v>
      </c>
      <c r="AB76">
        <f>AB56/P36</f>
        <v>37249.28366762185</v>
      </c>
      <c r="AC76">
        <f t="shared" si="6"/>
        <v>7.8787878787878782E-2</v>
      </c>
    </row>
    <row r="77" spans="1:29" x14ac:dyDescent="0.2">
      <c r="D77" s="19" t="s">
        <v>239</v>
      </c>
      <c r="E77">
        <f>E57/E37</f>
        <v>-22994.540109197816</v>
      </c>
      <c r="G77">
        <f>G57/F37</f>
        <v>8175.5593803786514</v>
      </c>
      <c r="I77">
        <f>I57/G37</f>
        <v>23299.748110831228</v>
      </c>
      <c r="J77">
        <f>J57/G37</f>
        <v>0</v>
      </c>
      <c r="K77">
        <f>K57/H37</f>
        <v>1117824.7734138966</v>
      </c>
      <c r="L77">
        <f>L57/H37</f>
        <v>1163141.9939577032</v>
      </c>
      <c r="M77">
        <f>M57/I37</f>
        <v>1966527.19665272</v>
      </c>
      <c r="N77">
        <f>N57/I37</f>
        <v>446304.04463040456</v>
      </c>
      <c r="O77">
        <f>O57/J37</f>
        <v>94313.453536754445</v>
      </c>
      <c r="P77">
        <f>P57/J37</f>
        <v>0</v>
      </c>
      <c r="Q77">
        <f>Q57/K37</f>
        <v>50480.769230769263</v>
      </c>
      <c r="R77">
        <f>R57/K37</f>
        <v>1322.1153846153857</v>
      </c>
      <c r="S77">
        <f>S57/L37</f>
        <v>60000.000000000022</v>
      </c>
      <c r="T77">
        <f>T57/L37</f>
        <v>0</v>
      </c>
      <c r="U77">
        <f>U57/M37</f>
        <v>322222.22222222231</v>
      </c>
      <c r="V77">
        <f>V57/M37</f>
        <v>1000.0000000000003</v>
      </c>
      <c r="W77">
        <f>W57/N37</f>
        <v>2738944.36519258</v>
      </c>
      <c r="X77">
        <f>X57/N37</f>
        <v>186875.89158345209</v>
      </c>
      <c r="Y77">
        <f>Y57/O37</f>
        <v>6149732.6203208575</v>
      </c>
      <c r="Z77">
        <f>Z57/O37</f>
        <v>294117.64705882361</v>
      </c>
      <c r="AA77">
        <f>AA57/P37</f>
        <v>60076045.627376325</v>
      </c>
      <c r="AB77">
        <f>AB57/P37</f>
        <v>6463878.3269961867</v>
      </c>
      <c r="AC77">
        <f t="shared" si="6"/>
        <v>0.10759493670886075</v>
      </c>
    </row>
    <row r="78" spans="1:29" s="10" customFormat="1" x14ac:dyDescent="0.2">
      <c r="D78" s="20" t="s">
        <v>240</v>
      </c>
      <c r="E78" s="10">
        <f>E58/E38</f>
        <v>19547.872340425522</v>
      </c>
      <c r="G78" s="10">
        <f>G58/F38</f>
        <v>11714.285714285723</v>
      </c>
      <c r="I78" s="10">
        <f>I58/G38</f>
        <v>16366.366366366368</v>
      </c>
      <c r="J78" s="10">
        <f>J58/G38</f>
        <v>0</v>
      </c>
      <c r="K78" s="10">
        <f>K58/H38</f>
        <v>11655.405405405421</v>
      </c>
      <c r="L78" s="10">
        <f>L58/H38</f>
        <v>5067.5675675675748</v>
      </c>
      <c r="M78" s="10">
        <f>M58/I38</f>
        <v>370000.00000000035</v>
      </c>
      <c r="N78" s="10">
        <f>N58/I38</f>
        <v>166.66666666666683</v>
      </c>
      <c r="O78" s="10">
        <f>O58/J38</f>
        <v>8850.9316770186324</v>
      </c>
      <c r="P78" s="10">
        <f>P58/J38</f>
        <v>3105.5900621118008</v>
      </c>
      <c r="Q78" s="10">
        <f>Q58/K38</f>
        <v>17317.708333333361</v>
      </c>
      <c r="R78" s="10">
        <f>R58/K38</f>
        <v>1302.0833333333355</v>
      </c>
      <c r="S78" s="10">
        <f>S58/L38</f>
        <v>64459.930313588717</v>
      </c>
      <c r="T78" s="10">
        <f>T58/L38</f>
        <v>2787.4564459930257</v>
      </c>
      <c r="U78" s="10">
        <f>U58/M38</f>
        <v>155052.26480836206</v>
      </c>
      <c r="V78" s="10">
        <f>V58/M38</f>
        <v>2090.5923344947691</v>
      </c>
      <c r="W78" s="10">
        <f>W58/N38</f>
        <v>162637.3626373627</v>
      </c>
      <c r="X78" s="10">
        <f>X58/N38</f>
        <v>18461.538461538468</v>
      </c>
      <c r="Y78" s="10">
        <f>Y58/O38</f>
        <v>161290.32258064504</v>
      </c>
      <c r="Z78" s="10">
        <f>Z58/O38</f>
        <v>9523.8095238095175</v>
      </c>
      <c r="AA78" s="10">
        <f>AA58/P38</f>
        <v>89411.764705882393</v>
      </c>
      <c r="AB78" s="10">
        <f>AB58/P38</f>
        <v>823.5294117647062</v>
      </c>
      <c r="AC78">
        <f t="shared" si="6"/>
        <v>9.2105263157894728E-3</v>
      </c>
    </row>
    <row r="79" spans="1:29" x14ac:dyDescent="0.2">
      <c r="D79" s="21" t="s">
        <v>241</v>
      </c>
      <c r="E79">
        <f>E59/E39</f>
        <v>145869.94727592252</v>
      </c>
      <c r="G79">
        <f>G59/F39</f>
        <v>55641.421947449788</v>
      </c>
      <c r="I79">
        <f>I59/G39</f>
        <v>99009.900990098817</v>
      </c>
      <c r="J79">
        <f>J59/G39</f>
        <v>0</v>
      </c>
      <c r="K79">
        <f>K59/H39</f>
        <v>407002.18818380777</v>
      </c>
      <c r="L79">
        <f>L59/H39</f>
        <v>332603.93873085367</v>
      </c>
      <c r="M79">
        <f>M59/I39</f>
        <v>754716.98113207379</v>
      </c>
      <c r="N79">
        <f>N59/I39</f>
        <v>224699.82847341287</v>
      </c>
      <c r="O79">
        <f>O59/J39</f>
        <v>44680.851063829781</v>
      </c>
      <c r="P79">
        <f>P59/J39</f>
        <v>5673.7588652482264</v>
      </c>
      <c r="Q79">
        <f>Q59/K39</f>
        <v>93886.462882095948</v>
      </c>
      <c r="R79">
        <f>R59/K39</f>
        <v>11353.711790392998</v>
      </c>
      <c r="S79">
        <f>S59/L39</f>
        <v>181818.18181818214</v>
      </c>
      <c r="T79">
        <f>T59/L39</f>
        <v>5099.7782705099871</v>
      </c>
      <c r="U79">
        <f>U59/M39</f>
        <v>718403.54767184169</v>
      </c>
      <c r="V79">
        <f>V59/M39</f>
        <v>5099.7782705099871</v>
      </c>
      <c r="W79">
        <f>W59/N39</f>
        <v>21024.64958917351</v>
      </c>
      <c r="X79">
        <f>X59/N39</f>
        <v>96.66505558240695</v>
      </c>
      <c r="Y79">
        <f>Y59/O39</f>
        <v>104193.13850063534</v>
      </c>
      <c r="Z79">
        <f>Z59/O39</f>
        <v>1524.7776365946634</v>
      </c>
      <c r="AA79">
        <f>AA59/P39</f>
        <v>42071.197411003232</v>
      </c>
      <c r="AB79">
        <f>AB59/P39</f>
        <v>3667.7454153182307</v>
      </c>
      <c r="AC79">
        <f t="shared" si="6"/>
        <v>8.7179487179487189E-2</v>
      </c>
    </row>
    <row r="80" spans="1:29" x14ac:dyDescent="0.2">
      <c r="D80" s="21" t="s">
        <v>242</v>
      </c>
      <c r="E80">
        <f>E60/E40</f>
        <v>194957.98319327694</v>
      </c>
      <c r="G80">
        <f>G60/F40</f>
        <v>23719.16508538901</v>
      </c>
      <c r="I80">
        <f>I60/G40</f>
        <v>24479.166666666744</v>
      </c>
      <c r="J80">
        <f>J60/G40</f>
        <v>0</v>
      </c>
      <c r="K80">
        <f>K60/H40</f>
        <v>19534.883720930233</v>
      </c>
      <c r="L80">
        <f>L60/H40</f>
        <v>20930.232558139534</v>
      </c>
      <c r="M80">
        <f>M60/I40</f>
        <v>331262.93995859206</v>
      </c>
      <c r="N80">
        <f>N60/I40</f>
        <v>2484.4720496894406</v>
      </c>
      <c r="O80">
        <f>O60/J40</f>
        <v>16201.117318435763</v>
      </c>
      <c r="P80">
        <f>P60/J40</f>
        <v>1675.9776536312859</v>
      </c>
      <c r="Q80">
        <f>Q60/K40</f>
        <v>309882.74706867686</v>
      </c>
      <c r="R80">
        <f>R60/K40</f>
        <v>1005.0251256281412</v>
      </c>
      <c r="S80">
        <f>S60/L40</f>
        <v>450704.22535211296</v>
      </c>
      <c r="T80">
        <f>T60/L40</f>
        <v>4753.5211267605664</v>
      </c>
      <c r="U80">
        <f>U60/M40</f>
        <v>447183.09859154961</v>
      </c>
      <c r="V80">
        <f>V60/M40</f>
        <v>352.11267605633827</v>
      </c>
      <c r="W80">
        <f>W60/N40</f>
        <v>125188.53695324299</v>
      </c>
      <c r="X80">
        <f>X60/N40</f>
        <v>2865.7616892911046</v>
      </c>
      <c r="Y80">
        <f>Y60/O40</f>
        <v>248175.18248175201</v>
      </c>
      <c r="Z80">
        <f>Z60/O40</f>
        <v>364.9635036496353</v>
      </c>
      <c r="AA80">
        <f>AA60/P40</f>
        <v>325497.28752260387</v>
      </c>
      <c r="AB80">
        <f>AB60/P40</f>
        <v>3797.4683544303784</v>
      </c>
      <c r="AC80">
        <f t="shared" si="6"/>
        <v>1.1666666666666667E-2</v>
      </c>
    </row>
    <row r="81" spans="4:29" x14ac:dyDescent="0.2">
      <c r="D81" s="21" t="s">
        <v>243</v>
      </c>
      <c r="E81">
        <f>E61/E41</f>
        <v>191829.48490230899</v>
      </c>
      <c r="G81">
        <f>G61/F41</f>
        <v>45300.113250283102</v>
      </c>
      <c r="I81">
        <f>I61/G41</f>
        <v>33333.333333333314</v>
      </c>
      <c r="J81">
        <f>J61/G41</f>
        <v>0</v>
      </c>
      <c r="K81">
        <f>K61/H41</f>
        <v>301425.66191446007</v>
      </c>
      <c r="L81">
        <f>L61/H41</f>
        <v>116089.61303462314</v>
      </c>
      <c r="M81">
        <f>M61/I41</f>
        <v>419627.74957698787</v>
      </c>
      <c r="N81">
        <f>N61/I41</f>
        <v>19458.544839255486</v>
      </c>
      <c r="O81">
        <f>O61/J41</f>
        <v>157986.11111111115</v>
      </c>
      <c r="P81">
        <f>P61/J41</f>
        <v>62500.000000000015</v>
      </c>
      <c r="Q81">
        <f>Q61/K41</f>
        <v>106508.87573964504</v>
      </c>
      <c r="R81">
        <f>R61/K41</f>
        <v>24260.355029585815</v>
      </c>
      <c r="S81">
        <f>S61/L41</f>
        <v>98820.05899705019</v>
      </c>
      <c r="T81">
        <f>T61/L41</f>
        <v>11799.410029498529</v>
      </c>
      <c r="U81">
        <f>U61/M41</f>
        <v>141592.92035398236</v>
      </c>
      <c r="V81">
        <f>V61/M41</f>
        <v>47197.640117994117</v>
      </c>
      <c r="W81">
        <f>W61/N41</f>
        <v>85621.970920839973</v>
      </c>
      <c r="X81">
        <f>X61/N41</f>
        <v>1777.0597738287543</v>
      </c>
      <c r="Y81">
        <f>Y61/O41</f>
        <v>413043.47826086875</v>
      </c>
      <c r="Z81">
        <f>Z61/O41</f>
        <v>9937.8881987577442</v>
      </c>
      <c r="AA81">
        <f>AA61/P41</f>
        <v>161508.70406189546</v>
      </c>
      <c r="AB81">
        <f>AB61/P41</f>
        <v>676.98259187620863</v>
      </c>
      <c r="AC81">
        <f t="shared" si="6"/>
        <v>4.1916167664670665E-3</v>
      </c>
    </row>
    <row r="82" spans="4:29" x14ac:dyDescent="0.2">
      <c r="D82" s="21" t="s">
        <v>244</v>
      </c>
      <c r="E82">
        <f>E62/E42</f>
        <v>165951.35908440637</v>
      </c>
      <c r="G82">
        <f>G62/F42</f>
        <v>20249.221183800611</v>
      </c>
      <c r="I82">
        <f>I62/G42</f>
        <v>291196.38826185098</v>
      </c>
      <c r="J82">
        <f>J62/G42</f>
        <v>0</v>
      </c>
      <c r="K82">
        <f>K62/H42</f>
        <v>7836990.5956113031</v>
      </c>
      <c r="L82">
        <f>L62/H42</f>
        <v>6739811.9122257205</v>
      </c>
      <c r="M82">
        <f>M62/I42</f>
        <v>233734.93975903688</v>
      </c>
      <c r="N82">
        <f>N62/I42</f>
        <v>4819.2771084337501</v>
      </c>
      <c r="O82">
        <f>O62/J42</f>
        <v>223456.79012345689</v>
      </c>
      <c r="P82">
        <f>P62/J42</f>
        <v>177777.77777777787</v>
      </c>
      <c r="Q82">
        <f>Q62/K42</f>
        <v>90040.927694406506</v>
      </c>
      <c r="R82">
        <f>R62/K42</f>
        <v>68212.824010914017</v>
      </c>
      <c r="S82">
        <f>S62/L42</f>
        <v>46382.18923933214</v>
      </c>
      <c r="T82">
        <f>T62/L42</f>
        <v>4174.3970315398929</v>
      </c>
      <c r="U82">
        <f>U62/M42</f>
        <v>115027.82931354371</v>
      </c>
      <c r="V82">
        <f>V62/M42</f>
        <v>18460.111317254192</v>
      </c>
      <c r="W82">
        <f>W62/N42</f>
        <v>55672.268907563055</v>
      </c>
      <c r="X82">
        <f>X62/N42</f>
        <v>5147.0588235294144</v>
      </c>
      <c r="Y82">
        <f>Y62/O42</f>
        <v>139800.28530670481</v>
      </c>
      <c r="Z82">
        <f>Z62/O42</f>
        <v>22967.189728958649</v>
      </c>
      <c r="AA82">
        <f>AA62/P42</f>
        <v>148048.45222072693</v>
      </c>
      <c r="AB82">
        <f>AB62/P42</f>
        <v>35531.628532974464</v>
      </c>
      <c r="AC82">
        <f t="shared" si="6"/>
        <v>0.24</v>
      </c>
    </row>
    <row r="83" spans="4:29" x14ac:dyDescent="0.2">
      <c r="D83" s="21" t="s">
        <v>245</v>
      </c>
      <c r="E83">
        <f>E63/E43</f>
        <v>492505.35331905819</v>
      </c>
      <c r="G83">
        <f>G63/F43</f>
        <v>87000.000000000015</v>
      </c>
      <c r="I83">
        <f>I63/G43</f>
        <v>71428.571428571537</v>
      </c>
      <c r="J83">
        <f>J63/G43</f>
        <v>0</v>
      </c>
      <c r="K83">
        <f>K63/H43</f>
        <v>1349095.9666203046</v>
      </c>
      <c r="L83">
        <f>L63/H43</f>
        <v>931849.79137691145</v>
      </c>
      <c r="M83">
        <f>M63/I43</f>
        <v>539877.30061349669</v>
      </c>
      <c r="N83">
        <f>N63/I43</f>
        <v>20245.398773006124</v>
      </c>
      <c r="O83">
        <f>O63/J43</f>
        <v>83487.940630797675</v>
      </c>
      <c r="P83">
        <f>P63/J43</f>
        <v>1855.2875695732819</v>
      </c>
      <c r="Q83">
        <f>Q63/K43</f>
        <v>117270.78891257982</v>
      </c>
      <c r="R83">
        <f>R63/K43</f>
        <v>1492.5373134328343</v>
      </c>
      <c r="S83">
        <f>S63/L43</f>
        <v>424722.66244057094</v>
      </c>
      <c r="T83">
        <f>T63/L43</f>
        <v>950.87163232963644</v>
      </c>
      <c r="U83">
        <f>U63/M43</f>
        <v>283676.70364500821</v>
      </c>
      <c r="V83">
        <f>V63/M43</f>
        <v>11727.416798732183</v>
      </c>
      <c r="W83">
        <f>W63/N43</f>
        <v>452307.69230769266</v>
      </c>
      <c r="X83">
        <f>X63/N43</f>
        <v>6769.230769230775</v>
      </c>
      <c r="Y83">
        <f>Y63/O43</f>
        <v>848765.43209876586</v>
      </c>
      <c r="Z83">
        <f>Z63/O43</f>
        <v>1388.8888888888896</v>
      </c>
      <c r="AA83">
        <f>AA63/P43</f>
        <v>253351.20643431673</v>
      </c>
      <c r="AB83">
        <f>AB63/P43</f>
        <v>3217.1581769437043</v>
      </c>
      <c r="AC83">
        <f t="shared" si="6"/>
        <v>1.2698412698412698E-2</v>
      </c>
    </row>
    <row r="84" spans="4:29" x14ac:dyDescent="0.2">
      <c r="D84" s="21" t="s">
        <v>246</v>
      </c>
      <c r="E84">
        <f>E64/E44</f>
        <v>237668.16143497772</v>
      </c>
      <c r="G84">
        <f>G64/F44</f>
        <v>39755.351681957152</v>
      </c>
      <c r="I84">
        <f>I64/G44</f>
        <v>171322.16014897553</v>
      </c>
      <c r="J84">
        <f>J64/G44</f>
        <v>0</v>
      </c>
      <c r="K84">
        <f>K64/H44</f>
        <v>13556.338028169022</v>
      </c>
      <c r="L84">
        <f>L64/H44</f>
        <v>11267.605633802825</v>
      </c>
      <c r="M84">
        <f>M64/I44</f>
        <v>126149.80289093308</v>
      </c>
      <c r="N84">
        <f>N64/I44</f>
        <v>2628.1208935611057</v>
      </c>
      <c r="O84">
        <f>O64/J44</f>
        <v>48126.232741617285</v>
      </c>
      <c r="P84">
        <f>P64/J44</f>
        <v>18343.19526627216</v>
      </c>
      <c r="Q84">
        <f>Q64/K44</f>
        <v>25305.410122164041</v>
      </c>
      <c r="R84">
        <f>R64/K44</f>
        <v>3664.9214659685854</v>
      </c>
      <c r="S84">
        <f>S64/L44</f>
        <v>146306.81818181791</v>
      </c>
      <c r="T84">
        <f>T64/L44</f>
        <v>14772.727272727245</v>
      </c>
      <c r="U84">
        <f>U64/M44</f>
        <v>248579.545454545</v>
      </c>
      <c r="V84">
        <f>V64/M44</f>
        <v>852.27272727272566</v>
      </c>
      <c r="W84">
        <f>W64/N44</f>
        <v>257773.31995987962</v>
      </c>
      <c r="X84">
        <f>X64/N44</f>
        <v>501.50451354062182</v>
      </c>
      <c r="Y84">
        <f>Y64/O44</f>
        <v>198067.63285024141</v>
      </c>
      <c r="Z84">
        <f>Z64/O44</f>
        <v>1610.305958132044</v>
      </c>
      <c r="AA84">
        <f>AA64/P44</f>
        <v>626822.15743440238</v>
      </c>
      <c r="AB84">
        <f>AB64/P44</f>
        <v>16180.758017492713</v>
      </c>
      <c r="AC84">
        <f t="shared" si="6"/>
        <v>2.5813953488372093E-2</v>
      </c>
    </row>
    <row r="85" spans="4:29" x14ac:dyDescent="0.2">
      <c r="D85" s="21" t="s">
        <v>247</v>
      </c>
      <c r="E85">
        <f>E65/E45</f>
        <v>132841.32841328435</v>
      </c>
      <c r="G85">
        <f>G65/F45</f>
        <v>26706.231454005912</v>
      </c>
      <c r="I85">
        <f>I65/G45</f>
        <v>131221.71945701353</v>
      </c>
      <c r="J85">
        <f>J65/G45</f>
        <v>0</v>
      </c>
      <c r="K85">
        <f>K65/H45</f>
        <v>1574539.3634840848</v>
      </c>
      <c r="L85">
        <f>L65/H45</f>
        <v>1474036.8509212709</v>
      </c>
      <c r="M85">
        <f>M65/I45</f>
        <v>338677.35470941849</v>
      </c>
      <c r="N85">
        <f>N65/I45</f>
        <v>20440.881763527032</v>
      </c>
      <c r="O85">
        <f>O65/J45</f>
        <v>262939.95859213243</v>
      </c>
      <c r="P85">
        <f>P65/J45</f>
        <v>118012.42236024843</v>
      </c>
      <c r="Q85">
        <f>Q65/K45</f>
        <v>49609.374999999978</v>
      </c>
      <c r="R85">
        <f>R65/K45</f>
        <v>4882.8124999999982</v>
      </c>
      <c r="S85">
        <f>S65/L45</f>
        <v>60606.060606060528</v>
      </c>
      <c r="T85">
        <f>T65/L45</f>
        <v>2462.1212121212088</v>
      </c>
      <c r="U85">
        <f>U65/M45</f>
        <v>170454.54545454524</v>
      </c>
      <c r="V85">
        <f>V65/M45</f>
        <v>1136.3636363636349</v>
      </c>
      <c r="W85">
        <f>W65/N45</f>
        <v>158273.38129496441</v>
      </c>
      <c r="X85">
        <f>X65/N45</f>
        <v>1618.7050359712268</v>
      </c>
      <c r="Y85">
        <f>Y65/O45</f>
        <v>196374.6223564957</v>
      </c>
      <c r="Z85">
        <f>Z65/O45</f>
        <v>1661.631419939579</v>
      </c>
      <c r="AA85">
        <f>AA65/P45</f>
        <v>330508.47457627149</v>
      </c>
      <c r="AB85">
        <f>AB65/P45</f>
        <v>2542.3728813559346</v>
      </c>
      <c r="AC85">
        <f t="shared" si="6"/>
        <v>7.6923076923076927E-3</v>
      </c>
    </row>
    <row r="86" spans="4:29" s="10" customFormat="1" x14ac:dyDescent="0.2">
      <c r="D86" s="22" t="s">
        <v>248</v>
      </c>
      <c r="E86" s="10">
        <f>E66/E46</f>
        <v>158064.51612903239</v>
      </c>
      <c r="G86" s="10">
        <f>G66/F46</f>
        <v>25886.864813039294</v>
      </c>
      <c r="I86" s="10">
        <f>I66/G46</f>
        <v>103448.27586206891</v>
      </c>
      <c r="J86" s="10">
        <f>J66/G46</f>
        <v>0</v>
      </c>
      <c r="K86" s="10">
        <f>K66/H46</f>
        <v>21760.79734219268</v>
      </c>
      <c r="L86" s="10">
        <f>L66/H46</f>
        <v>12956.810631229229</v>
      </c>
      <c r="M86" s="10">
        <f>M66/I46</f>
        <v>291958.04195804184</v>
      </c>
      <c r="N86" s="10">
        <f>N66/I46</f>
        <v>2097.902097902097</v>
      </c>
      <c r="O86" s="10">
        <f>O66/J46</f>
        <v>115062.761506276</v>
      </c>
      <c r="P86" s="10">
        <f>P66/J46</f>
        <v>1673.6401673640144</v>
      </c>
      <c r="Q86" s="10">
        <f>Q66/K46</f>
        <v>127731.0924369748</v>
      </c>
      <c r="R86" s="10">
        <f>R66/K46</f>
        <v>504.20168067226894</v>
      </c>
      <c r="S86" s="10">
        <f>S66/L46</f>
        <v>276315.78947368462</v>
      </c>
      <c r="T86" s="10">
        <f>T66/L46</f>
        <v>438.59649122807076</v>
      </c>
      <c r="U86" s="10">
        <f>U66/M46</f>
        <v>745614.03508772037</v>
      </c>
      <c r="V86" s="10">
        <f>V66/M46</f>
        <v>1608.1871345029263</v>
      </c>
      <c r="W86" s="10">
        <f>W66/N46</f>
        <v>148230.08849557553</v>
      </c>
      <c r="X86" s="10">
        <f>X66/N46</f>
        <v>0</v>
      </c>
      <c r="Y86" s="10">
        <f>Y66/O46</f>
        <v>3590225.5639097728</v>
      </c>
      <c r="Z86" s="10">
        <f>Z66/O46</f>
        <v>0</v>
      </c>
      <c r="AA86" s="10">
        <f>AA66/P46</f>
        <v>124197.00214132771</v>
      </c>
      <c r="AB86" s="10">
        <f>AB66/P46</f>
        <v>1070.6638115631699</v>
      </c>
      <c r="AC86">
        <f t="shared" si="6"/>
        <v>8.6206896551724137E-3</v>
      </c>
    </row>
    <row r="89" spans="4:29" ht="51" x14ac:dyDescent="0.2">
      <c r="D89" s="64"/>
      <c r="E89" s="67" t="s">
        <v>737</v>
      </c>
      <c r="F89" s="67" t="s">
        <v>738</v>
      </c>
      <c r="G89" s="67" t="s">
        <v>739</v>
      </c>
      <c r="H89" s="67"/>
      <c r="I89" s="67"/>
      <c r="J89" s="67" t="s">
        <v>740</v>
      </c>
      <c r="K89" s="67" t="s">
        <v>741</v>
      </c>
      <c r="L89" s="67" t="s">
        <v>742</v>
      </c>
    </row>
    <row r="90" spans="4:29" x14ac:dyDescent="0.2">
      <c r="D90" s="19" t="s">
        <v>233</v>
      </c>
      <c r="E90">
        <f>(L71/(K71-L71))</f>
        <v>1.3333333333333337</v>
      </c>
      <c r="F90">
        <f>Z71/(Y71-Z71)</f>
        <v>1.0939268200678989E-2</v>
      </c>
      <c r="G90">
        <f>AB71/(AA71-AB71)</f>
        <v>1.6652059596844872E-2</v>
      </c>
      <c r="I90" s="21" t="s">
        <v>241</v>
      </c>
      <c r="J90">
        <f>(L79/(K79-L79))</f>
        <v>4.4705882352941186</v>
      </c>
      <c r="K90">
        <f>Z79/(Y79-Z79)</f>
        <v>1.4851485148514851E-2</v>
      </c>
      <c r="L90">
        <f>AB79/(AA79-AB79)</f>
        <v>9.5505617977528101E-2</v>
      </c>
    </row>
    <row r="91" spans="4:29" x14ac:dyDescent="0.2">
      <c r="D91" s="19" t="s">
        <v>234</v>
      </c>
      <c r="E91">
        <f>(L72/(K72-L72))</f>
        <v>9.154929577464789E-2</v>
      </c>
      <c r="F91">
        <f>Z72/(Y72-Z72)</f>
        <v>0.7823834196891194</v>
      </c>
      <c r="G91">
        <f>AB72/(AA72-AB72)</f>
        <v>7.9365079365079361E-2</v>
      </c>
      <c r="I91" s="21" t="s">
        <v>242</v>
      </c>
      <c r="J91">
        <f>(L80/(K80-L80))</f>
        <v>-15.000000000000007</v>
      </c>
      <c r="K91">
        <f>Z80/(Y80-Z80)</f>
        <v>1.4727540500736377E-3</v>
      </c>
      <c r="L91">
        <f>AB80/(AA80-AB80)</f>
        <v>1.1804384485666106E-2</v>
      </c>
    </row>
    <row r="92" spans="4:29" x14ac:dyDescent="0.2">
      <c r="D92" s="19" t="s">
        <v>235</v>
      </c>
      <c r="E92">
        <f>(L73/(K73-L73))</f>
        <v>7.5833333333333286</v>
      </c>
      <c r="F92">
        <f>Z73/(Y73-Z73)</f>
        <v>4.6277665995975853E-2</v>
      </c>
      <c r="G92">
        <f>AB73/(AA73-AB73)</f>
        <v>4.0068201193520891E-2</v>
      </c>
      <c r="I92" s="21" t="s">
        <v>243</v>
      </c>
      <c r="J92">
        <f>(L81/(K81-L81))</f>
        <v>0.62637362637362648</v>
      </c>
      <c r="K92">
        <f>Z81/(Y81-Z81)</f>
        <v>2.4653312788906007E-2</v>
      </c>
      <c r="L92">
        <f>AB81/(AA81-AB81)</f>
        <v>4.2092603728202047E-3</v>
      </c>
    </row>
    <row r="93" spans="4:29" x14ac:dyDescent="0.2">
      <c r="D93" s="19" t="s">
        <v>236</v>
      </c>
      <c r="E93">
        <f>(L74/(K74-L74))</f>
        <v>2.0677966101694913</v>
      </c>
      <c r="F93">
        <f>Z74/(Y74-Z74)</f>
        <v>0.17467581998474446</v>
      </c>
      <c r="G93">
        <f>AB74/(AA74-AB74)</f>
        <v>5.5226824457593693E-2</v>
      </c>
      <c r="I93" s="21" t="s">
        <v>244</v>
      </c>
      <c r="J93">
        <f>(L82/(K82-L82))</f>
        <v>6.1428571428571415</v>
      </c>
      <c r="K93">
        <f>Z82/(Y82-Z82)</f>
        <v>0.19658119658119658</v>
      </c>
      <c r="L93">
        <f>AB82/(AA82-AB82)</f>
        <v>0.31578947368421051</v>
      </c>
    </row>
    <row r="94" spans="4:29" x14ac:dyDescent="0.2">
      <c r="D94" s="19" t="s">
        <v>237</v>
      </c>
      <c r="E94">
        <f>(L75/(K75-L75))</f>
        <v>0.24444444444444446</v>
      </c>
      <c r="F94">
        <f>Z75/(Y75-Z75)</f>
        <v>0.14285714285714285</v>
      </c>
      <c r="G94">
        <f>AB75/(AA75-AB75)</f>
        <v>0.13924050632911392</v>
      </c>
      <c r="I94" s="21" t="s">
        <v>245</v>
      </c>
      <c r="J94">
        <f>(L83/(K83-L83))</f>
        <v>2.2333333333333334</v>
      </c>
      <c r="K94">
        <f>Z83/(Y83-Z83)</f>
        <v>1.6390457111637225E-3</v>
      </c>
      <c r="L94">
        <f>AB83/(AA83-AB83)</f>
        <v>1.2861736334405145E-2</v>
      </c>
    </row>
    <row r="95" spans="4:29" x14ac:dyDescent="0.2">
      <c r="D95" s="19" t="s">
        <v>238</v>
      </c>
      <c r="E95">
        <f>(L76/(K76-L76))</f>
        <v>1.2222222222222223</v>
      </c>
      <c r="F95">
        <f>Z76/(Y76-Z76)</f>
        <v>5.1648788239968216E-3</v>
      </c>
      <c r="G95">
        <f>AB76/(AA76-AB76)</f>
        <v>8.5526315789473686E-2</v>
      </c>
      <c r="I95" s="21" t="s">
        <v>246</v>
      </c>
      <c r="J95">
        <f>(L84/(K84-L84))</f>
        <v>4.9230769230769251</v>
      </c>
      <c r="K95">
        <f>Z84/(Y84-Z84)</f>
        <v>8.1967213114754103E-3</v>
      </c>
      <c r="L95">
        <f>AB84/(AA84-AB84)</f>
        <v>2.6497970876104084E-2</v>
      </c>
    </row>
    <row r="96" spans="4:29" x14ac:dyDescent="0.2">
      <c r="D96" s="19" t="s">
        <v>239</v>
      </c>
      <c r="E96">
        <f>(L77/(K77-L77))</f>
        <v>-25.666666666666636</v>
      </c>
      <c r="F96">
        <f>Z77/(Y77-Z77)</f>
        <v>5.0228310502283102E-2</v>
      </c>
      <c r="G96">
        <f>AB77/(AA77-AB77)</f>
        <v>0.12056737588652482</v>
      </c>
      <c r="I96" s="21" t="s">
        <v>247</v>
      </c>
      <c r="J96">
        <f>(L85/(K85-L85))</f>
        <v>14.666666666666664</v>
      </c>
      <c r="K96">
        <f>Z85/(Y85-Z85)</f>
        <v>8.5337470907680367E-3</v>
      </c>
      <c r="L96">
        <f>AB85/(AA85-AB85)</f>
        <v>7.7519379844961239E-3</v>
      </c>
    </row>
    <row r="97" spans="1:13" x14ac:dyDescent="0.2">
      <c r="D97" s="20" t="s">
        <v>240</v>
      </c>
      <c r="E97">
        <f>(L78/(K78-L78))</f>
        <v>0.76923076923076927</v>
      </c>
      <c r="F97">
        <f>Z78/(Y78-Z78)</f>
        <v>6.2753036437246973E-2</v>
      </c>
      <c r="G97">
        <f>AB78/(AA78-AB78)</f>
        <v>9.2961487383798128E-3</v>
      </c>
      <c r="I97" s="22" t="s">
        <v>248</v>
      </c>
      <c r="J97">
        <f>(L86/(K86-L86))</f>
        <v>1.4716981132075473</v>
      </c>
      <c r="K97">
        <f>Z86/(Y86-Z86)</f>
        <v>0</v>
      </c>
      <c r="L97">
        <f>AB86/(AA86-AB86)</f>
        <v>8.6956521739130436E-3</v>
      </c>
    </row>
    <row r="107" spans="1:13" x14ac:dyDescent="0.2">
      <c r="A107" t="s">
        <v>282</v>
      </c>
      <c r="E107" t="s">
        <v>0</v>
      </c>
      <c r="F107" t="s">
        <v>1</v>
      </c>
      <c r="G107" t="s">
        <v>222</v>
      </c>
      <c r="H107" t="s">
        <v>2</v>
      </c>
      <c r="I107" t="s">
        <v>225</v>
      </c>
      <c r="J107" t="s">
        <v>3</v>
      </c>
      <c r="K107" t="s">
        <v>228</v>
      </c>
      <c r="L107" t="s">
        <v>4</v>
      </c>
      <c r="M107" t="s">
        <v>231</v>
      </c>
    </row>
    <row r="108" spans="1:13" x14ac:dyDescent="0.2">
      <c r="D108" s="19" t="s">
        <v>233</v>
      </c>
      <c r="E108" s="24">
        <f>L71/K71</f>
        <v>0.57142857142857151</v>
      </c>
      <c r="F108" s="24">
        <f>N71/M71</f>
        <v>2.4390243902439024E-4</v>
      </c>
      <c r="G108" s="28">
        <f>P71/O71</f>
        <v>0</v>
      </c>
      <c r="H108" s="28">
        <f>R71/Q71</f>
        <v>0</v>
      </c>
      <c r="I108" s="28">
        <f>T71/S71</f>
        <v>0</v>
      </c>
      <c r="J108" s="28">
        <f>V71/U71</f>
        <v>0.1177304964539007</v>
      </c>
      <c r="K108" s="28">
        <f>X71/W71</f>
        <v>1.9999999999999997E-2</v>
      </c>
      <c r="L108" s="28">
        <f>Z71/Y71</f>
        <v>1.082089552238806E-2</v>
      </c>
      <c r="M108" s="28">
        <f>AB71/AA71</f>
        <v>1.6379310344827588E-2</v>
      </c>
    </row>
    <row r="109" spans="1:13" x14ac:dyDescent="0.2">
      <c r="D109" s="19" t="s">
        <v>234</v>
      </c>
      <c r="E109" s="24">
        <f>L72/K72</f>
        <v>8.387096774193549E-2</v>
      </c>
      <c r="F109" s="24">
        <f>N72/M72</f>
        <v>0</v>
      </c>
      <c r="G109" s="28">
        <f>P72/O72</f>
        <v>0</v>
      </c>
      <c r="H109" s="28">
        <f>R72/Q72</f>
        <v>0</v>
      </c>
      <c r="I109" s="28">
        <f>T72/S72</f>
        <v>0</v>
      </c>
      <c r="J109" s="28">
        <f>V72/U72</f>
        <v>5.8823529411764705E-2</v>
      </c>
      <c r="K109" s="28">
        <f>X72/W72</f>
        <v>0.54255319148936165</v>
      </c>
      <c r="L109" s="28">
        <f>Z72/Y72</f>
        <v>0.43895348837209308</v>
      </c>
      <c r="M109" s="28">
        <f>AB72/AA72</f>
        <v>7.3529411764705885E-2</v>
      </c>
    </row>
    <row r="110" spans="1:13" x14ac:dyDescent="0.2">
      <c r="D110" s="19" t="s">
        <v>235</v>
      </c>
      <c r="E110" s="24">
        <f>L73/K73</f>
        <v>0.8834951456310679</v>
      </c>
      <c r="F110" s="24">
        <f>N73/M73</f>
        <v>0.18630136986301368</v>
      </c>
      <c r="G110" s="28">
        <f>P73/O73</f>
        <v>3.6697247706422013E-2</v>
      </c>
      <c r="H110" s="28">
        <f>R73/Q73</f>
        <v>3.7500000000000003E-3</v>
      </c>
      <c r="I110" s="28">
        <f>T73/S73</f>
        <v>3.937007874015748E-3</v>
      </c>
      <c r="J110" s="28">
        <f>V73/U73</f>
        <v>1.0679611650485437E-2</v>
      </c>
      <c r="K110" s="28">
        <f>X73/W73</f>
        <v>9.1025641025641021E-2</v>
      </c>
      <c r="L110" s="28">
        <f>Z73/Y73</f>
        <v>4.4230769230769233E-2</v>
      </c>
      <c r="M110" s="28">
        <f>AB73/AA73</f>
        <v>3.8524590163934433E-2</v>
      </c>
    </row>
    <row r="111" spans="1:13" x14ac:dyDescent="0.2">
      <c r="D111" s="19" t="s">
        <v>236</v>
      </c>
      <c r="E111" s="24">
        <f>L74/K74</f>
        <v>0.67403314917127066</v>
      </c>
      <c r="F111" s="24">
        <f>N74/M74</f>
        <v>0.21739130434782611</v>
      </c>
      <c r="G111" s="28">
        <f>P74/O74</f>
        <v>2.5581395348837205E-2</v>
      </c>
      <c r="H111" s="28">
        <f>R74/Q74</f>
        <v>2.7272727272727271E-2</v>
      </c>
      <c r="I111" s="28">
        <f>T74/S74</f>
        <v>3.333333333333334E-2</v>
      </c>
      <c r="J111" s="28">
        <f>V74/U74</f>
        <v>8.7301587301587304E-3</v>
      </c>
      <c r="K111" s="28">
        <f>X74/W74</f>
        <v>0.1031578947368421</v>
      </c>
      <c r="L111" s="28">
        <f>Z74/Y74</f>
        <v>0.1487012987012987</v>
      </c>
      <c r="M111" s="28">
        <f>AB74/AA74</f>
        <v>5.2336448598130844E-2</v>
      </c>
    </row>
    <row r="112" spans="1:13" x14ac:dyDescent="0.2">
      <c r="D112" s="19" t="s">
        <v>237</v>
      </c>
      <c r="E112" s="24">
        <f>L75/K75</f>
        <v>0.19642857142857142</v>
      </c>
      <c r="F112" s="24">
        <f>N75/M75</f>
        <v>0</v>
      </c>
      <c r="G112" s="28">
        <f>P75/O75</f>
        <v>0.42</v>
      </c>
      <c r="H112" s="28">
        <f>R75/Q75</f>
        <v>0</v>
      </c>
      <c r="I112" s="28">
        <f>T75/S75</f>
        <v>0</v>
      </c>
      <c r="J112" s="28">
        <f>V75/U75</f>
        <v>6.8181818181818187E-4</v>
      </c>
      <c r="K112" s="28">
        <f>X75/W75</f>
        <v>1.7968749999999999E-2</v>
      </c>
      <c r="L112" s="28">
        <f>Z75/Y75</f>
        <v>0.125</v>
      </c>
      <c r="M112" s="28">
        <f>AB75/AA75</f>
        <v>0.12222222222222223</v>
      </c>
    </row>
    <row r="113" spans="1:17" x14ac:dyDescent="0.2">
      <c r="D113" s="19" t="s">
        <v>238</v>
      </c>
      <c r="E113" s="24">
        <f>L76/K76</f>
        <v>0.55000000000000004</v>
      </c>
      <c r="F113" s="24">
        <f>N76/M76</f>
        <v>3.7313432835820899E-2</v>
      </c>
      <c r="G113" s="28">
        <f>P76/O76</f>
        <v>4.2253521126760568E-3</v>
      </c>
      <c r="H113" s="28">
        <f>R76/Q76</f>
        <v>1.3725490196078431E-2</v>
      </c>
      <c r="I113" s="28">
        <f>T76/S76</f>
        <v>1.4285714285714285E-2</v>
      </c>
      <c r="J113" s="28">
        <f>V76/U76</f>
        <v>8.6956521739130418E-3</v>
      </c>
      <c r="K113" s="28">
        <f>X76/W76</f>
        <v>5.1660516605166046E-3</v>
      </c>
      <c r="L113" s="28">
        <f>Z76/Y76</f>
        <v>5.1383399209486164E-3</v>
      </c>
      <c r="M113" s="28">
        <f>AB76/AA76</f>
        <v>7.8787878787878782E-2</v>
      </c>
    </row>
    <row r="114" spans="1:17" x14ac:dyDescent="0.2">
      <c r="D114" s="19" t="s">
        <v>239</v>
      </c>
      <c r="E114" s="24">
        <f>L77/K77</f>
        <v>1.0405405405405406</v>
      </c>
      <c r="F114" s="24">
        <f>N77/M77</f>
        <v>0.2269503546099291</v>
      </c>
      <c r="G114" s="28">
        <f>P77/O77</f>
        <v>0</v>
      </c>
      <c r="H114" s="28">
        <f>R77/Q77</f>
        <v>2.6190476190476195E-2</v>
      </c>
      <c r="I114" s="28">
        <f>T77/S77</f>
        <v>0</v>
      </c>
      <c r="J114" s="28">
        <f>V77/U77</f>
        <v>3.1034482758620693E-3</v>
      </c>
      <c r="K114" s="28">
        <f>X77/W77</f>
        <v>6.8229166666666674E-2</v>
      </c>
      <c r="L114" s="28">
        <f>Z77/Y77</f>
        <v>4.7826086956521741E-2</v>
      </c>
      <c r="M114" s="28">
        <f>AB77/AA77</f>
        <v>0.10759493670886075</v>
      </c>
    </row>
    <row r="115" spans="1:17" x14ac:dyDescent="0.2">
      <c r="A115" s="10"/>
      <c r="B115" s="10"/>
      <c r="C115" s="10"/>
      <c r="D115" s="20" t="s">
        <v>240</v>
      </c>
      <c r="E115" s="29">
        <f>L78/K78</f>
        <v>0.43478260869565222</v>
      </c>
      <c r="F115" s="29">
        <f>N78/M78</f>
        <v>4.5045045045045046E-4</v>
      </c>
      <c r="G115" s="30">
        <f>P78/O78</f>
        <v>0.35087719298245612</v>
      </c>
      <c r="H115" s="30">
        <f>R78/Q78</f>
        <v>7.518796992481204E-2</v>
      </c>
      <c r="I115" s="30">
        <f>T78/S78</f>
        <v>4.3243243243243246E-2</v>
      </c>
      <c r="J115" s="30">
        <f>V78/U78</f>
        <v>1.3483146067415729E-2</v>
      </c>
      <c r="K115" s="30">
        <f>X78/W78</f>
        <v>0.11351351351351351</v>
      </c>
      <c r="L115" s="30">
        <f>Z78/Y78</f>
        <v>5.9047619047619057E-2</v>
      </c>
      <c r="M115" s="30">
        <f>AB78/AA78</f>
        <v>9.2105263157894728E-3</v>
      </c>
    </row>
    <row r="116" spans="1:17" x14ac:dyDescent="0.2">
      <c r="D116" s="21" t="s">
        <v>241</v>
      </c>
      <c r="E116" s="24">
        <f>L79/K79</f>
        <v>0.81720430107526887</v>
      </c>
      <c r="F116" s="24">
        <f>N79/M79</f>
        <v>0.29772727272727273</v>
      </c>
      <c r="G116" s="28">
        <f>P79/O79</f>
        <v>0.12698412698412698</v>
      </c>
      <c r="H116" s="28">
        <f>R79/Q79</f>
        <v>0.12093023255813952</v>
      </c>
      <c r="I116" s="28">
        <f>T79/S79</f>
        <v>2.8048780487804879E-2</v>
      </c>
      <c r="J116" s="28">
        <f>V79/U79</f>
        <v>7.0987654320987656E-3</v>
      </c>
      <c r="K116" s="28">
        <f>X79/W79</f>
        <v>4.5977011494252873E-3</v>
      </c>
      <c r="L116" s="28">
        <f>Z79/Y79</f>
        <v>1.4634146341463414E-2</v>
      </c>
      <c r="M116" s="28">
        <f>AB79/AA79</f>
        <v>8.7179487179487189E-2</v>
      </c>
    </row>
    <row r="117" spans="1:17" x14ac:dyDescent="0.2">
      <c r="D117" s="21" t="s">
        <v>242</v>
      </c>
      <c r="E117" s="24">
        <f>L80/K80</f>
        <v>1.0714285714285714</v>
      </c>
      <c r="F117" s="24">
        <f>N80/M80</f>
        <v>7.5000000000000006E-3</v>
      </c>
      <c r="G117" s="28">
        <f>P80/O80</f>
        <v>0.10344827586206896</v>
      </c>
      <c r="H117" s="28">
        <f>R80/Q80</f>
        <v>3.2432432432432431E-3</v>
      </c>
      <c r="I117" s="28">
        <f>T80/S80</f>
        <v>1.0546875000000001E-2</v>
      </c>
      <c r="J117" s="28">
        <f>V80/U80</f>
        <v>7.874015748031496E-4</v>
      </c>
      <c r="K117" s="28">
        <f>X80/W80</f>
        <v>2.289156626506024E-2</v>
      </c>
      <c r="L117" s="28">
        <f>Z80/Y80</f>
        <v>1.4705882352941176E-3</v>
      </c>
      <c r="M117" s="28">
        <f>AB80/AA80</f>
        <v>1.1666666666666667E-2</v>
      </c>
    </row>
    <row r="118" spans="1:17" x14ac:dyDescent="0.2">
      <c r="D118" s="21" t="s">
        <v>243</v>
      </c>
      <c r="E118" s="24">
        <f>L81/K81</f>
        <v>0.38513513513513514</v>
      </c>
      <c r="F118" s="24">
        <f>N81/M81</f>
        <v>4.6370967741935484E-2</v>
      </c>
      <c r="G118" s="28">
        <f>P81/O81</f>
        <v>0.39560439560439559</v>
      </c>
      <c r="H118" s="28">
        <f>R81/Q81</f>
        <v>0.22777777777777777</v>
      </c>
      <c r="I118" s="28">
        <f>T81/S81</f>
        <v>0.11940298507462685</v>
      </c>
      <c r="J118" s="28">
        <f>V81/U81</f>
        <v>0.33333333333333331</v>
      </c>
      <c r="K118" s="28">
        <f>X81/W81</f>
        <v>2.0754716981132078E-2</v>
      </c>
      <c r="L118" s="28">
        <f>Z81/Y81</f>
        <v>2.4060150375939848E-2</v>
      </c>
      <c r="M118" s="28">
        <f>AB81/AA81</f>
        <v>4.1916167664670665E-3</v>
      </c>
    </row>
    <row r="119" spans="1:17" x14ac:dyDescent="0.2">
      <c r="D119" s="21" t="s">
        <v>244</v>
      </c>
      <c r="E119" s="24">
        <f>L82/K82</f>
        <v>0.86</v>
      </c>
      <c r="F119" s="24">
        <f>N82/M82</f>
        <v>2.0618556701030927E-2</v>
      </c>
      <c r="G119" s="28">
        <f>P82/O82</f>
        <v>0.79558011049723765</v>
      </c>
      <c r="H119" s="28">
        <f>R82/Q82</f>
        <v>0.75757575757575757</v>
      </c>
      <c r="I119" s="28">
        <f>T82/S82</f>
        <v>9.0000000000000011E-2</v>
      </c>
      <c r="J119" s="28">
        <f>V82/U82</f>
        <v>0.16048387096774194</v>
      </c>
      <c r="K119" s="28">
        <f>X82/W82</f>
        <v>9.2452830188679239E-2</v>
      </c>
      <c r="L119" s="28">
        <f>Z82/Y82</f>
        <v>0.16428571428571428</v>
      </c>
      <c r="M119" s="28">
        <f>AB82/AA82</f>
        <v>0.24</v>
      </c>
    </row>
    <row r="120" spans="1:17" x14ac:dyDescent="0.2">
      <c r="D120" s="21" t="s">
        <v>245</v>
      </c>
      <c r="E120" s="24">
        <f>L83/K83</f>
        <v>0.69072164948453607</v>
      </c>
      <c r="F120" s="24">
        <f>N83/M83</f>
        <v>3.7499999999999999E-2</v>
      </c>
      <c r="G120" s="28">
        <f>P83/O83</f>
        <v>2.2222222222222223E-2</v>
      </c>
      <c r="H120" s="28">
        <f>R83/Q83</f>
        <v>1.2727272727272728E-2</v>
      </c>
      <c r="I120" s="28">
        <f>T83/S83</f>
        <v>2.2388059701492539E-3</v>
      </c>
      <c r="J120" s="28">
        <f>V83/U83</f>
        <v>4.1340782122905033E-2</v>
      </c>
      <c r="K120" s="28">
        <f>X83/W83</f>
        <v>1.4965986394557824E-2</v>
      </c>
      <c r="L120" s="28">
        <f>Z83/Y83</f>
        <v>1.6363636363636363E-3</v>
      </c>
      <c r="M120" s="28">
        <f>AB83/AA83</f>
        <v>1.2698412698412698E-2</v>
      </c>
    </row>
    <row r="121" spans="1:17" x14ac:dyDescent="0.2">
      <c r="D121" s="21" t="s">
        <v>246</v>
      </c>
      <c r="E121" s="24">
        <f>L84/K84</f>
        <v>0.83116883116883122</v>
      </c>
      <c r="F121" s="24">
        <f>N84/M84</f>
        <v>2.0833333333333332E-2</v>
      </c>
      <c r="G121" s="28">
        <f>P84/O84</f>
        <v>0.38114754098360654</v>
      </c>
      <c r="H121" s="28">
        <f>R84/Q84</f>
        <v>0.14482758620689656</v>
      </c>
      <c r="I121" s="28">
        <f>T84/S84</f>
        <v>0.10097087378640776</v>
      </c>
      <c r="J121" s="28">
        <f>V84/U84</f>
        <v>3.4285714285714284E-3</v>
      </c>
      <c r="K121" s="28">
        <f>X84/W84</f>
        <v>1.9455252918287938E-3</v>
      </c>
      <c r="L121" s="28">
        <f>Z84/Y84</f>
        <v>8.130081300813009E-3</v>
      </c>
      <c r="M121" s="28">
        <f>AB84/AA84</f>
        <v>2.5813953488372093E-2</v>
      </c>
    </row>
    <row r="122" spans="1:17" x14ac:dyDescent="0.2">
      <c r="D122" s="21" t="s">
        <v>247</v>
      </c>
      <c r="E122" s="24">
        <f>L85/K85</f>
        <v>0.93617021276595747</v>
      </c>
      <c r="F122" s="24">
        <f>N85/M85</f>
        <v>6.035502958579881E-2</v>
      </c>
      <c r="G122" s="28">
        <f>P85/O85</f>
        <v>0.44881889763779531</v>
      </c>
      <c r="H122" s="28">
        <f>R85/Q85</f>
        <v>9.8425196850393706E-2</v>
      </c>
      <c r="I122" s="28">
        <f>T85/S85</f>
        <v>4.0625000000000001E-2</v>
      </c>
      <c r="J122" s="28">
        <f>V85/U85</f>
        <v>6.6666666666666662E-3</v>
      </c>
      <c r="K122" s="28">
        <f>X85/W85</f>
        <v>1.0227272727272727E-2</v>
      </c>
      <c r="L122" s="28">
        <f>Z85/Y85</f>
        <v>8.4615384615384613E-3</v>
      </c>
      <c r="M122" s="28">
        <f>AB85/AA85</f>
        <v>7.6923076923076927E-3</v>
      </c>
    </row>
    <row r="123" spans="1:17" x14ac:dyDescent="0.2">
      <c r="A123" s="10"/>
      <c r="B123" s="10"/>
      <c r="C123" s="10"/>
      <c r="D123" s="22" t="s">
        <v>248</v>
      </c>
      <c r="E123" s="29">
        <f>L86/K86</f>
        <v>0.59541984732824427</v>
      </c>
      <c r="F123" s="29">
        <f>N86/M86</f>
        <v>7.18562874251497E-3</v>
      </c>
      <c r="G123" s="30">
        <f>P86/O86</f>
        <v>1.4545454545454544E-2</v>
      </c>
      <c r="H123" s="30">
        <f>R86/Q86</f>
        <v>3.9473684210526317E-3</v>
      </c>
      <c r="I123" s="30">
        <f>T86/S86</f>
        <v>1.5873015873015871E-3</v>
      </c>
      <c r="J123" s="30">
        <f>V86/U86</f>
        <v>2.1568627450980391E-3</v>
      </c>
      <c r="K123" s="30">
        <f>X86/W86</f>
        <v>0</v>
      </c>
      <c r="L123" s="30">
        <f>Z86/Y86</f>
        <v>0</v>
      </c>
      <c r="M123" s="30">
        <f>AB86/AA86</f>
        <v>8.6206896551724137E-3</v>
      </c>
    </row>
    <row r="124" spans="1:17" x14ac:dyDescent="0.2">
      <c r="E124" s="24"/>
      <c r="F124" s="28"/>
      <c r="G124" s="28"/>
      <c r="H124" s="28"/>
      <c r="I124" s="28"/>
      <c r="J124" s="28"/>
      <c r="K124" s="28"/>
      <c r="L124" s="28"/>
      <c r="M124" s="28"/>
    </row>
    <row r="125" spans="1:17" x14ac:dyDescent="0.2">
      <c r="E125" s="24"/>
      <c r="F125" s="28"/>
      <c r="G125" s="28"/>
      <c r="H125" s="28"/>
      <c r="I125" s="28"/>
      <c r="J125" s="28"/>
      <c r="K125" s="28"/>
      <c r="L125" s="28"/>
      <c r="M125" s="28"/>
    </row>
    <row r="126" spans="1:17" x14ac:dyDescent="0.2">
      <c r="A126" t="s">
        <v>283</v>
      </c>
      <c r="E126" s="24"/>
      <c r="F126" s="28"/>
      <c r="G126" s="28"/>
      <c r="H126" s="28"/>
      <c r="I126" s="28"/>
      <c r="J126" s="28"/>
      <c r="K126" s="28"/>
      <c r="L126" s="28"/>
      <c r="M126" s="28"/>
    </row>
    <row r="127" spans="1:17" x14ac:dyDescent="0.2">
      <c r="A127" t="s">
        <v>284</v>
      </c>
      <c r="E127" t="s">
        <v>0</v>
      </c>
      <c r="F127" t="s">
        <v>1</v>
      </c>
      <c r="G127" t="s">
        <v>222</v>
      </c>
      <c r="H127" t="s">
        <v>2</v>
      </c>
      <c r="I127" t="s">
        <v>225</v>
      </c>
      <c r="J127" t="s">
        <v>3</v>
      </c>
      <c r="K127" t="s">
        <v>228</v>
      </c>
      <c r="L127" t="s">
        <v>4</v>
      </c>
      <c r="M127" t="s">
        <v>231</v>
      </c>
      <c r="P127" s="64" t="s">
        <v>743</v>
      </c>
      <c r="Q127" s="64" t="s">
        <v>744</v>
      </c>
    </row>
    <row r="128" spans="1:17" s="2" customFormat="1" x14ac:dyDescent="0.2">
      <c r="D128" s="35" t="s">
        <v>233</v>
      </c>
      <c r="E128" s="2">
        <f>L71/L71</f>
        <v>1</v>
      </c>
      <c r="F128" s="2">
        <f>N71/L71</f>
        <v>2.1791559000861279E-3</v>
      </c>
      <c r="G128" s="2">
        <f>P71/L71</f>
        <v>0</v>
      </c>
      <c r="H128" s="2">
        <f>R71/L71</f>
        <v>0</v>
      </c>
      <c r="I128" s="2">
        <f>T71/L71</f>
        <v>0</v>
      </c>
      <c r="J128" s="2">
        <f>V71/L71</f>
        <v>0.29201780002781247</v>
      </c>
      <c r="K128" s="2">
        <f>X71/L71</f>
        <v>5.2057613168724273E-2</v>
      </c>
      <c r="L128" s="2">
        <f>Z71/L71</f>
        <v>6.9086629001883143E-2</v>
      </c>
      <c r="M128" s="2">
        <f>AB71/L71</f>
        <v>8.2170940170940066E-2</v>
      </c>
      <c r="P128" s="68"/>
      <c r="Q128" s="68" t="s">
        <v>687</v>
      </c>
    </row>
    <row r="129" spans="4:17" x14ac:dyDescent="0.2">
      <c r="D129" s="19" t="s">
        <v>234</v>
      </c>
      <c r="E129">
        <f>L72/L72</f>
        <v>1</v>
      </c>
      <c r="F129">
        <f>N72/L72</f>
        <v>0</v>
      </c>
      <c r="G129">
        <f>P72/L72</f>
        <v>0</v>
      </c>
      <c r="H129">
        <f>R72/L72</f>
        <v>0</v>
      </c>
      <c r="I129">
        <f>T72/L72</f>
        <v>0</v>
      </c>
      <c r="J129">
        <f>V72/L72</f>
        <v>0.87066779374471748</v>
      </c>
      <c r="K129">
        <f>X72/L72</f>
        <v>442.82402528977849</v>
      </c>
      <c r="L129">
        <f>Z72/L72</f>
        <v>42.275074748573012</v>
      </c>
      <c r="M129" s="64">
        <f>AB72/L72</f>
        <v>4.7443574389682182</v>
      </c>
      <c r="N129" s="63"/>
      <c r="P129" s="64" t="s">
        <v>692</v>
      </c>
      <c r="Q129" s="64"/>
    </row>
    <row r="130" spans="4:17" x14ac:dyDescent="0.2">
      <c r="D130" s="19" t="s">
        <v>235</v>
      </c>
      <c r="E130">
        <f>L73/L73</f>
        <v>1</v>
      </c>
      <c r="F130">
        <f>N73/L73</f>
        <v>1.4465167859663269E-2</v>
      </c>
      <c r="G130">
        <f>P73/L73</f>
        <v>4.3800355488667194E-4</v>
      </c>
      <c r="H130">
        <f>R73/L73</f>
        <v>4.2872381855432675E-4</v>
      </c>
      <c r="I130">
        <f>T73/L73</f>
        <v>7.3608930751787986E-4</v>
      </c>
      <c r="J130">
        <f>V73/L73</f>
        <v>1.6193964765393357E-3</v>
      </c>
      <c r="K130">
        <f>X73/L73</f>
        <v>9.3009250636369341E-3</v>
      </c>
      <c r="L130">
        <f>Z73/L73</f>
        <v>8.6714911105154942E-3</v>
      </c>
      <c r="M130">
        <f>AB73/L73</f>
        <v>4.6030843496524662E-3</v>
      </c>
      <c r="P130" s="64"/>
      <c r="Q130" s="64" t="s">
        <v>693</v>
      </c>
    </row>
    <row r="131" spans="4:17" x14ac:dyDescent="0.2">
      <c r="D131" s="19" t="s">
        <v>236</v>
      </c>
      <c r="E131">
        <f>L74/L74</f>
        <v>1</v>
      </c>
      <c r="F131">
        <f>N74/L74</f>
        <v>0.13609650479430874</v>
      </c>
      <c r="G131">
        <f>P74/L74</f>
        <v>1.0476795197413969E-2</v>
      </c>
      <c r="H131">
        <f>R74/L74</f>
        <v>1.5111273926183713E-2</v>
      </c>
      <c r="I131">
        <f>T74/L74</f>
        <v>7.4499861072520055E-3</v>
      </c>
      <c r="J131">
        <f>V74/L74</f>
        <v>6.3038343984440038E-3</v>
      </c>
      <c r="K131">
        <f>X74/L74</f>
        <v>7.4356793047156908E-2</v>
      </c>
      <c r="L131">
        <f>Z74/L74</f>
        <v>0.15256803682467898</v>
      </c>
      <c r="M131">
        <f>AB74/L74</f>
        <v>5.8597837460760492E-2</v>
      </c>
      <c r="P131" s="64"/>
      <c r="Q131" s="64" t="s">
        <v>694</v>
      </c>
    </row>
    <row r="132" spans="4:17" x14ac:dyDescent="0.2">
      <c r="D132" s="19" t="s">
        <v>237</v>
      </c>
      <c r="E132">
        <f>L75/L75</f>
        <v>1</v>
      </c>
      <c r="F132">
        <f>N75/L75</f>
        <v>0</v>
      </c>
      <c r="G132">
        <f>P75/L75</f>
        <v>0.41814789687924014</v>
      </c>
      <c r="H132">
        <f>R75/L75</f>
        <v>0</v>
      </c>
      <c r="I132">
        <f>T75/L75</f>
        <v>0</v>
      </c>
      <c r="J132">
        <f>V75/L75</f>
        <v>2.4182916781104031E-2</v>
      </c>
      <c r="K132">
        <f>X75/L75</f>
        <v>6.7997985394107312</v>
      </c>
      <c r="L132">
        <f>Z75/L75</f>
        <v>61.890815370196698</v>
      </c>
      <c r="M132" s="64">
        <f>AB75/L75</f>
        <v>54.435857805255111</v>
      </c>
      <c r="P132" s="64" t="s">
        <v>688</v>
      </c>
      <c r="Q132" s="64"/>
    </row>
    <row r="133" spans="4:17" x14ac:dyDescent="0.2">
      <c r="D133" s="19" t="s">
        <v>238</v>
      </c>
      <c r="E133">
        <f>L76/L76</f>
        <v>1</v>
      </c>
      <c r="F133">
        <f>N76/L76</f>
        <v>0.10607808185662859</v>
      </c>
      <c r="G133">
        <f>P76/L76</f>
        <v>1.7916174734356614E-2</v>
      </c>
      <c r="H133">
        <f>R76/L76</f>
        <v>2.8676520213268622E-2</v>
      </c>
      <c r="I133">
        <f>T76/L76</f>
        <v>1.8769325912183058E-2</v>
      </c>
      <c r="J133">
        <f>V76/L76</f>
        <v>1.8769325912183058E-2</v>
      </c>
      <c r="K133">
        <f>X76/L76</f>
        <v>4.0875420875420967E-2</v>
      </c>
      <c r="L133">
        <f>Z76/L76</f>
        <v>3.656287647113346E-2</v>
      </c>
      <c r="M133">
        <f>AB76/L76</f>
        <v>0.68516106624989381</v>
      </c>
      <c r="P133" s="64"/>
      <c r="Q133" s="64" t="s">
        <v>689</v>
      </c>
    </row>
    <row r="134" spans="4:17" x14ac:dyDescent="0.2">
      <c r="D134" s="19" t="s">
        <v>239</v>
      </c>
      <c r="E134">
        <f>L77/L77</f>
        <v>1</v>
      </c>
      <c r="F134">
        <f>N77/L77</f>
        <v>0.38370555525367273</v>
      </c>
      <c r="G134">
        <f>P77/L77</f>
        <v>0</v>
      </c>
      <c r="H134">
        <f>R77/L77</f>
        <v>1.1366758241758259E-3</v>
      </c>
      <c r="I134">
        <f>T77/L77</f>
        <v>0</v>
      </c>
      <c r="J134">
        <f>V77/L77</f>
        <v>8.5974025974026055E-4</v>
      </c>
      <c r="K134">
        <f>X77/L77</f>
        <v>0.16066472756914982</v>
      </c>
      <c r="L134">
        <f>Z77/L77</f>
        <v>0.25286478227654718</v>
      </c>
      <c r="M134" s="64">
        <f>AB77/L77</f>
        <v>5.5572564317811404</v>
      </c>
      <c r="P134" s="64" t="s">
        <v>690</v>
      </c>
      <c r="Q134" s="64"/>
    </row>
    <row r="135" spans="4:17" x14ac:dyDescent="0.2">
      <c r="D135" s="19" t="s">
        <v>240</v>
      </c>
      <c r="E135">
        <f>L78/L78</f>
        <v>1</v>
      </c>
      <c r="F135">
        <f>N78/L78</f>
        <v>3.2888888888888877E-2</v>
      </c>
      <c r="G135">
        <f>P78/L78</f>
        <v>0.61283643892339446</v>
      </c>
      <c r="H135">
        <f>R78/L78</f>
        <v>0.25694444444444453</v>
      </c>
      <c r="I135">
        <f>T78/L78</f>
        <v>0.55005807200928958</v>
      </c>
      <c r="J135">
        <f>V78/L78</f>
        <v>0.41254355400696718</v>
      </c>
      <c r="K135">
        <f>X78/L78</f>
        <v>3.6430769230769191</v>
      </c>
      <c r="L135">
        <f>Z78/L78</f>
        <v>1.8793650793650754</v>
      </c>
      <c r="M135">
        <f>AB78/L78</f>
        <v>0.16250980392156847</v>
      </c>
      <c r="P135" s="64"/>
      <c r="Q135" s="64" t="s">
        <v>691</v>
      </c>
    </row>
    <row r="136" spans="4:17" s="2" customFormat="1" x14ac:dyDescent="0.2">
      <c r="D136" s="36" t="s">
        <v>241</v>
      </c>
      <c r="E136" s="2">
        <f>L79/L79</f>
        <v>1</v>
      </c>
      <c r="F136" s="2">
        <f>N79/L79</f>
        <v>0.67557777376545791</v>
      </c>
      <c r="G136" s="2">
        <f>P79/L79</f>
        <v>1.7058603956700245E-2</v>
      </c>
      <c r="H136" s="2">
        <f>R79/L79</f>
        <v>3.4135830843484184E-2</v>
      </c>
      <c r="I136" s="2">
        <f>T79/L79</f>
        <v>1.5332885984362251E-2</v>
      </c>
      <c r="J136" s="2">
        <f>V79/L79</f>
        <v>1.5332885984362251E-2</v>
      </c>
      <c r="K136" s="2">
        <f>X79/L79</f>
        <v>2.9063112106026274E-4</v>
      </c>
      <c r="L136" s="2">
        <f>Z79/L79</f>
        <v>4.5843643416036877E-3</v>
      </c>
      <c r="M136" s="2">
        <f>AB79/L79</f>
        <v>1.102736615000283E-2</v>
      </c>
      <c r="P136" s="68"/>
      <c r="Q136" s="68" t="s">
        <v>695</v>
      </c>
    </row>
    <row r="137" spans="4:17" x14ac:dyDescent="0.2">
      <c r="D137" s="21" t="s">
        <v>242</v>
      </c>
      <c r="E137">
        <f>L80/L80</f>
        <v>1</v>
      </c>
      <c r="F137">
        <f>N80/L80</f>
        <v>0.11870255348516216</v>
      </c>
      <c r="G137">
        <f>P80/L80</f>
        <v>8.0074487895717E-2</v>
      </c>
      <c r="H137">
        <f>R80/L80</f>
        <v>4.801786711334452E-2</v>
      </c>
      <c r="I137">
        <f>T80/L80</f>
        <v>0.22711267605633817</v>
      </c>
      <c r="J137">
        <f>V80/L80</f>
        <v>1.6823161189358386E-2</v>
      </c>
      <c r="K137">
        <f>X80/L80</f>
        <v>0.13691972515501943</v>
      </c>
      <c r="L137">
        <f>Z80/L80</f>
        <v>1.7437145174371466E-2</v>
      </c>
      <c r="M137">
        <f>AB80/L80</f>
        <v>0.18143459915611809</v>
      </c>
      <c r="P137" s="64"/>
      <c r="Q137" s="64" t="s">
        <v>696</v>
      </c>
    </row>
    <row r="138" spans="4:17" x14ac:dyDescent="0.2">
      <c r="D138" s="21" t="s">
        <v>243</v>
      </c>
      <c r="E138">
        <f>L81/L81</f>
        <v>1</v>
      </c>
      <c r="F138">
        <f>N81/L81</f>
        <v>0.16761658800130616</v>
      </c>
      <c r="G138">
        <f>P81/L81</f>
        <v>0.53837719298245668</v>
      </c>
      <c r="H138">
        <f>R81/L81</f>
        <v>0.20897954946537972</v>
      </c>
      <c r="I138">
        <f>T81/L81</f>
        <v>0.1016405320084874</v>
      </c>
      <c r="J138">
        <f>V81/L81</f>
        <v>0.40656212803394959</v>
      </c>
      <c r="K138">
        <f>X81/L81</f>
        <v>1.5307655244735421E-2</v>
      </c>
      <c r="L138">
        <f>Z81/L81</f>
        <v>8.56053176419308E-2</v>
      </c>
      <c r="M138">
        <f>AB81/L81</f>
        <v>5.8315518001968185E-3</v>
      </c>
      <c r="P138" s="64"/>
      <c r="Q138" s="64" t="s">
        <v>697</v>
      </c>
    </row>
    <row r="139" spans="4:17" x14ac:dyDescent="0.2">
      <c r="D139" s="21" t="s">
        <v>244</v>
      </c>
      <c r="E139">
        <f>L82/L82</f>
        <v>1</v>
      </c>
      <c r="F139">
        <f>N82/L82</f>
        <v>7.1504623143737805E-4</v>
      </c>
      <c r="G139">
        <f>P82/L82</f>
        <v>2.63772609819121E-2</v>
      </c>
      <c r="H139">
        <f>R82/L82</f>
        <v>1.012087946952629E-2</v>
      </c>
      <c r="I139">
        <f>T82/L82</f>
        <v>6.193640246796385E-4</v>
      </c>
      <c r="J139">
        <f>V82/L82</f>
        <v>2.7389653535832901E-3</v>
      </c>
      <c r="K139">
        <f>X82/L82</f>
        <v>7.6367989056087414E-4</v>
      </c>
      <c r="L139">
        <f>Z82/L82</f>
        <v>3.4076900109478105E-3</v>
      </c>
      <c r="M139">
        <f>AB82/L82</f>
        <v>5.2719020939622462E-3</v>
      </c>
      <c r="P139" s="64"/>
      <c r="Q139" s="64" t="s">
        <v>698</v>
      </c>
    </row>
    <row r="140" spans="4:17" x14ac:dyDescent="0.2">
      <c r="D140" s="21" t="s">
        <v>245</v>
      </c>
      <c r="E140">
        <f>L83/L83</f>
        <v>1</v>
      </c>
      <c r="F140">
        <f>N83/L83</f>
        <v>2.1726032414614054E-2</v>
      </c>
      <c r="G140">
        <f>P83/L83</f>
        <v>1.9909727798853596E-3</v>
      </c>
      <c r="H140">
        <f>R83/L83</f>
        <v>1.6016930274003118E-3</v>
      </c>
      <c r="I140">
        <f>T83/L83</f>
        <v>1.0204129905149392E-3</v>
      </c>
      <c r="J140">
        <f>V83/L83</f>
        <v>1.2585093549684252E-2</v>
      </c>
      <c r="K140">
        <f>X83/L83</f>
        <v>7.2642939150401971E-3</v>
      </c>
      <c r="L140">
        <f>Z83/L83</f>
        <v>1.490464344941959E-3</v>
      </c>
      <c r="M140">
        <f>AB83/L83</f>
        <v>3.4524428794366056E-3</v>
      </c>
      <c r="P140" s="64"/>
      <c r="Q140" s="64" t="s">
        <v>699</v>
      </c>
    </row>
    <row r="141" spans="4:17" x14ac:dyDescent="0.2">
      <c r="D141" s="21" t="s">
        <v>246</v>
      </c>
      <c r="E141">
        <f>L84/L84</f>
        <v>1</v>
      </c>
      <c r="F141">
        <f>N84/L84</f>
        <v>0.23324572930354798</v>
      </c>
      <c r="G141">
        <f>P84/L84</f>
        <v>1.6279585798816529</v>
      </c>
      <c r="H141">
        <f>R84/L84</f>
        <v>0.32526178010471174</v>
      </c>
      <c r="I141">
        <f>T84/L84</f>
        <v>1.3110795454545421</v>
      </c>
      <c r="J141">
        <f>V84/L84</f>
        <v>7.563920454545435E-2</v>
      </c>
      <c r="K141">
        <f>X84/L84</f>
        <v>4.4508525576730157E-2</v>
      </c>
      <c r="L141">
        <f>Z84/L84</f>
        <v>0.1429146537842188</v>
      </c>
      <c r="M141" s="64">
        <f>AB84/L84</f>
        <v>1.4360422740524774</v>
      </c>
      <c r="P141" s="64" t="s">
        <v>700</v>
      </c>
      <c r="Q141" s="64"/>
    </row>
    <row r="142" spans="4:17" x14ac:dyDescent="0.2">
      <c r="D142" s="21" t="s">
        <v>247</v>
      </c>
      <c r="E142">
        <f>L85/L85</f>
        <v>1</v>
      </c>
      <c r="F142">
        <f>N85/L85</f>
        <v>1.3867280014574608E-2</v>
      </c>
      <c r="G142">
        <f>P85/L85</f>
        <v>8.0060700169395926E-2</v>
      </c>
      <c r="H142">
        <f>R85/L85</f>
        <v>3.312544389204549E-3</v>
      </c>
      <c r="I142">
        <f>T85/L85</f>
        <v>1.6703254132231407E-3</v>
      </c>
      <c r="J142">
        <f>V85/L85</f>
        <v>7.709194214876034E-4</v>
      </c>
      <c r="K142">
        <f>X85/L85</f>
        <v>1.0981442119032089E-3</v>
      </c>
      <c r="L142">
        <f>Z85/L85</f>
        <v>1.1272658610271932E-3</v>
      </c>
      <c r="M142">
        <f>AB85/L85</f>
        <v>1.7247688751926081E-3</v>
      </c>
      <c r="P142" s="64"/>
      <c r="Q142" s="64" t="s">
        <v>701</v>
      </c>
    </row>
    <row r="143" spans="4:17" x14ac:dyDescent="0.2">
      <c r="D143" s="22" t="s">
        <v>248</v>
      </c>
      <c r="E143">
        <f>L86/L86</f>
        <v>1</v>
      </c>
      <c r="F143">
        <f>N86/L86</f>
        <v>0.16191500806885423</v>
      </c>
      <c r="G143">
        <f>P86/L86</f>
        <v>0.12917068984014579</v>
      </c>
      <c r="H143">
        <f>R86/L86</f>
        <v>3.8914027149321288E-2</v>
      </c>
      <c r="I143">
        <f>T86/L86</f>
        <v>3.3850652271704966E-2</v>
      </c>
      <c r="J143">
        <f>V86/L86</f>
        <v>0.12411905832958488</v>
      </c>
      <c r="K143">
        <f>X86/L86</f>
        <v>0</v>
      </c>
      <c r="L143">
        <f>Z86/L86</f>
        <v>0</v>
      </c>
      <c r="M143">
        <f>AB86/L86</f>
        <v>8.2633283918080599E-2</v>
      </c>
      <c r="P143" s="64"/>
      <c r="Q143" s="64" t="s">
        <v>702</v>
      </c>
    </row>
    <row r="159" spans="4:15" x14ac:dyDescent="0.2">
      <c r="D159" s="53" t="s">
        <v>558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</row>
    <row r="160" spans="4:15" x14ac:dyDescent="0.2">
      <c r="D160" s="4"/>
      <c r="O160" s="5"/>
    </row>
    <row r="161" spans="4:15" x14ac:dyDescent="0.2">
      <c r="D161" s="47" t="s">
        <v>423</v>
      </c>
      <c r="E161" s="43" t="s">
        <v>601</v>
      </c>
      <c r="G161" s="43" t="s">
        <v>605</v>
      </c>
      <c r="H161" s="43"/>
      <c r="I161" s="43" t="s">
        <v>609</v>
      </c>
      <c r="K161" s="43" t="s">
        <v>613</v>
      </c>
      <c r="M161" s="43" t="s">
        <v>617</v>
      </c>
      <c r="O161" s="48" t="s">
        <v>620</v>
      </c>
    </row>
    <row r="162" spans="4:15" x14ac:dyDescent="0.2">
      <c r="D162" s="47"/>
      <c r="E162" s="43"/>
      <c r="G162" s="43"/>
      <c r="H162" s="43"/>
      <c r="I162" s="43"/>
      <c r="K162" s="43"/>
      <c r="M162" s="43"/>
      <c r="O162" s="48"/>
    </row>
    <row r="163" spans="4:15" x14ac:dyDescent="0.2">
      <c r="D163" s="47" t="s">
        <v>562</v>
      </c>
      <c r="E163" s="43" t="s">
        <v>746</v>
      </c>
      <c r="G163" s="43" t="s">
        <v>746</v>
      </c>
      <c r="H163" s="43"/>
      <c r="I163" s="43" t="s">
        <v>746</v>
      </c>
      <c r="K163" s="43" t="s">
        <v>746</v>
      </c>
      <c r="M163" s="43" t="s">
        <v>746</v>
      </c>
      <c r="O163" s="43" t="s">
        <v>746</v>
      </c>
    </row>
    <row r="164" spans="4:15" x14ac:dyDescent="0.2">
      <c r="D164" s="47" t="s">
        <v>560</v>
      </c>
      <c r="E164" s="43" t="s">
        <v>561</v>
      </c>
      <c r="G164" s="43" t="s">
        <v>561</v>
      </c>
      <c r="H164" s="43"/>
      <c r="I164" s="43" t="s">
        <v>561</v>
      </c>
      <c r="K164" s="43" t="s">
        <v>561</v>
      </c>
      <c r="M164" s="43" t="s">
        <v>561</v>
      </c>
      <c r="O164" s="43" t="s">
        <v>561</v>
      </c>
    </row>
    <row r="165" spans="4:15" x14ac:dyDescent="0.2">
      <c r="D165" s="47" t="s">
        <v>559</v>
      </c>
      <c r="E165" s="43" t="s">
        <v>109</v>
      </c>
      <c r="G165" s="43" t="s">
        <v>109</v>
      </c>
      <c r="H165" s="43"/>
      <c r="I165" s="43" t="s">
        <v>109</v>
      </c>
      <c r="K165" s="43" t="s">
        <v>109</v>
      </c>
      <c r="M165" s="43" t="s">
        <v>109</v>
      </c>
      <c r="O165" s="43" t="s">
        <v>109</v>
      </c>
    </row>
    <row r="166" spans="4:15" x14ac:dyDescent="0.2">
      <c r="D166" s="47"/>
      <c r="E166" s="43"/>
      <c r="G166" s="43"/>
      <c r="H166" s="43"/>
      <c r="I166" s="43"/>
      <c r="K166" s="43"/>
      <c r="M166" s="43"/>
      <c r="O166" s="48"/>
    </row>
    <row r="167" spans="4:15" x14ac:dyDescent="0.2">
      <c r="D167" s="47" t="s">
        <v>564</v>
      </c>
      <c r="E167" s="43"/>
      <c r="G167" s="43"/>
      <c r="H167" s="43"/>
      <c r="I167" s="43"/>
      <c r="K167" s="43"/>
      <c r="M167" s="43"/>
      <c r="O167" s="48"/>
    </row>
    <row r="168" spans="4:15" x14ac:dyDescent="0.2">
      <c r="D168" s="47" t="s">
        <v>428</v>
      </c>
      <c r="E168" s="43">
        <v>0.2681</v>
      </c>
      <c r="G168" s="43">
        <v>9.2899999999999996E-2</v>
      </c>
      <c r="H168" s="43"/>
      <c r="I168" s="43">
        <v>0.39689999999999998</v>
      </c>
      <c r="K168" s="43">
        <v>3.7000000000000002E-3</v>
      </c>
      <c r="M168" s="43">
        <v>3.7000000000000002E-3</v>
      </c>
      <c r="O168" s="48">
        <v>2.8899999999999999E-2</v>
      </c>
    </row>
    <row r="169" spans="4:15" x14ac:dyDescent="0.2">
      <c r="D169" s="47" t="s">
        <v>565</v>
      </c>
      <c r="E169" s="43" t="s">
        <v>566</v>
      </c>
      <c r="G169" s="43" t="s">
        <v>566</v>
      </c>
      <c r="H169" s="43"/>
      <c r="I169" s="43" t="s">
        <v>566</v>
      </c>
      <c r="K169" s="43" t="s">
        <v>566</v>
      </c>
      <c r="M169" s="43" t="s">
        <v>566</v>
      </c>
      <c r="O169" s="48" t="s">
        <v>566</v>
      </c>
    </row>
    <row r="170" spans="4:15" x14ac:dyDescent="0.2">
      <c r="D170" s="47" t="s">
        <v>429</v>
      </c>
      <c r="E170" s="43" t="s">
        <v>323</v>
      </c>
      <c r="G170" s="43" t="s">
        <v>323</v>
      </c>
      <c r="H170" s="43"/>
      <c r="I170" s="43" t="s">
        <v>323</v>
      </c>
      <c r="K170" s="43" t="s">
        <v>502</v>
      </c>
      <c r="M170" s="43" t="s">
        <v>502</v>
      </c>
      <c r="O170" s="48" t="s">
        <v>321</v>
      </c>
    </row>
    <row r="171" spans="4:15" x14ac:dyDescent="0.2">
      <c r="D171" s="47" t="s">
        <v>567</v>
      </c>
      <c r="E171" s="43" t="s">
        <v>413</v>
      </c>
      <c r="G171" s="43" t="s">
        <v>413</v>
      </c>
      <c r="H171" s="43"/>
      <c r="I171" s="43" t="s">
        <v>413</v>
      </c>
      <c r="K171" s="43" t="s">
        <v>406</v>
      </c>
      <c r="M171" s="43" t="s">
        <v>406</v>
      </c>
      <c r="O171" s="48" t="s">
        <v>406</v>
      </c>
    </row>
    <row r="172" spans="4:15" x14ac:dyDescent="0.2">
      <c r="D172" s="47" t="s">
        <v>568</v>
      </c>
      <c r="E172" s="43" t="s">
        <v>569</v>
      </c>
      <c r="G172" s="43" t="s">
        <v>569</v>
      </c>
      <c r="H172" s="43"/>
      <c r="I172" s="43" t="s">
        <v>569</v>
      </c>
      <c r="K172" s="43" t="s">
        <v>569</v>
      </c>
      <c r="M172" s="43" t="s">
        <v>569</v>
      </c>
      <c r="O172" s="48" t="s">
        <v>569</v>
      </c>
    </row>
    <row r="173" spans="4:15" x14ac:dyDescent="0.2">
      <c r="D173" s="47" t="s">
        <v>570</v>
      </c>
      <c r="E173" s="43" t="s">
        <v>602</v>
      </c>
      <c r="G173" s="43" t="s">
        <v>606</v>
      </c>
      <c r="H173" s="43"/>
      <c r="I173" s="43" t="s">
        <v>610</v>
      </c>
      <c r="K173" s="43" t="s">
        <v>614</v>
      </c>
      <c r="M173" s="43" t="s">
        <v>614</v>
      </c>
      <c r="O173" s="48" t="s">
        <v>621</v>
      </c>
    </row>
    <row r="174" spans="4:15" x14ac:dyDescent="0.2">
      <c r="D174" s="47" t="s">
        <v>563</v>
      </c>
      <c r="E174" s="43">
        <v>18</v>
      </c>
      <c r="G174" s="43">
        <v>13</v>
      </c>
      <c r="H174" s="43"/>
      <c r="I174" s="43">
        <v>20</v>
      </c>
      <c r="K174" s="43">
        <v>4</v>
      </c>
      <c r="M174" s="43">
        <v>4</v>
      </c>
      <c r="O174" s="48">
        <v>9</v>
      </c>
    </row>
    <row r="175" spans="4:15" x14ac:dyDescent="0.2">
      <c r="D175" s="47"/>
      <c r="E175" s="43"/>
      <c r="G175" s="43"/>
      <c r="H175" s="43"/>
      <c r="I175" s="43"/>
      <c r="K175" s="43"/>
      <c r="M175" s="43"/>
      <c r="O175" s="48"/>
    </row>
    <row r="176" spans="4:15" x14ac:dyDescent="0.2">
      <c r="D176" s="47" t="s">
        <v>572</v>
      </c>
      <c r="E176" s="43"/>
      <c r="G176" s="43"/>
      <c r="H176" s="43"/>
      <c r="I176" s="43"/>
      <c r="K176" s="43"/>
      <c r="M176" s="43"/>
      <c r="O176" s="48"/>
    </row>
    <row r="177" spans="1:18" x14ac:dyDescent="0.2">
      <c r="D177" s="47" t="s">
        <v>573</v>
      </c>
      <c r="E177" s="43" t="s">
        <v>603</v>
      </c>
      <c r="G177" s="43" t="s">
        <v>607</v>
      </c>
      <c r="H177" s="43"/>
      <c r="I177" s="43" t="s">
        <v>611</v>
      </c>
      <c r="K177" s="43" t="s">
        <v>615</v>
      </c>
      <c r="M177" s="43" t="s">
        <v>618</v>
      </c>
      <c r="O177" s="48" t="s">
        <v>622</v>
      </c>
    </row>
    <row r="178" spans="1:18" x14ac:dyDescent="0.2">
      <c r="D178" s="47" t="s">
        <v>575</v>
      </c>
      <c r="E178" s="43" t="s">
        <v>604</v>
      </c>
      <c r="F178" s="54"/>
      <c r="G178" s="43" t="s">
        <v>608</v>
      </c>
      <c r="H178" s="43"/>
      <c r="I178" s="43" t="s">
        <v>612</v>
      </c>
      <c r="J178" s="54"/>
      <c r="K178" s="43" t="s">
        <v>616</v>
      </c>
      <c r="M178" s="43" t="s">
        <v>619</v>
      </c>
      <c r="O178" s="48" t="s">
        <v>623</v>
      </c>
    </row>
    <row r="179" spans="1:18" x14ac:dyDescent="0.2">
      <c r="D179" s="47" t="s">
        <v>577</v>
      </c>
      <c r="E179" s="43">
        <v>0.1074</v>
      </c>
      <c r="F179" s="43"/>
      <c r="G179" s="43">
        <v>3.5389999999999998E-2</v>
      </c>
      <c r="H179" s="43"/>
      <c r="I179" s="43">
        <v>-8.1049999999999994E-3</v>
      </c>
      <c r="J179" s="43"/>
      <c r="K179" s="43">
        <v>-0.1565</v>
      </c>
      <c r="M179" s="43">
        <v>-0.24890000000000001</v>
      </c>
      <c r="O179" s="48">
        <v>-0.67669999999999997</v>
      </c>
    </row>
    <row r="180" spans="1:18" x14ac:dyDescent="0.2">
      <c r="D180" s="49" t="s">
        <v>578</v>
      </c>
      <c r="E180" s="50">
        <v>2.8670000000000001E-2</v>
      </c>
      <c r="F180" s="50"/>
      <c r="G180" s="50">
        <v>1.9179999999999999E-2</v>
      </c>
      <c r="H180" s="50"/>
      <c r="I180" s="50">
        <v>-8.1049999999999994E-3</v>
      </c>
      <c r="J180" s="50"/>
      <c r="K180" s="50">
        <v>-0.1565</v>
      </c>
      <c r="L180" s="10"/>
      <c r="M180" s="50">
        <v>-0.24890000000000001</v>
      </c>
      <c r="N180" s="10"/>
      <c r="O180" s="51">
        <v>-0.67669999999999997</v>
      </c>
    </row>
    <row r="181" spans="1:18" x14ac:dyDescent="0.2">
      <c r="D181" s="44"/>
      <c r="E181" s="43"/>
      <c r="F181" s="43"/>
      <c r="G181" s="43"/>
      <c r="H181" s="43"/>
      <c r="I181" s="43"/>
      <c r="J181" s="43"/>
      <c r="K181" s="43"/>
      <c r="O181" s="43"/>
    </row>
    <row r="182" spans="1:18" x14ac:dyDescent="0.2">
      <c r="D182" s="44"/>
      <c r="E182" s="43"/>
      <c r="F182" s="43"/>
      <c r="G182" s="43"/>
      <c r="H182" s="43"/>
      <c r="I182" s="43"/>
      <c r="J182" s="43"/>
      <c r="K182" s="43"/>
    </row>
    <row r="183" spans="1:18" s="15" customFormat="1" ht="21" x14ac:dyDescent="0.25">
      <c r="A183" s="14" t="s">
        <v>745</v>
      </c>
    </row>
    <row r="184" spans="1:18" x14ac:dyDescent="0.2">
      <c r="D184" s="44"/>
      <c r="E184" s="43"/>
      <c r="F184" s="43"/>
      <c r="G184" s="43"/>
      <c r="H184" s="43"/>
      <c r="I184" s="43"/>
      <c r="J184" s="43"/>
      <c r="K184" s="43"/>
    </row>
    <row r="185" spans="1:18" x14ac:dyDescent="0.2">
      <c r="A185" t="s">
        <v>192</v>
      </c>
      <c r="D185" s="44"/>
      <c r="E185" s="43"/>
      <c r="F185" s="43"/>
      <c r="G185" s="43"/>
      <c r="H185" s="43"/>
      <c r="I185" s="43"/>
      <c r="J185" s="43"/>
      <c r="K185" s="43"/>
    </row>
    <row r="186" spans="1:18" x14ac:dyDescent="0.2">
      <c r="D186" s="44"/>
      <c r="E186" s="43"/>
      <c r="F186" s="43"/>
      <c r="G186" s="43"/>
      <c r="H186" s="43"/>
      <c r="I186" s="43"/>
      <c r="J186" s="43"/>
      <c r="K186" s="43"/>
    </row>
    <row r="187" spans="1:18" x14ac:dyDescent="0.2">
      <c r="A187" t="s">
        <v>57</v>
      </c>
      <c r="D187" t="s">
        <v>55</v>
      </c>
      <c r="H187" t="s">
        <v>656</v>
      </c>
    </row>
    <row r="188" spans="1:18" x14ac:dyDescent="0.2">
      <c r="C188" t="s">
        <v>60</v>
      </c>
      <c r="D188" t="s">
        <v>61</v>
      </c>
      <c r="E188" t="s">
        <v>62</v>
      </c>
      <c r="G188" t="s">
        <v>60</v>
      </c>
      <c r="H188" t="s">
        <v>61</v>
      </c>
      <c r="I188" t="s">
        <v>62</v>
      </c>
      <c r="K188" t="s">
        <v>657</v>
      </c>
      <c r="L188" t="s">
        <v>658</v>
      </c>
      <c r="M188" t="s">
        <v>659</v>
      </c>
      <c r="N188" t="s">
        <v>660</v>
      </c>
    </row>
    <row r="189" spans="1:18" x14ac:dyDescent="0.2">
      <c r="B189" t="s">
        <v>661</v>
      </c>
      <c r="C189">
        <f t="shared" ref="C189:C192" si="7">10^5</f>
        <v>100000</v>
      </c>
      <c r="D189">
        <v>49</v>
      </c>
      <c r="E189">
        <f>C189*D189/0.004</f>
        <v>1225000000</v>
      </c>
      <c r="G189">
        <f t="shared" ref="G189:G191" si="8">10^4</f>
        <v>10000</v>
      </c>
      <c r="H189">
        <v>36</v>
      </c>
      <c r="I189">
        <f>G189*H189/0.004</f>
        <v>90000000</v>
      </c>
      <c r="K189">
        <f>E189-I189</f>
        <v>1135000000</v>
      </c>
      <c r="L189">
        <f>I189</f>
        <v>90000000</v>
      </c>
      <c r="M189">
        <f>L189/K189</f>
        <v>7.9295154185022032E-2</v>
      </c>
      <c r="N189">
        <f>K189/L189</f>
        <v>12.611111111111111</v>
      </c>
    </row>
    <row r="190" spans="1:18" x14ac:dyDescent="0.2">
      <c r="B190" t="s">
        <v>662</v>
      </c>
      <c r="C190">
        <f t="shared" si="7"/>
        <v>100000</v>
      </c>
      <c r="D190">
        <v>42</v>
      </c>
      <c r="E190">
        <f>C190*D190/0.004</f>
        <v>1050000000</v>
      </c>
      <c r="G190">
        <f t="shared" si="8"/>
        <v>10000</v>
      </c>
      <c r="H190">
        <v>26</v>
      </c>
      <c r="I190">
        <f>G190*H190/0.004</f>
        <v>65000000</v>
      </c>
      <c r="K190">
        <f t="shared" ref="K190:K192" si="9">E190-I190</f>
        <v>985000000</v>
      </c>
      <c r="L190">
        <f t="shared" ref="L190:L192" si="10">I190</f>
        <v>65000000</v>
      </c>
      <c r="M190">
        <f t="shared" ref="M190:M192" si="11">L190/K190</f>
        <v>6.5989847715736044E-2</v>
      </c>
      <c r="N190">
        <f t="shared" ref="N190:N192" si="12">K190/L190</f>
        <v>15.153846153846153</v>
      </c>
    </row>
    <row r="191" spans="1:18" x14ac:dyDescent="0.2">
      <c r="B191" t="s">
        <v>663</v>
      </c>
      <c r="C191">
        <f t="shared" si="7"/>
        <v>100000</v>
      </c>
      <c r="D191">
        <v>46</v>
      </c>
      <c r="E191">
        <f>C191*D191/0.004</f>
        <v>1150000000</v>
      </c>
      <c r="G191">
        <f t="shared" si="8"/>
        <v>10000</v>
      </c>
      <c r="H191">
        <v>31</v>
      </c>
      <c r="I191">
        <f>G191*H191/0.004</f>
        <v>77500000</v>
      </c>
      <c r="K191">
        <f t="shared" si="9"/>
        <v>1072500000</v>
      </c>
      <c r="L191">
        <f t="shared" si="10"/>
        <v>77500000</v>
      </c>
      <c r="M191">
        <f t="shared" si="11"/>
        <v>7.2261072261072257E-2</v>
      </c>
      <c r="N191">
        <f t="shared" si="12"/>
        <v>13.838709677419354</v>
      </c>
    </row>
    <row r="192" spans="1:18" x14ac:dyDescent="0.2">
      <c r="B192" t="s">
        <v>664</v>
      </c>
      <c r="C192">
        <f t="shared" si="7"/>
        <v>100000</v>
      </c>
      <c r="D192">
        <v>42</v>
      </c>
      <c r="E192">
        <f t="shared" ref="E192" si="13">C192*D192/0.004</f>
        <v>1050000000</v>
      </c>
      <c r="G192">
        <f>10^4</f>
        <v>10000</v>
      </c>
      <c r="H192">
        <v>20</v>
      </c>
      <c r="I192">
        <f t="shared" ref="I192" si="14">G192*H192/0.004</f>
        <v>50000000</v>
      </c>
      <c r="K192">
        <f t="shared" si="9"/>
        <v>1000000000</v>
      </c>
      <c r="L192">
        <f t="shared" si="10"/>
        <v>50000000</v>
      </c>
      <c r="M192">
        <f t="shared" si="11"/>
        <v>0.05</v>
      </c>
      <c r="N192">
        <f t="shared" si="12"/>
        <v>20</v>
      </c>
      <c r="R192" t="s">
        <v>665</v>
      </c>
    </row>
    <row r="193" spans="2:24" x14ac:dyDescent="0.2">
      <c r="R193" t="s">
        <v>93</v>
      </c>
      <c r="W193" t="s">
        <v>94</v>
      </c>
      <c r="X193" t="s">
        <v>99</v>
      </c>
    </row>
    <row r="194" spans="2:24" x14ac:dyDescent="0.2">
      <c r="B194" t="s">
        <v>666</v>
      </c>
      <c r="C194">
        <f t="shared" ref="C194:C197" si="15">10^5</f>
        <v>100000</v>
      </c>
      <c r="D194">
        <v>35</v>
      </c>
      <c r="E194">
        <f t="shared" ref="E194:E197" si="16">C194*D194/0.004</f>
        <v>875000000</v>
      </c>
      <c r="G194">
        <f t="shared" ref="G194:G197" si="17">10^5</f>
        <v>100000</v>
      </c>
      <c r="H194">
        <v>29</v>
      </c>
      <c r="I194">
        <f t="shared" ref="I194:I197" si="18">G194*H194/0.004</f>
        <v>725000000</v>
      </c>
      <c r="K194">
        <f t="shared" ref="K194:K197" si="19">E194-I194</f>
        <v>150000000</v>
      </c>
      <c r="L194">
        <f t="shared" ref="L194:L197" si="20">I194</f>
        <v>725000000</v>
      </c>
      <c r="M194">
        <f t="shared" ref="M194:M197" si="21">L194/K194</f>
        <v>4.833333333333333</v>
      </c>
      <c r="N194">
        <f t="shared" ref="N194:N197" si="22">K194/L194</f>
        <v>0.20689655172413793</v>
      </c>
      <c r="Q194" t="s">
        <v>661</v>
      </c>
      <c r="R194">
        <f>M215/M189</f>
        <v>5.0464630296563071E-3</v>
      </c>
      <c r="V194" t="s">
        <v>667</v>
      </c>
      <c r="W194">
        <f>AVERAGE(R194:R197)</f>
        <v>4.0770161406906598E-3</v>
      </c>
      <c r="X194">
        <f>STDEV(R194:R197)/SQRT(4)</f>
        <v>8.8264832614691425E-4</v>
      </c>
    </row>
    <row r="195" spans="2:24" x14ac:dyDescent="0.2">
      <c r="B195" t="s">
        <v>668</v>
      </c>
      <c r="C195">
        <f t="shared" si="15"/>
        <v>100000</v>
      </c>
      <c r="D195">
        <v>27</v>
      </c>
      <c r="E195">
        <f t="shared" si="16"/>
        <v>675000000</v>
      </c>
      <c r="G195">
        <f t="shared" si="17"/>
        <v>100000</v>
      </c>
      <c r="H195">
        <v>20</v>
      </c>
      <c r="I195">
        <f t="shared" si="18"/>
        <v>500000000</v>
      </c>
      <c r="K195">
        <f t="shared" si="19"/>
        <v>175000000</v>
      </c>
      <c r="L195">
        <f t="shared" si="20"/>
        <v>500000000</v>
      </c>
      <c r="M195">
        <f t="shared" si="21"/>
        <v>2.8571428571428572</v>
      </c>
      <c r="N195">
        <f t="shared" si="22"/>
        <v>0.35</v>
      </c>
      <c r="Q195" t="s">
        <v>662</v>
      </c>
      <c r="R195">
        <f>M216/M190</f>
        <v>1.5155361690015155E-3</v>
      </c>
      <c r="V195" t="s">
        <v>669</v>
      </c>
      <c r="W195">
        <f>AVERAGE(R199:R202)</f>
        <v>1.9824436339522546</v>
      </c>
      <c r="X195">
        <f>STDEV(R199:R202)/SQRT(4)</f>
        <v>0.4861690983735828</v>
      </c>
    </row>
    <row r="196" spans="2:24" x14ac:dyDescent="0.2">
      <c r="B196" t="s">
        <v>670</v>
      </c>
      <c r="C196">
        <f t="shared" si="15"/>
        <v>100000</v>
      </c>
      <c r="D196">
        <v>28</v>
      </c>
      <c r="E196">
        <f t="shared" si="16"/>
        <v>700000000</v>
      </c>
      <c r="G196">
        <f t="shared" si="17"/>
        <v>100000</v>
      </c>
      <c r="H196">
        <v>24</v>
      </c>
      <c r="I196">
        <f t="shared" si="18"/>
        <v>600000000</v>
      </c>
      <c r="K196">
        <f t="shared" si="19"/>
        <v>100000000</v>
      </c>
      <c r="L196">
        <f t="shared" si="20"/>
        <v>600000000</v>
      </c>
      <c r="M196">
        <f t="shared" si="21"/>
        <v>6</v>
      </c>
      <c r="N196">
        <f t="shared" si="22"/>
        <v>0.16666666666666666</v>
      </c>
      <c r="Q196" t="s">
        <v>663</v>
      </c>
      <c r="R196">
        <f>M217/M191</f>
        <v>5.4117929384125824E-3</v>
      </c>
      <c r="V196" t="s">
        <v>671</v>
      </c>
      <c r="W196">
        <f>AVERAGE(R204:R207)</f>
        <v>31422.768312003413</v>
      </c>
      <c r="X196">
        <f>STDEV(R204:R207)/SQRT(4)</f>
        <v>20514.627952313313</v>
      </c>
    </row>
    <row r="197" spans="2:24" x14ac:dyDescent="0.2">
      <c r="B197" t="s">
        <v>672</v>
      </c>
      <c r="C197">
        <f t="shared" si="15"/>
        <v>100000</v>
      </c>
      <c r="D197">
        <v>32</v>
      </c>
      <c r="E197">
        <f t="shared" si="16"/>
        <v>800000000</v>
      </c>
      <c r="G197">
        <f t="shared" si="17"/>
        <v>100000</v>
      </c>
      <c r="H197">
        <v>26</v>
      </c>
      <c r="I197">
        <f t="shared" si="18"/>
        <v>650000000</v>
      </c>
      <c r="K197">
        <f t="shared" si="19"/>
        <v>150000000</v>
      </c>
      <c r="L197">
        <f t="shared" si="20"/>
        <v>650000000</v>
      </c>
      <c r="M197">
        <f t="shared" si="21"/>
        <v>4.333333333333333</v>
      </c>
      <c r="N197">
        <f t="shared" si="22"/>
        <v>0.23076923076923078</v>
      </c>
      <c r="Q197" t="s">
        <v>664</v>
      </c>
      <c r="R197">
        <f>M218/M192</f>
        <v>4.3342724256922333E-3</v>
      </c>
      <c r="V197" t="s">
        <v>673</v>
      </c>
      <c r="W197">
        <f>AVERAGE(R209:R212)</f>
        <v>2.3891298224210343E-3</v>
      </c>
      <c r="X197">
        <f>STDEV(R209:R212)/SQRT(4)</f>
        <v>5.3002391017398535E-4</v>
      </c>
    </row>
    <row r="199" spans="2:24" x14ac:dyDescent="0.2">
      <c r="B199" t="s">
        <v>674</v>
      </c>
      <c r="C199">
        <f>10^5</f>
        <v>100000</v>
      </c>
      <c r="D199">
        <v>30</v>
      </c>
      <c r="E199">
        <f>C199*D199/0.004</f>
        <v>750000000</v>
      </c>
      <c r="G199">
        <f>10^4</f>
        <v>10000</v>
      </c>
      <c r="H199">
        <v>12</v>
      </c>
      <c r="I199">
        <f>G199*H199/0.004</f>
        <v>30000000</v>
      </c>
      <c r="K199">
        <f>I199</f>
        <v>30000000</v>
      </c>
      <c r="L199">
        <f>E199-I199</f>
        <v>720000000</v>
      </c>
      <c r="M199">
        <f>L199/K199</f>
        <v>24</v>
      </c>
      <c r="N199">
        <f t="shared" ref="N199:N202" si="23">K199/L199</f>
        <v>4.1666666666666664E-2</v>
      </c>
      <c r="Q199" t="s">
        <v>666</v>
      </c>
      <c r="R199">
        <f>M220/M194</f>
        <v>1.7586206896551726</v>
      </c>
    </row>
    <row r="200" spans="2:24" x14ac:dyDescent="0.2">
      <c r="B200" t="s">
        <v>675</v>
      </c>
      <c r="C200">
        <f t="shared" ref="C200:C202" si="24">10^5</f>
        <v>100000</v>
      </c>
      <c r="D200">
        <v>31</v>
      </c>
      <c r="E200">
        <f t="shared" ref="E200:E202" si="25">C200*D200/0.004</f>
        <v>775000000</v>
      </c>
      <c r="G200">
        <f t="shared" ref="G200:G202" si="26">10^4</f>
        <v>10000</v>
      </c>
      <c r="H200">
        <v>17</v>
      </c>
      <c r="I200">
        <f t="shared" ref="I200:I202" si="27">G200*H200/0.004</f>
        <v>42500000</v>
      </c>
      <c r="K200">
        <f t="shared" ref="K200:K202" si="28">I200</f>
        <v>42500000</v>
      </c>
      <c r="L200">
        <f t="shared" ref="L200:L202" si="29">E200-I200</f>
        <v>732500000</v>
      </c>
      <c r="M200">
        <f t="shared" ref="M200:M202" si="30">L200/K200</f>
        <v>17.235294117647058</v>
      </c>
      <c r="N200">
        <f t="shared" si="23"/>
        <v>5.8020477815699661E-2</v>
      </c>
      <c r="Q200" t="s">
        <v>668</v>
      </c>
      <c r="R200">
        <f>M221/M195</f>
        <v>3.3249999999999997</v>
      </c>
    </row>
    <row r="201" spans="2:24" x14ac:dyDescent="0.2">
      <c r="B201" t="s">
        <v>676</v>
      </c>
      <c r="C201">
        <f t="shared" si="24"/>
        <v>100000</v>
      </c>
      <c r="D201">
        <v>26</v>
      </c>
      <c r="E201">
        <f t="shared" si="25"/>
        <v>650000000</v>
      </c>
      <c r="G201">
        <f t="shared" si="26"/>
        <v>10000</v>
      </c>
      <c r="H201">
        <v>15</v>
      </c>
      <c r="I201">
        <f t="shared" si="27"/>
        <v>37500000</v>
      </c>
      <c r="K201">
        <f t="shared" si="28"/>
        <v>37500000</v>
      </c>
      <c r="L201">
        <f t="shared" si="29"/>
        <v>612500000</v>
      </c>
      <c r="M201">
        <f t="shared" si="30"/>
        <v>16.333333333333332</v>
      </c>
      <c r="N201">
        <f t="shared" si="23"/>
        <v>6.1224489795918366E-2</v>
      </c>
      <c r="Q201" t="s">
        <v>670</v>
      </c>
      <c r="R201">
        <f>M222/M196</f>
        <v>1</v>
      </c>
    </row>
    <row r="202" spans="2:24" x14ac:dyDescent="0.2">
      <c r="B202" t="s">
        <v>677</v>
      </c>
      <c r="C202">
        <f t="shared" si="24"/>
        <v>100000</v>
      </c>
      <c r="D202">
        <v>30</v>
      </c>
      <c r="E202">
        <f t="shared" si="25"/>
        <v>750000000</v>
      </c>
      <c r="G202">
        <f t="shared" si="26"/>
        <v>10000</v>
      </c>
      <c r="H202">
        <v>18</v>
      </c>
      <c r="I202">
        <f t="shared" si="27"/>
        <v>45000000</v>
      </c>
      <c r="K202">
        <f t="shared" si="28"/>
        <v>45000000</v>
      </c>
      <c r="L202">
        <f t="shared" si="29"/>
        <v>705000000</v>
      </c>
      <c r="M202">
        <f t="shared" si="30"/>
        <v>15.666666666666666</v>
      </c>
      <c r="N202">
        <f t="shared" si="23"/>
        <v>6.3829787234042548E-2</v>
      </c>
      <c r="Q202" t="s">
        <v>672</v>
      </c>
      <c r="R202">
        <f>M223/M197</f>
        <v>1.8461538461538463</v>
      </c>
    </row>
    <row r="204" spans="2:24" x14ac:dyDescent="0.2">
      <c r="B204" t="s">
        <v>678</v>
      </c>
      <c r="C204">
        <f>10^5</f>
        <v>100000</v>
      </c>
      <c r="D204">
        <v>38</v>
      </c>
      <c r="E204">
        <f>C204*D204/0.004</f>
        <v>950000000</v>
      </c>
      <c r="G204">
        <f>10^5</f>
        <v>100000</v>
      </c>
      <c r="H204">
        <v>24</v>
      </c>
      <c r="I204">
        <f>G204*H204/0.004</f>
        <v>600000000</v>
      </c>
      <c r="K204">
        <f>E204-I204</f>
        <v>350000000</v>
      </c>
      <c r="L204">
        <f>I204</f>
        <v>600000000</v>
      </c>
      <c r="M204">
        <f t="shared" ref="M204:M207" si="31">L204/K204</f>
        <v>1.7142857142857142</v>
      </c>
      <c r="N204">
        <f t="shared" ref="N204:N207" si="32">K204/L204</f>
        <v>0.58333333333333337</v>
      </c>
      <c r="Q204" t="s">
        <v>674</v>
      </c>
      <c r="R204">
        <f>M225/M199</f>
        <v>11111.069444444445</v>
      </c>
    </row>
    <row r="205" spans="2:24" x14ac:dyDescent="0.2">
      <c r="B205" t="s">
        <v>679</v>
      </c>
      <c r="C205">
        <f t="shared" ref="C205:C207" si="33">10^5</f>
        <v>100000</v>
      </c>
      <c r="D205">
        <v>42</v>
      </c>
      <c r="E205">
        <f t="shared" ref="E205:E207" si="34">C205*D205/0.004</f>
        <v>1050000000</v>
      </c>
      <c r="G205">
        <f t="shared" ref="G205:G207" si="35">10^5</f>
        <v>100000</v>
      </c>
      <c r="H205">
        <v>16</v>
      </c>
      <c r="I205">
        <f t="shared" ref="I205:I207" si="36">G205*H205/0.004</f>
        <v>400000000</v>
      </c>
      <c r="K205">
        <f t="shared" ref="K205:K207" si="37">E205-I205</f>
        <v>650000000</v>
      </c>
      <c r="L205">
        <f t="shared" ref="L205:L207" si="38">I205</f>
        <v>400000000</v>
      </c>
      <c r="M205">
        <f t="shared" si="31"/>
        <v>0.61538461538461542</v>
      </c>
      <c r="N205">
        <f t="shared" si="32"/>
        <v>1.625</v>
      </c>
      <c r="Q205" t="s">
        <v>675</v>
      </c>
      <c r="R205">
        <f>M226/M200</f>
        <v>92832.706484641647</v>
      </c>
    </row>
    <row r="206" spans="2:24" x14ac:dyDescent="0.2">
      <c r="B206" t="s">
        <v>680</v>
      </c>
      <c r="C206">
        <f t="shared" si="33"/>
        <v>100000</v>
      </c>
      <c r="D206">
        <v>36</v>
      </c>
      <c r="E206">
        <f t="shared" si="34"/>
        <v>900000000</v>
      </c>
      <c r="G206">
        <f t="shared" si="35"/>
        <v>100000</v>
      </c>
      <c r="H206">
        <v>20</v>
      </c>
      <c r="I206">
        <f t="shared" si="36"/>
        <v>500000000</v>
      </c>
      <c r="K206">
        <f t="shared" si="37"/>
        <v>400000000</v>
      </c>
      <c r="L206">
        <f t="shared" si="38"/>
        <v>500000000</v>
      </c>
      <c r="M206">
        <f t="shared" si="31"/>
        <v>1.25</v>
      </c>
      <c r="N206">
        <f t="shared" si="32"/>
        <v>0.8</v>
      </c>
      <c r="Q206" t="s">
        <v>676</v>
      </c>
      <c r="R206">
        <f>M227/M201</f>
        <v>7562.9639855942387</v>
      </c>
    </row>
    <row r="207" spans="2:24" x14ac:dyDescent="0.2">
      <c r="B207" t="s">
        <v>681</v>
      </c>
      <c r="C207">
        <f t="shared" si="33"/>
        <v>100000</v>
      </c>
      <c r="D207">
        <v>43</v>
      </c>
      <c r="E207">
        <f t="shared" si="34"/>
        <v>1075000000</v>
      </c>
      <c r="G207">
        <f t="shared" si="35"/>
        <v>100000</v>
      </c>
      <c r="H207">
        <v>21</v>
      </c>
      <c r="I207">
        <f t="shared" si="36"/>
        <v>525000000</v>
      </c>
      <c r="K207">
        <f t="shared" si="37"/>
        <v>550000000</v>
      </c>
      <c r="L207">
        <f t="shared" si="38"/>
        <v>525000000</v>
      </c>
      <c r="M207">
        <f t="shared" si="31"/>
        <v>0.95454545454545459</v>
      </c>
      <c r="N207">
        <f t="shared" si="32"/>
        <v>1.0476190476190477</v>
      </c>
      <c r="Q207" t="s">
        <v>677</v>
      </c>
      <c r="R207">
        <f>M228/M202</f>
        <v>14184.333333333334</v>
      </c>
    </row>
    <row r="209" spans="1:18" x14ac:dyDescent="0.2">
      <c r="Q209" t="s">
        <v>678</v>
      </c>
      <c r="R209">
        <f>M230/M204</f>
        <v>1.2471049349723855E-3</v>
      </c>
    </row>
    <row r="210" spans="1:18" x14ac:dyDescent="0.2">
      <c r="Q210" t="s">
        <v>679</v>
      </c>
      <c r="R210">
        <f>M231/M205</f>
        <v>3.7665225834742841E-3</v>
      </c>
    </row>
    <row r="211" spans="1:18" x14ac:dyDescent="0.2">
      <c r="Q211" t="s">
        <v>680</v>
      </c>
      <c r="R211">
        <f>M232/M206</f>
        <v>2.0050125313283208E-3</v>
      </c>
    </row>
    <row r="212" spans="1:18" x14ac:dyDescent="0.2">
      <c r="Q212" t="s">
        <v>681</v>
      </c>
      <c r="R212">
        <f>M233/M207</f>
        <v>2.5378792399091453E-3</v>
      </c>
    </row>
    <row r="213" spans="1:18" x14ac:dyDescent="0.2">
      <c r="A213" t="s">
        <v>80</v>
      </c>
      <c r="D213" t="s">
        <v>55</v>
      </c>
      <c r="H213" t="s">
        <v>157</v>
      </c>
      <c r="K213" t="s">
        <v>657</v>
      </c>
      <c r="L213" t="s">
        <v>658</v>
      </c>
    </row>
    <row r="214" spans="1:18" x14ac:dyDescent="0.2">
      <c r="C214" t="s">
        <v>60</v>
      </c>
      <c r="D214" t="s">
        <v>61</v>
      </c>
      <c r="E214" t="s">
        <v>62</v>
      </c>
      <c r="G214" t="s">
        <v>60</v>
      </c>
      <c r="H214" t="s">
        <v>61</v>
      </c>
      <c r="I214" t="s">
        <v>62</v>
      </c>
      <c r="K214" t="s">
        <v>105</v>
      </c>
      <c r="L214" t="s">
        <v>106</v>
      </c>
      <c r="M214" t="s">
        <v>65</v>
      </c>
      <c r="N214" t="s">
        <v>682</v>
      </c>
    </row>
    <row r="215" spans="1:18" x14ac:dyDescent="0.2">
      <c r="B215" t="s">
        <v>683</v>
      </c>
      <c r="C215">
        <f t="shared" ref="C215:C218" si="39">10^5</f>
        <v>100000</v>
      </c>
      <c r="D215">
        <v>10</v>
      </c>
      <c r="E215">
        <f t="shared" ref="E215:E218" si="40">C215*D215/0.004</f>
        <v>250000000</v>
      </c>
      <c r="G215">
        <f>10^1</f>
        <v>10</v>
      </c>
      <c r="H215">
        <v>40</v>
      </c>
      <c r="I215">
        <f t="shared" ref="I215:I218" si="41">G215*H215/0.004</f>
        <v>100000</v>
      </c>
      <c r="K215">
        <f>E215-I215</f>
        <v>249900000</v>
      </c>
      <c r="L215">
        <f>I215</f>
        <v>100000</v>
      </c>
      <c r="M215">
        <f t="shared" ref="M215:M218" si="42">L215/K215</f>
        <v>4.0016006402561027E-4</v>
      </c>
      <c r="N215">
        <f>K215/L215</f>
        <v>2499</v>
      </c>
    </row>
    <row r="216" spans="1:18" x14ac:dyDescent="0.2">
      <c r="B216" t="s">
        <v>684</v>
      </c>
      <c r="C216">
        <f t="shared" si="39"/>
        <v>100000</v>
      </c>
      <c r="D216">
        <v>19</v>
      </c>
      <c r="E216">
        <f t="shared" si="40"/>
        <v>475000000</v>
      </c>
      <c r="G216">
        <f t="shared" ref="G216:G217" si="43">10^1</f>
        <v>10</v>
      </c>
      <c r="H216">
        <v>19</v>
      </c>
      <c r="I216">
        <f t="shared" si="41"/>
        <v>47500</v>
      </c>
      <c r="K216">
        <f t="shared" ref="K216:K218" si="44">E216-I216</f>
        <v>474952500</v>
      </c>
      <c r="L216">
        <f t="shared" ref="L216:L218" si="45">I216</f>
        <v>47500</v>
      </c>
      <c r="M216">
        <f t="shared" si="42"/>
        <v>1.0001000100010001E-4</v>
      </c>
      <c r="N216">
        <f t="shared" ref="N216:N218" si="46">K216/L216</f>
        <v>9999</v>
      </c>
    </row>
    <row r="217" spans="1:18" x14ac:dyDescent="0.2">
      <c r="B217" t="s">
        <v>685</v>
      </c>
      <c r="C217">
        <f t="shared" si="39"/>
        <v>100000</v>
      </c>
      <c r="D217">
        <v>11</v>
      </c>
      <c r="E217">
        <f t="shared" si="40"/>
        <v>275000000</v>
      </c>
      <c r="G217">
        <f t="shared" si="43"/>
        <v>10</v>
      </c>
      <c r="H217">
        <v>43</v>
      </c>
      <c r="I217">
        <f t="shared" si="41"/>
        <v>107500</v>
      </c>
      <c r="K217">
        <f t="shared" si="44"/>
        <v>274892500</v>
      </c>
      <c r="L217">
        <f t="shared" si="45"/>
        <v>107500</v>
      </c>
      <c r="M217">
        <f t="shared" si="42"/>
        <v>3.9106196058459218E-4</v>
      </c>
      <c r="N217">
        <f t="shared" si="46"/>
        <v>2557.1395348837209</v>
      </c>
    </row>
    <row r="218" spans="1:18" x14ac:dyDescent="0.2">
      <c r="B218" t="s">
        <v>686</v>
      </c>
      <c r="C218">
        <f t="shared" si="39"/>
        <v>100000</v>
      </c>
      <c r="D218">
        <v>12</v>
      </c>
      <c r="E218">
        <f t="shared" si="40"/>
        <v>300000000</v>
      </c>
      <c r="G218">
        <f>10^1</f>
        <v>10</v>
      </c>
      <c r="H218">
        <v>26</v>
      </c>
      <c r="I218">
        <f t="shared" si="41"/>
        <v>65000</v>
      </c>
      <c r="K218">
        <f t="shared" si="44"/>
        <v>299935000</v>
      </c>
      <c r="L218">
        <f t="shared" si="45"/>
        <v>65000</v>
      </c>
      <c r="M218">
        <f t="shared" si="42"/>
        <v>2.1671362128461167E-4</v>
      </c>
      <c r="N218">
        <f t="shared" si="46"/>
        <v>4614.3846153846152</v>
      </c>
    </row>
    <row r="220" spans="1:18" x14ac:dyDescent="0.2">
      <c r="B220" t="s">
        <v>666</v>
      </c>
      <c r="C220">
        <f t="shared" ref="C220:C223" si="47">10^5</f>
        <v>100000</v>
      </c>
      <c r="D220">
        <v>19</v>
      </c>
      <c r="E220">
        <f t="shared" ref="E220:E223" si="48">C220*D220/0.004</f>
        <v>475000000</v>
      </c>
      <c r="G220">
        <f t="shared" ref="G220:G223" si="49">10^5</f>
        <v>100000</v>
      </c>
      <c r="H220">
        <v>17</v>
      </c>
      <c r="I220">
        <f t="shared" ref="I220:I223" si="50">G220*H220/0.004</f>
        <v>425000000</v>
      </c>
      <c r="K220">
        <f>E220-I220</f>
        <v>50000000</v>
      </c>
      <c r="L220">
        <f>I220</f>
        <v>425000000</v>
      </c>
      <c r="M220">
        <f t="shared" ref="M220:M223" si="51">L220/K220</f>
        <v>8.5</v>
      </c>
      <c r="N220">
        <f t="shared" ref="N220:N223" si="52">K220/L220</f>
        <v>0.11764705882352941</v>
      </c>
    </row>
    <row r="221" spans="1:18" x14ac:dyDescent="0.2">
      <c r="B221" t="s">
        <v>668</v>
      </c>
      <c r="C221">
        <f t="shared" si="47"/>
        <v>100000</v>
      </c>
      <c r="D221">
        <v>21</v>
      </c>
      <c r="E221">
        <f t="shared" si="48"/>
        <v>525000000</v>
      </c>
      <c r="G221">
        <f t="shared" si="49"/>
        <v>100000</v>
      </c>
      <c r="H221">
        <v>19</v>
      </c>
      <c r="I221">
        <f t="shared" si="50"/>
        <v>475000000</v>
      </c>
      <c r="K221">
        <f t="shared" ref="K221:K223" si="53">E221-I221</f>
        <v>50000000</v>
      </c>
      <c r="L221">
        <f t="shared" ref="L221:L223" si="54">I221</f>
        <v>475000000</v>
      </c>
      <c r="M221">
        <f t="shared" si="51"/>
        <v>9.5</v>
      </c>
      <c r="N221">
        <f t="shared" si="52"/>
        <v>0.10526315789473684</v>
      </c>
    </row>
    <row r="222" spans="1:18" x14ac:dyDescent="0.2">
      <c r="B222" t="s">
        <v>670</v>
      </c>
      <c r="C222">
        <f t="shared" si="47"/>
        <v>100000</v>
      </c>
      <c r="D222">
        <v>21</v>
      </c>
      <c r="E222">
        <f t="shared" si="48"/>
        <v>525000000</v>
      </c>
      <c r="G222">
        <f t="shared" si="49"/>
        <v>100000</v>
      </c>
      <c r="H222">
        <v>18</v>
      </c>
      <c r="I222">
        <f t="shared" si="50"/>
        <v>450000000</v>
      </c>
      <c r="K222">
        <f t="shared" si="53"/>
        <v>75000000</v>
      </c>
      <c r="L222">
        <f t="shared" si="54"/>
        <v>450000000</v>
      </c>
      <c r="M222">
        <f t="shared" si="51"/>
        <v>6</v>
      </c>
      <c r="N222">
        <f t="shared" si="52"/>
        <v>0.16666666666666666</v>
      </c>
    </row>
    <row r="223" spans="1:18" x14ac:dyDescent="0.2">
      <c r="B223" t="s">
        <v>672</v>
      </c>
      <c r="C223">
        <f t="shared" si="47"/>
        <v>100000</v>
      </c>
      <c r="D223">
        <v>18</v>
      </c>
      <c r="E223">
        <f t="shared" si="48"/>
        <v>450000000</v>
      </c>
      <c r="G223">
        <f t="shared" si="49"/>
        <v>100000</v>
      </c>
      <c r="H223">
        <v>16</v>
      </c>
      <c r="I223">
        <f t="shared" si="50"/>
        <v>400000000</v>
      </c>
      <c r="K223">
        <f t="shared" si="53"/>
        <v>50000000</v>
      </c>
      <c r="L223">
        <f t="shared" si="54"/>
        <v>400000000</v>
      </c>
      <c r="M223">
        <f t="shared" si="51"/>
        <v>8</v>
      </c>
      <c r="N223">
        <f t="shared" si="52"/>
        <v>0.125</v>
      </c>
    </row>
    <row r="225" spans="2:14" x14ac:dyDescent="0.2">
      <c r="B225" t="s">
        <v>674</v>
      </c>
      <c r="C225">
        <f>10^5</f>
        <v>100000</v>
      </c>
      <c r="D225">
        <v>24</v>
      </c>
      <c r="E225">
        <f>C225*D225/0.004</f>
        <v>600000000</v>
      </c>
      <c r="G225">
        <f>10^0</f>
        <v>1</v>
      </c>
      <c r="H225">
        <v>9</v>
      </c>
      <c r="I225">
        <f>G225*H225/0.004</f>
        <v>2250</v>
      </c>
      <c r="K225">
        <f>I225</f>
        <v>2250</v>
      </c>
      <c r="L225">
        <f>E225-I225</f>
        <v>599997750</v>
      </c>
      <c r="M225">
        <f t="shared" ref="M225:M228" si="55">L225/K225</f>
        <v>266665.66666666669</v>
      </c>
      <c r="N225">
        <f t="shared" ref="N225:N228" si="56">K225/L225</f>
        <v>3.7500140625527344E-6</v>
      </c>
    </row>
    <row r="226" spans="2:14" x14ac:dyDescent="0.2">
      <c r="B226" t="s">
        <v>675</v>
      </c>
      <c r="C226">
        <f t="shared" ref="C226:C228" si="57">10^5</f>
        <v>100000</v>
      </c>
      <c r="D226">
        <v>16</v>
      </c>
      <c r="E226">
        <f t="shared" ref="E226:E228" si="58">C226*D226/0.004</f>
        <v>400000000</v>
      </c>
      <c r="G226">
        <f t="shared" ref="G226:G228" si="59">10^0</f>
        <v>1</v>
      </c>
      <c r="H226">
        <v>1</v>
      </c>
      <c r="I226">
        <f t="shared" ref="I226:I228" si="60">G226*H226/0.004</f>
        <v>250</v>
      </c>
      <c r="K226">
        <f t="shared" ref="K226:K228" si="61">I226</f>
        <v>250</v>
      </c>
      <c r="L226">
        <f t="shared" ref="L226:L228" si="62">E226-I226</f>
        <v>399999750</v>
      </c>
      <c r="M226">
        <f t="shared" si="55"/>
        <v>1599999</v>
      </c>
      <c r="N226">
        <f t="shared" si="56"/>
        <v>6.2500039062524413E-7</v>
      </c>
    </row>
    <row r="227" spans="2:14" x14ac:dyDescent="0.2">
      <c r="B227" t="s">
        <v>676</v>
      </c>
      <c r="C227">
        <f t="shared" si="57"/>
        <v>100000</v>
      </c>
      <c r="D227">
        <v>21</v>
      </c>
      <c r="E227">
        <f t="shared" si="58"/>
        <v>525000000</v>
      </c>
      <c r="G227">
        <f t="shared" si="59"/>
        <v>1</v>
      </c>
      <c r="H227">
        <v>17</v>
      </c>
      <c r="I227">
        <f t="shared" si="60"/>
        <v>4250</v>
      </c>
      <c r="K227">
        <f t="shared" si="61"/>
        <v>4250</v>
      </c>
      <c r="L227">
        <f t="shared" si="62"/>
        <v>524995750</v>
      </c>
      <c r="M227">
        <f t="shared" si="55"/>
        <v>123528.41176470589</v>
      </c>
      <c r="N227">
        <f t="shared" si="56"/>
        <v>8.0953036286484226E-6</v>
      </c>
    </row>
    <row r="228" spans="2:14" x14ac:dyDescent="0.2">
      <c r="B228" t="s">
        <v>677</v>
      </c>
      <c r="C228">
        <f t="shared" si="57"/>
        <v>100000</v>
      </c>
      <c r="D228">
        <v>20</v>
      </c>
      <c r="E228">
        <f t="shared" si="58"/>
        <v>500000000</v>
      </c>
      <c r="G228">
        <f t="shared" si="59"/>
        <v>1</v>
      </c>
      <c r="H228">
        <v>9</v>
      </c>
      <c r="I228">
        <f t="shared" si="60"/>
        <v>2250</v>
      </c>
      <c r="K228">
        <f t="shared" si="61"/>
        <v>2250</v>
      </c>
      <c r="L228">
        <f t="shared" si="62"/>
        <v>499997750</v>
      </c>
      <c r="M228">
        <f t="shared" si="55"/>
        <v>222221.22222222222</v>
      </c>
      <c r="N228">
        <f t="shared" si="56"/>
        <v>4.5000202500911252E-6</v>
      </c>
    </row>
    <row r="230" spans="2:14" x14ac:dyDescent="0.2">
      <c r="B230" t="s">
        <v>678</v>
      </c>
      <c r="C230">
        <f>10^5</f>
        <v>100000</v>
      </c>
      <c r="D230">
        <v>15</v>
      </c>
      <c r="E230">
        <f>C230*D230/0.004</f>
        <v>375000000</v>
      </c>
      <c r="G230">
        <f>10^2</f>
        <v>100</v>
      </c>
      <c r="H230">
        <v>32</v>
      </c>
      <c r="I230">
        <f>G230*H230/0.004</f>
        <v>800000</v>
      </c>
      <c r="K230">
        <f t="shared" ref="K230:K233" si="63">E230-I230</f>
        <v>374200000</v>
      </c>
      <c r="L230">
        <f t="shared" ref="L230:L233" si="64">I230</f>
        <v>800000</v>
      </c>
      <c r="M230">
        <f t="shared" ref="M230:M233" si="65">L230/K230</f>
        <v>2.137894174238375E-3</v>
      </c>
      <c r="N230">
        <f t="shared" ref="N230:N233" si="66">K230/L230</f>
        <v>467.75</v>
      </c>
    </row>
    <row r="231" spans="2:14" x14ac:dyDescent="0.2">
      <c r="B231" t="s">
        <v>679</v>
      </c>
      <c r="C231">
        <f t="shared" ref="C231:C233" si="67">10^5</f>
        <v>100000</v>
      </c>
      <c r="D231">
        <v>16</v>
      </c>
      <c r="E231">
        <f t="shared" ref="E231:E233" si="68">C231*D231/0.004</f>
        <v>400000000</v>
      </c>
      <c r="G231">
        <f t="shared" ref="G231:G233" si="69">10^2</f>
        <v>100</v>
      </c>
      <c r="H231">
        <v>37</v>
      </c>
      <c r="I231">
        <f t="shared" ref="I231:I233" si="70">G231*H231/0.004</f>
        <v>925000</v>
      </c>
      <c r="K231">
        <f t="shared" si="63"/>
        <v>399075000</v>
      </c>
      <c r="L231">
        <f t="shared" si="64"/>
        <v>925000</v>
      </c>
      <c r="M231">
        <f t="shared" si="65"/>
        <v>2.3178600513687904E-3</v>
      </c>
      <c r="N231">
        <f t="shared" si="66"/>
        <v>431.43243243243245</v>
      </c>
    </row>
    <row r="232" spans="2:14" x14ac:dyDescent="0.2">
      <c r="B232" t="s">
        <v>680</v>
      </c>
      <c r="C232">
        <f t="shared" si="67"/>
        <v>100000</v>
      </c>
      <c r="D232">
        <v>12</v>
      </c>
      <c r="E232">
        <f t="shared" si="68"/>
        <v>300000000</v>
      </c>
      <c r="G232">
        <f t="shared" si="69"/>
        <v>100</v>
      </c>
      <c r="H232">
        <v>30</v>
      </c>
      <c r="I232">
        <f t="shared" si="70"/>
        <v>750000</v>
      </c>
      <c r="K232">
        <f t="shared" si="63"/>
        <v>299250000</v>
      </c>
      <c r="L232">
        <f t="shared" si="64"/>
        <v>750000</v>
      </c>
      <c r="M232">
        <f t="shared" si="65"/>
        <v>2.5062656641604009E-3</v>
      </c>
      <c r="N232">
        <f t="shared" si="66"/>
        <v>399</v>
      </c>
    </row>
    <row r="233" spans="2:14" x14ac:dyDescent="0.2">
      <c r="B233" t="s">
        <v>681</v>
      </c>
      <c r="C233">
        <f t="shared" si="67"/>
        <v>100000</v>
      </c>
      <c r="D233">
        <v>12</v>
      </c>
      <c r="E233">
        <f t="shared" si="68"/>
        <v>300000000</v>
      </c>
      <c r="G233">
        <f t="shared" si="69"/>
        <v>100</v>
      </c>
      <c r="H233">
        <v>29</v>
      </c>
      <c r="I233">
        <f t="shared" si="70"/>
        <v>725000</v>
      </c>
      <c r="K233">
        <f t="shared" si="63"/>
        <v>299275000</v>
      </c>
      <c r="L233">
        <f t="shared" si="64"/>
        <v>725000</v>
      </c>
      <c r="M233">
        <f t="shared" si="65"/>
        <v>2.422521092640548E-3</v>
      </c>
      <c r="N233">
        <f t="shared" si="66"/>
        <v>412.79310344827587</v>
      </c>
    </row>
  </sheetData>
  <mergeCells count="24">
    <mergeCell ref="AA49:AB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69:AB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B251-BE44-C441-A77A-0C9FFA1A739D}">
  <dimension ref="A1:AD300"/>
  <sheetViews>
    <sheetView topLeftCell="A263" zoomScale="88" zoomScaleNormal="88" workbookViewId="0">
      <selection activeCell="Q215" sqref="Q215:Q222"/>
    </sheetView>
  </sheetViews>
  <sheetFormatPr baseColWidth="10" defaultRowHeight="16" x14ac:dyDescent="0.2"/>
  <cols>
    <col min="17" max="17" width="11.6640625" bestFit="1" customWidth="1"/>
    <col min="18" max="18" width="12.6640625" bestFit="1" customWidth="1"/>
    <col min="19" max="19" width="11.6640625" bestFit="1" customWidth="1"/>
    <col min="20" max="20" width="12.6640625" bestFit="1" customWidth="1"/>
    <col min="21" max="21" width="11.6640625" bestFit="1" customWidth="1"/>
    <col min="22" max="23" width="12.6640625" bestFit="1" customWidth="1"/>
    <col min="24" max="24" width="20.5" customWidth="1"/>
  </cols>
  <sheetData>
    <row r="1" spans="1:25" x14ac:dyDescent="0.2">
      <c r="A1" t="s">
        <v>648</v>
      </c>
    </row>
    <row r="2" spans="1:25" x14ac:dyDescent="0.2">
      <c r="A2" t="s">
        <v>210</v>
      </c>
    </row>
    <row r="4" spans="1:25" x14ac:dyDescent="0.2">
      <c r="A4" t="s">
        <v>211</v>
      </c>
      <c r="B4" t="s">
        <v>217</v>
      </c>
      <c r="C4" s="16" t="s">
        <v>123</v>
      </c>
    </row>
    <row r="5" spans="1:25" x14ac:dyDescent="0.2">
      <c r="A5" t="s">
        <v>213</v>
      </c>
      <c r="B5" t="s">
        <v>212</v>
      </c>
      <c r="C5" s="16" t="s">
        <v>109</v>
      </c>
    </row>
    <row r="6" spans="1:25" x14ac:dyDescent="0.2">
      <c r="A6" t="s">
        <v>214</v>
      </c>
      <c r="B6" t="s">
        <v>196</v>
      </c>
      <c r="C6" s="16" t="s">
        <v>260</v>
      </c>
    </row>
    <row r="7" spans="1:25" x14ac:dyDescent="0.2">
      <c r="A7" t="s">
        <v>216</v>
      </c>
      <c r="B7" t="s">
        <v>215</v>
      </c>
      <c r="C7" s="16" t="s">
        <v>108</v>
      </c>
    </row>
    <row r="12" spans="1:25" x14ac:dyDescent="0.2">
      <c r="A12" t="s">
        <v>261</v>
      </c>
      <c r="E12" t="s">
        <v>277</v>
      </c>
      <c r="F12" t="s">
        <v>278</v>
      </c>
      <c r="H12" t="s">
        <v>348</v>
      </c>
      <c r="I12" t="s">
        <v>349</v>
      </c>
      <c r="J12" t="s">
        <v>218</v>
      </c>
      <c r="K12" t="s">
        <v>219</v>
      </c>
      <c r="L12" t="s">
        <v>0</v>
      </c>
      <c r="M12" t="s">
        <v>220</v>
      </c>
      <c r="N12" t="s">
        <v>1</v>
      </c>
      <c r="O12" t="s">
        <v>221</v>
      </c>
      <c r="P12" t="s">
        <v>222</v>
      </c>
      <c r="Q12" t="s">
        <v>223</v>
      </c>
      <c r="R12" t="s">
        <v>2</v>
      </c>
      <c r="S12" t="s">
        <v>224</v>
      </c>
      <c r="T12" t="s">
        <v>225</v>
      </c>
      <c r="U12" t="s">
        <v>226</v>
      </c>
      <c r="V12" t="s">
        <v>3</v>
      </c>
      <c r="W12" t="s">
        <v>227</v>
      </c>
      <c r="X12" t="s">
        <v>228</v>
      </c>
      <c r="Y12" t="s">
        <v>229</v>
      </c>
    </row>
    <row r="13" spans="1:25" x14ac:dyDescent="0.2">
      <c r="D13" t="s">
        <v>5</v>
      </c>
      <c r="E13">
        <v>1</v>
      </c>
      <c r="F13">
        <v>1.1236999999999999</v>
      </c>
      <c r="H13">
        <v>0.98060000000000003</v>
      </c>
      <c r="I13">
        <v>1.0860000000000001</v>
      </c>
      <c r="J13">
        <v>0.98670000000000002</v>
      </c>
      <c r="K13">
        <v>1.0979000000000001</v>
      </c>
      <c r="L13">
        <v>0.98919999999999997</v>
      </c>
      <c r="M13">
        <v>1.0727</v>
      </c>
      <c r="N13">
        <v>0.9859</v>
      </c>
      <c r="O13">
        <v>1.0846</v>
      </c>
      <c r="P13">
        <v>0.98509999999999998</v>
      </c>
      <c r="Q13">
        <v>1.0547</v>
      </c>
      <c r="R13">
        <v>0.98719999999999997</v>
      </c>
      <c r="S13">
        <v>1.0875999999999999</v>
      </c>
      <c r="T13">
        <v>0.9909</v>
      </c>
      <c r="U13">
        <v>1.0731999999999999</v>
      </c>
      <c r="V13">
        <v>0.98839999999999995</v>
      </c>
      <c r="W13">
        <v>1.0861000000000001</v>
      </c>
      <c r="X13">
        <v>1.0074000000000001</v>
      </c>
      <c r="Y13">
        <v>1.0886</v>
      </c>
    </row>
    <row r="14" spans="1:25" x14ac:dyDescent="0.2">
      <c r="D14" t="s">
        <v>6</v>
      </c>
      <c r="E14">
        <v>0.99929999999999997</v>
      </c>
      <c r="F14">
        <v>1.1304000000000001</v>
      </c>
      <c r="H14">
        <v>0.98119999999999996</v>
      </c>
      <c r="I14">
        <v>1.1332</v>
      </c>
      <c r="J14">
        <v>0.98640000000000005</v>
      </c>
      <c r="K14">
        <v>1.0528</v>
      </c>
      <c r="L14">
        <v>0.9879</v>
      </c>
      <c r="M14">
        <v>1.0734999999999999</v>
      </c>
      <c r="N14">
        <v>0.98780000000000001</v>
      </c>
      <c r="O14">
        <v>1.1021000000000001</v>
      </c>
      <c r="P14">
        <v>0.97970000000000002</v>
      </c>
      <c r="Q14">
        <v>1.1146</v>
      </c>
      <c r="R14">
        <v>0.98029999999999995</v>
      </c>
      <c r="S14">
        <v>1.0721000000000001</v>
      </c>
      <c r="T14">
        <v>1.0072000000000001</v>
      </c>
      <c r="U14">
        <v>1.1133</v>
      </c>
      <c r="V14">
        <v>0.9869</v>
      </c>
      <c r="W14">
        <v>1.1733</v>
      </c>
      <c r="X14">
        <v>0.98809999999999998</v>
      </c>
      <c r="Y14">
        <v>1.0807</v>
      </c>
    </row>
    <row r="15" spans="1:25" x14ac:dyDescent="0.2">
      <c r="D15" t="s">
        <v>7</v>
      </c>
      <c r="E15">
        <v>1.0018</v>
      </c>
      <c r="F15">
        <v>1.2744</v>
      </c>
      <c r="H15">
        <v>0.9889</v>
      </c>
      <c r="I15">
        <v>1.1815</v>
      </c>
      <c r="J15">
        <v>0.9869</v>
      </c>
      <c r="K15">
        <v>1.1087</v>
      </c>
      <c r="L15">
        <v>0.9859</v>
      </c>
      <c r="M15">
        <v>1.0931</v>
      </c>
      <c r="N15">
        <v>0.98670000000000002</v>
      </c>
      <c r="O15">
        <v>1.0854999999999999</v>
      </c>
      <c r="P15">
        <v>0.98670000000000002</v>
      </c>
      <c r="Q15">
        <v>1.0859000000000001</v>
      </c>
      <c r="R15">
        <v>0.98599999999999999</v>
      </c>
      <c r="S15">
        <v>1.1257999999999999</v>
      </c>
      <c r="T15">
        <v>0.9869</v>
      </c>
      <c r="U15">
        <v>1.0694999999999999</v>
      </c>
      <c r="V15">
        <v>0.98519999999999996</v>
      </c>
      <c r="W15">
        <v>1.125</v>
      </c>
      <c r="X15">
        <v>1.0174000000000001</v>
      </c>
      <c r="Y15">
        <v>1.1364000000000001</v>
      </c>
    </row>
    <row r="16" spans="1:25" x14ac:dyDescent="0.2">
      <c r="D16" t="s">
        <v>8</v>
      </c>
      <c r="E16">
        <v>1.0031000000000001</v>
      </c>
      <c r="F16">
        <v>1.1352</v>
      </c>
      <c r="H16">
        <v>0.99009999999999998</v>
      </c>
      <c r="I16">
        <v>1.115</v>
      </c>
      <c r="J16">
        <v>0.9879</v>
      </c>
      <c r="K16">
        <v>1.0586</v>
      </c>
      <c r="L16">
        <v>0.98809999999999998</v>
      </c>
      <c r="M16">
        <v>1.0833999999999999</v>
      </c>
      <c r="N16">
        <v>0.98550000000000004</v>
      </c>
      <c r="O16">
        <v>1.0608</v>
      </c>
      <c r="P16">
        <v>0.98680000000000001</v>
      </c>
      <c r="Q16">
        <v>1.0893999999999999</v>
      </c>
      <c r="R16">
        <v>0.98580000000000001</v>
      </c>
      <c r="S16">
        <v>1.0865</v>
      </c>
      <c r="T16">
        <v>0.98699999999999999</v>
      </c>
      <c r="U16">
        <v>1.1127</v>
      </c>
      <c r="V16">
        <v>0.98060000000000003</v>
      </c>
      <c r="W16">
        <v>1.0851999999999999</v>
      </c>
      <c r="X16">
        <v>1.0095000000000001</v>
      </c>
      <c r="Y16">
        <v>1.1176999999999999</v>
      </c>
    </row>
    <row r="17" spans="4:25" x14ac:dyDescent="0.2">
      <c r="D17" t="s">
        <v>9</v>
      </c>
      <c r="E17">
        <v>1.0032000000000001</v>
      </c>
      <c r="F17">
        <v>1.1496999999999999</v>
      </c>
      <c r="H17">
        <v>0.98050000000000004</v>
      </c>
      <c r="I17">
        <v>1.1101000000000001</v>
      </c>
      <c r="J17">
        <v>0.98839999999999995</v>
      </c>
      <c r="K17">
        <v>1.0423</v>
      </c>
      <c r="L17">
        <v>0.99</v>
      </c>
      <c r="M17">
        <v>1.0953999999999999</v>
      </c>
      <c r="N17">
        <v>0.98080000000000001</v>
      </c>
      <c r="O17">
        <v>1.0967</v>
      </c>
      <c r="P17">
        <v>0.98529999999999995</v>
      </c>
      <c r="Q17">
        <v>1.1232</v>
      </c>
      <c r="R17">
        <v>0.98650000000000004</v>
      </c>
      <c r="S17">
        <v>1.0901000000000001</v>
      </c>
      <c r="T17">
        <v>0.98660000000000003</v>
      </c>
      <c r="U17">
        <v>1.1055999999999999</v>
      </c>
      <c r="V17">
        <v>0.98799999999999999</v>
      </c>
      <c r="W17">
        <v>1.1187</v>
      </c>
      <c r="X17">
        <v>1.0034000000000001</v>
      </c>
      <c r="Y17">
        <v>1.1254</v>
      </c>
    </row>
    <row r="18" spans="4:25" x14ac:dyDescent="0.2">
      <c r="D18" t="s">
        <v>10</v>
      </c>
      <c r="E18">
        <v>1.0183</v>
      </c>
      <c r="F18">
        <v>1.1489</v>
      </c>
      <c r="H18">
        <v>0.98660000000000003</v>
      </c>
      <c r="I18">
        <v>1.0847</v>
      </c>
      <c r="J18">
        <v>0.98619999999999997</v>
      </c>
      <c r="K18">
        <v>1.0582</v>
      </c>
      <c r="L18">
        <v>0.98760000000000003</v>
      </c>
      <c r="M18">
        <v>1.111</v>
      </c>
      <c r="N18">
        <v>0.98660000000000003</v>
      </c>
      <c r="O18">
        <v>1.0826</v>
      </c>
      <c r="P18">
        <v>0.98799999999999999</v>
      </c>
      <c r="Q18">
        <v>1.1008</v>
      </c>
      <c r="R18">
        <v>0.98340000000000005</v>
      </c>
      <c r="S18">
        <v>1.0843</v>
      </c>
      <c r="T18">
        <v>0.98070000000000002</v>
      </c>
      <c r="U18">
        <v>1.0761000000000001</v>
      </c>
      <c r="V18">
        <v>0.99</v>
      </c>
      <c r="W18">
        <v>1.0925</v>
      </c>
      <c r="X18">
        <v>0.98070000000000002</v>
      </c>
      <c r="Y18">
        <v>1.0628</v>
      </c>
    </row>
    <row r="19" spans="4:25" x14ac:dyDescent="0.2">
      <c r="D19" t="s">
        <v>11</v>
      </c>
      <c r="E19">
        <v>1.0067999999999999</v>
      </c>
      <c r="F19">
        <v>1.1717</v>
      </c>
      <c r="H19">
        <v>0.98850000000000005</v>
      </c>
      <c r="I19">
        <v>1.0944</v>
      </c>
      <c r="J19">
        <v>0.98909999999999998</v>
      </c>
      <c r="K19">
        <v>1.0931</v>
      </c>
      <c r="L19">
        <v>0.98760000000000003</v>
      </c>
      <c r="M19">
        <v>1.0523</v>
      </c>
      <c r="N19">
        <v>0.98399999999999999</v>
      </c>
      <c r="O19">
        <v>1.0732999999999999</v>
      </c>
      <c r="P19">
        <v>0.9798</v>
      </c>
      <c r="Q19">
        <v>1.0883</v>
      </c>
      <c r="R19">
        <v>0.98799999999999999</v>
      </c>
      <c r="S19">
        <v>1.0992</v>
      </c>
      <c r="T19">
        <v>0.9909</v>
      </c>
      <c r="U19">
        <v>1.0848</v>
      </c>
      <c r="V19">
        <v>0.9899</v>
      </c>
      <c r="W19">
        <v>1.0845</v>
      </c>
      <c r="X19">
        <v>1.0114000000000001</v>
      </c>
      <c r="Y19">
        <v>1.0864</v>
      </c>
    </row>
    <row r="20" spans="4:25" x14ac:dyDescent="0.2">
      <c r="D20" t="s">
        <v>12</v>
      </c>
      <c r="E20">
        <v>1.0089999999999999</v>
      </c>
      <c r="F20">
        <v>1.1051</v>
      </c>
      <c r="H20">
        <v>0.98740000000000006</v>
      </c>
      <c r="I20">
        <v>1.2705</v>
      </c>
      <c r="J20">
        <v>0.99</v>
      </c>
      <c r="K20">
        <v>1.0495000000000001</v>
      </c>
      <c r="L20">
        <v>0.98960000000000004</v>
      </c>
      <c r="M20">
        <v>1.1468</v>
      </c>
      <c r="N20">
        <v>0.98529999999999995</v>
      </c>
      <c r="O20">
        <v>1.0900000000000001</v>
      </c>
      <c r="P20">
        <v>0.98760000000000003</v>
      </c>
      <c r="Q20">
        <v>1.1023000000000001</v>
      </c>
      <c r="R20">
        <v>0.98040000000000005</v>
      </c>
      <c r="S20">
        <v>1.0976999999999999</v>
      </c>
      <c r="T20">
        <v>0.99039999999999995</v>
      </c>
      <c r="U20">
        <v>1.1257999999999999</v>
      </c>
      <c r="V20">
        <v>0.98570000000000002</v>
      </c>
      <c r="W20">
        <v>1.1026</v>
      </c>
      <c r="X20">
        <v>0.99880000000000002</v>
      </c>
      <c r="Y20">
        <v>1.1094999999999999</v>
      </c>
    </row>
    <row r="21" spans="4:25" x14ac:dyDescent="0.2">
      <c r="D21" t="s">
        <v>233</v>
      </c>
      <c r="E21">
        <v>0.99380000000000002</v>
      </c>
      <c r="F21">
        <v>1.0847</v>
      </c>
      <c r="H21">
        <v>0.98809999999999998</v>
      </c>
      <c r="I21">
        <v>1.0821000000000001</v>
      </c>
      <c r="J21">
        <v>0.98040000000000005</v>
      </c>
      <c r="K21">
        <v>1.0872999999999999</v>
      </c>
      <c r="L21">
        <v>0.98899999999999999</v>
      </c>
      <c r="M21">
        <v>1.0624</v>
      </c>
      <c r="N21">
        <v>0.98540000000000005</v>
      </c>
      <c r="O21">
        <v>1.0888</v>
      </c>
      <c r="P21">
        <v>0.98560000000000003</v>
      </c>
      <c r="Q21">
        <v>1.0656000000000001</v>
      </c>
      <c r="R21">
        <v>0.98560000000000003</v>
      </c>
      <c r="S21">
        <v>1.0783</v>
      </c>
      <c r="T21">
        <v>0.98760000000000003</v>
      </c>
      <c r="U21">
        <v>1.0879000000000001</v>
      </c>
      <c r="V21">
        <v>0.98280000000000001</v>
      </c>
      <c r="W21">
        <v>1.0923</v>
      </c>
      <c r="X21">
        <v>0.99980000000000002</v>
      </c>
      <c r="Y21">
        <v>1.137</v>
      </c>
    </row>
    <row r="22" spans="4:25" x14ac:dyDescent="0.2">
      <c r="D22" t="s">
        <v>234</v>
      </c>
      <c r="E22">
        <v>1.0082</v>
      </c>
      <c r="F22">
        <v>1.1342000000000001</v>
      </c>
      <c r="H22">
        <v>0.98640000000000005</v>
      </c>
      <c r="I22">
        <v>1.0911999999999999</v>
      </c>
      <c r="J22">
        <v>0.98499999999999999</v>
      </c>
      <c r="K22">
        <v>1.0559000000000001</v>
      </c>
      <c r="L22">
        <v>0.98570000000000002</v>
      </c>
      <c r="M22">
        <v>1.0649999999999999</v>
      </c>
      <c r="N22">
        <v>0.98129999999999995</v>
      </c>
      <c r="O22">
        <v>1.0732999999999999</v>
      </c>
      <c r="P22">
        <v>0.9889</v>
      </c>
      <c r="Q22">
        <v>1.0784</v>
      </c>
      <c r="R22">
        <v>0.98899999999999999</v>
      </c>
      <c r="S22">
        <v>1.0784</v>
      </c>
      <c r="T22">
        <v>1.0233000000000001</v>
      </c>
      <c r="U22">
        <v>1.1343000000000001</v>
      </c>
      <c r="V22">
        <v>0.98880000000000001</v>
      </c>
      <c r="W22">
        <v>1.0670999999999999</v>
      </c>
      <c r="X22">
        <v>0.98950000000000005</v>
      </c>
      <c r="Y22">
        <v>1.075</v>
      </c>
    </row>
    <row r="23" spans="4:25" x14ac:dyDescent="0.2">
      <c r="D23" t="s">
        <v>235</v>
      </c>
      <c r="E23">
        <v>1.0005999999999999</v>
      </c>
      <c r="F23">
        <v>1.1064000000000001</v>
      </c>
      <c r="H23">
        <v>0.99080000000000001</v>
      </c>
      <c r="I23">
        <v>1.129</v>
      </c>
      <c r="J23">
        <v>0.98550000000000004</v>
      </c>
      <c r="K23">
        <v>1.0811999999999999</v>
      </c>
      <c r="L23">
        <v>0.98909999999999998</v>
      </c>
      <c r="M23">
        <v>1.0885</v>
      </c>
      <c r="N23">
        <v>0.98650000000000004</v>
      </c>
      <c r="O23">
        <v>1.0879000000000001</v>
      </c>
      <c r="P23">
        <v>0.98599999999999999</v>
      </c>
      <c r="Q23">
        <v>1.0738000000000001</v>
      </c>
      <c r="R23">
        <v>0.98909999999999998</v>
      </c>
      <c r="S23">
        <v>1.0878000000000001</v>
      </c>
      <c r="T23">
        <v>0.98450000000000004</v>
      </c>
      <c r="U23">
        <v>1.0611999999999999</v>
      </c>
      <c r="V23">
        <v>0.98019999999999996</v>
      </c>
      <c r="W23">
        <v>1.0639000000000001</v>
      </c>
      <c r="X23">
        <v>0.98850000000000005</v>
      </c>
      <c r="Y23">
        <v>1.0636000000000001</v>
      </c>
    </row>
    <row r="24" spans="4:25" x14ac:dyDescent="0.2">
      <c r="D24" t="s">
        <v>236</v>
      </c>
      <c r="E24">
        <v>1.0079</v>
      </c>
      <c r="F24">
        <v>1.1146</v>
      </c>
      <c r="H24">
        <v>0.98860000000000003</v>
      </c>
      <c r="I24">
        <v>1.0972</v>
      </c>
      <c r="J24">
        <v>0.98870000000000002</v>
      </c>
      <c r="K24">
        <v>1.0752999999999999</v>
      </c>
      <c r="L24">
        <v>0.98780000000000001</v>
      </c>
      <c r="M24">
        <v>1.1188</v>
      </c>
      <c r="N24">
        <v>0.98670000000000002</v>
      </c>
      <c r="O24">
        <v>1.103</v>
      </c>
      <c r="P24">
        <v>0.98909999999999998</v>
      </c>
      <c r="Q24">
        <v>1.0752999999999999</v>
      </c>
      <c r="R24">
        <v>0.98640000000000005</v>
      </c>
      <c r="S24">
        <v>1.0916999999999999</v>
      </c>
      <c r="T24">
        <v>0.98670000000000002</v>
      </c>
      <c r="U24">
        <v>1.0741000000000001</v>
      </c>
      <c r="V24">
        <v>0.98770000000000002</v>
      </c>
      <c r="W24">
        <v>1.113</v>
      </c>
      <c r="X24">
        <v>0.98409999999999997</v>
      </c>
      <c r="Y24">
        <v>1.0961000000000001</v>
      </c>
    </row>
    <row r="25" spans="4:25" x14ac:dyDescent="0.2">
      <c r="D25" t="s">
        <v>237</v>
      </c>
      <c r="E25">
        <v>1.0230999999999999</v>
      </c>
      <c r="F25">
        <v>1.1188</v>
      </c>
      <c r="H25">
        <v>0.98680000000000001</v>
      </c>
      <c r="I25">
        <v>1.1014999999999999</v>
      </c>
      <c r="J25">
        <v>0.9899</v>
      </c>
      <c r="K25">
        <v>1.1040000000000001</v>
      </c>
      <c r="L25">
        <v>0.98950000000000005</v>
      </c>
      <c r="M25">
        <v>1.0905</v>
      </c>
      <c r="N25">
        <v>0.98170000000000002</v>
      </c>
      <c r="O25">
        <v>1.0922000000000001</v>
      </c>
      <c r="P25">
        <v>0.98880000000000001</v>
      </c>
      <c r="Q25">
        <v>1.1302000000000001</v>
      </c>
      <c r="R25">
        <v>0.98880000000000001</v>
      </c>
      <c r="S25">
        <v>1.1577999999999999</v>
      </c>
      <c r="T25">
        <v>0.98640000000000005</v>
      </c>
      <c r="U25">
        <v>1.1001000000000001</v>
      </c>
      <c r="V25">
        <v>0.98660000000000003</v>
      </c>
      <c r="W25">
        <v>1.1014999999999999</v>
      </c>
      <c r="X25">
        <v>0.98599999999999999</v>
      </c>
      <c r="Y25">
        <v>1.1059000000000001</v>
      </c>
    </row>
    <row r="26" spans="4:25" x14ac:dyDescent="0.2">
      <c r="D26" t="s">
        <v>238</v>
      </c>
      <c r="E26">
        <v>1.0088999999999999</v>
      </c>
      <c r="F26">
        <v>1.0924</v>
      </c>
      <c r="H26">
        <v>0.98609999999999998</v>
      </c>
      <c r="I26">
        <v>1.1279999999999999</v>
      </c>
      <c r="J26">
        <v>0.98380000000000001</v>
      </c>
      <c r="K26">
        <v>1.1088</v>
      </c>
      <c r="L26">
        <v>0.98399999999999999</v>
      </c>
      <c r="M26">
        <v>1.0706</v>
      </c>
      <c r="N26">
        <v>0.98619999999999997</v>
      </c>
      <c r="O26">
        <v>1.1088</v>
      </c>
      <c r="P26">
        <v>0.98660000000000003</v>
      </c>
      <c r="Q26">
        <v>1.0981000000000001</v>
      </c>
      <c r="R26">
        <v>0.98809999999999998</v>
      </c>
      <c r="S26">
        <v>1.1147</v>
      </c>
      <c r="T26">
        <v>0.99109999999999998</v>
      </c>
      <c r="U26">
        <v>1.1262000000000001</v>
      </c>
      <c r="V26">
        <v>0.98270000000000002</v>
      </c>
      <c r="W26">
        <v>1.1171</v>
      </c>
      <c r="X26">
        <v>0.98750000000000004</v>
      </c>
      <c r="Y26">
        <v>1.1009</v>
      </c>
    </row>
    <row r="27" spans="4:25" x14ac:dyDescent="0.2">
      <c r="D27" t="s">
        <v>239</v>
      </c>
      <c r="E27">
        <v>1.0181</v>
      </c>
      <c r="F27">
        <v>1.1344000000000001</v>
      </c>
      <c r="H27">
        <v>0.98929999999999996</v>
      </c>
      <c r="I27">
        <v>1.1171</v>
      </c>
      <c r="J27">
        <v>0.98819999999999997</v>
      </c>
      <c r="K27">
        <v>1.1356999999999999</v>
      </c>
      <c r="L27">
        <v>0.98640000000000005</v>
      </c>
      <c r="M27">
        <v>1.1133999999999999</v>
      </c>
      <c r="N27">
        <v>0.98839999999999995</v>
      </c>
      <c r="O27">
        <v>1.0811999999999999</v>
      </c>
      <c r="P27">
        <v>0.98839999999999995</v>
      </c>
      <c r="Q27">
        <v>1.0769</v>
      </c>
      <c r="R27">
        <v>0.98560000000000003</v>
      </c>
      <c r="S27">
        <v>1.0630999999999999</v>
      </c>
      <c r="T27">
        <v>0.98899999999999999</v>
      </c>
      <c r="U27">
        <v>1.1174999999999999</v>
      </c>
      <c r="V27">
        <v>0.98499999999999999</v>
      </c>
      <c r="W27">
        <v>1.0682</v>
      </c>
      <c r="X27">
        <v>0.98080000000000001</v>
      </c>
      <c r="Y27">
        <v>1.0649</v>
      </c>
    </row>
    <row r="28" spans="4:25" x14ac:dyDescent="0.2">
      <c r="D28" t="s">
        <v>240</v>
      </c>
      <c r="E28">
        <v>1.0092000000000001</v>
      </c>
      <c r="F28">
        <v>1.1048</v>
      </c>
      <c r="H28">
        <v>0.98919999999999997</v>
      </c>
      <c r="I28">
        <v>1.071</v>
      </c>
      <c r="J28">
        <v>0.98640000000000005</v>
      </c>
      <c r="K28">
        <v>1.1080000000000001</v>
      </c>
      <c r="L28">
        <v>0.99029999999999996</v>
      </c>
      <c r="M28">
        <v>1.0869</v>
      </c>
      <c r="N28">
        <v>0.98609999999999998</v>
      </c>
      <c r="O28">
        <v>1.0767</v>
      </c>
      <c r="P28">
        <v>0.98619999999999997</v>
      </c>
      <c r="Q28">
        <v>1.0811999999999999</v>
      </c>
      <c r="R28">
        <v>0.98550000000000004</v>
      </c>
      <c r="S28">
        <v>1.1034999999999999</v>
      </c>
      <c r="T28">
        <v>0.98399999999999999</v>
      </c>
      <c r="U28">
        <v>1.1040000000000001</v>
      </c>
      <c r="V28">
        <v>0.98960000000000004</v>
      </c>
      <c r="W28">
        <v>1.0770999999999999</v>
      </c>
      <c r="X28">
        <v>0.98809999999999998</v>
      </c>
      <c r="Y28">
        <v>1.0790999999999999</v>
      </c>
    </row>
    <row r="29" spans="4:25" x14ac:dyDescent="0.2">
      <c r="D29" t="s">
        <v>241</v>
      </c>
      <c r="E29">
        <v>1.0003</v>
      </c>
      <c r="F29">
        <v>1.0924</v>
      </c>
      <c r="H29">
        <v>0.98670000000000002</v>
      </c>
      <c r="I29">
        <v>1.1319999999999999</v>
      </c>
      <c r="J29">
        <v>0.98670000000000002</v>
      </c>
      <c r="K29">
        <v>1.0421</v>
      </c>
      <c r="L29">
        <v>0.98299999999999998</v>
      </c>
      <c r="M29">
        <v>1.0623</v>
      </c>
      <c r="N29">
        <v>0.98629999999999995</v>
      </c>
      <c r="O29">
        <v>1.0784</v>
      </c>
      <c r="P29">
        <v>0.98599999999999999</v>
      </c>
      <c r="Q29">
        <v>1.1040000000000001</v>
      </c>
      <c r="R29">
        <v>0.98839999999999995</v>
      </c>
      <c r="S29">
        <v>1.0869</v>
      </c>
      <c r="T29">
        <v>0.98919999999999997</v>
      </c>
      <c r="U29">
        <v>1.0969</v>
      </c>
      <c r="V29">
        <v>0.9859</v>
      </c>
      <c r="W29">
        <v>1.1082000000000001</v>
      </c>
      <c r="X29">
        <v>0.98380000000000001</v>
      </c>
      <c r="Y29">
        <v>1.0757000000000001</v>
      </c>
    </row>
    <row r="30" spans="4:25" x14ac:dyDescent="0.2">
      <c r="D30" t="s">
        <v>242</v>
      </c>
      <c r="E30">
        <v>0.99719999999999998</v>
      </c>
      <c r="F30">
        <v>1.1128</v>
      </c>
      <c r="H30">
        <v>0.98580000000000001</v>
      </c>
      <c r="I30">
        <v>1.1155999999999999</v>
      </c>
      <c r="J30">
        <v>0.98809999999999998</v>
      </c>
      <c r="K30">
        <v>1.0827</v>
      </c>
      <c r="L30">
        <v>0.98550000000000004</v>
      </c>
      <c r="M30">
        <v>1.0651999999999999</v>
      </c>
      <c r="N30">
        <v>0.98560000000000003</v>
      </c>
      <c r="O30">
        <v>1.1161000000000001</v>
      </c>
      <c r="P30">
        <v>0.98599999999999999</v>
      </c>
      <c r="Q30">
        <v>1.1163000000000001</v>
      </c>
      <c r="R30">
        <v>0.98199999999999998</v>
      </c>
      <c r="S30">
        <v>1.125</v>
      </c>
      <c r="T30">
        <v>0.98660000000000003</v>
      </c>
      <c r="U30">
        <v>1.0891</v>
      </c>
      <c r="V30">
        <v>0.98399999999999999</v>
      </c>
      <c r="W30">
        <v>1.0945</v>
      </c>
      <c r="X30">
        <v>0.98699999999999999</v>
      </c>
      <c r="Y30">
        <v>1.0806</v>
      </c>
    </row>
    <row r="31" spans="4:25" x14ac:dyDescent="0.2">
      <c r="D31" t="s">
        <v>243</v>
      </c>
      <c r="E31">
        <v>1.0007999999999999</v>
      </c>
      <c r="F31">
        <v>1.1493</v>
      </c>
      <c r="H31">
        <v>0.98640000000000005</v>
      </c>
      <c r="I31">
        <v>1.073</v>
      </c>
      <c r="J31">
        <v>0.98550000000000004</v>
      </c>
      <c r="K31">
        <v>1.0622</v>
      </c>
      <c r="L31">
        <v>0.98380000000000001</v>
      </c>
      <c r="M31">
        <v>1.0840000000000001</v>
      </c>
      <c r="N31">
        <v>0.9889</v>
      </c>
      <c r="O31">
        <v>1.0842000000000001</v>
      </c>
      <c r="P31">
        <v>0.98709999999999998</v>
      </c>
      <c r="Q31">
        <v>1.1011</v>
      </c>
      <c r="R31">
        <v>0.98029999999999995</v>
      </c>
      <c r="S31">
        <v>1.0704</v>
      </c>
      <c r="T31">
        <v>0.98740000000000006</v>
      </c>
      <c r="U31">
        <v>1.0783</v>
      </c>
      <c r="V31">
        <v>0.99</v>
      </c>
      <c r="W31">
        <v>1.081</v>
      </c>
      <c r="X31">
        <v>0.98829999999999996</v>
      </c>
      <c r="Y31">
        <v>1.05</v>
      </c>
    </row>
    <row r="32" spans="4:25" x14ac:dyDescent="0.2">
      <c r="D32" t="s">
        <v>244</v>
      </c>
      <c r="E32">
        <v>0.98780000000000001</v>
      </c>
      <c r="F32">
        <v>1.0817000000000001</v>
      </c>
      <c r="H32">
        <v>0.98609999999999998</v>
      </c>
      <c r="I32">
        <v>1.0871</v>
      </c>
      <c r="J32">
        <v>0.98919999999999997</v>
      </c>
      <c r="K32">
        <v>1.0561</v>
      </c>
      <c r="L32">
        <v>0.98750000000000004</v>
      </c>
      <c r="M32">
        <v>1.0504</v>
      </c>
      <c r="N32">
        <v>0.9889</v>
      </c>
      <c r="O32">
        <v>1.0586</v>
      </c>
      <c r="P32">
        <v>0.98550000000000004</v>
      </c>
      <c r="Q32">
        <v>1.0610999999999999</v>
      </c>
      <c r="R32">
        <v>0.98609999999999998</v>
      </c>
      <c r="S32">
        <v>1.0666</v>
      </c>
      <c r="T32">
        <v>0.98670000000000002</v>
      </c>
      <c r="U32">
        <v>1.0628</v>
      </c>
      <c r="V32">
        <v>0.99019999999999997</v>
      </c>
      <c r="W32">
        <v>1.0610999999999999</v>
      </c>
      <c r="X32">
        <v>0.98570000000000002</v>
      </c>
      <c r="Y32">
        <v>1.0471999999999999</v>
      </c>
    </row>
    <row r="33" spans="4:25" x14ac:dyDescent="0.2">
      <c r="D33" t="s">
        <v>245</v>
      </c>
      <c r="E33">
        <v>0.99019999999999997</v>
      </c>
      <c r="F33">
        <v>1.1221000000000001</v>
      </c>
      <c r="H33">
        <v>0.98980000000000001</v>
      </c>
      <c r="I33">
        <v>1.1133</v>
      </c>
      <c r="J33">
        <v>0.98899999999999999</v>
      </c>
      <c r="K33">
        <v>1.0810999999999999</v>
      </c>
      <c r="L33">
        <v>0.98360000000000003</v>
      </c>
      <c r="M33">
        <v>1.1073</v>
      </c>
      <c r="N33">
        <v>0.9829</v>
      </c>
      <c r="O33">
        <v>1.0928</v>
      </c>
      <c r="P33">
        <v>0.98540000000000005</v>
      </c>
      <c r="Q33">
        <v>1.1497999999999999</v>
      </c>
      <c r="R33">
        <v>0.98880000000000001</v>
      </c>
      <c r="S33">
        <v>1.0803</v>
      </c>
      <c r="T33">
        <v>0.9909</v>
      </c>
      <c r="U33">
        <v>1.1064000000000001</v>
      </c>
      <c r="V33">
        <v>0.98399999999999999</v>
      </c>
      <c r="W33">
        <v>1.1100000000000001</v>
      </c>
      <c r="X33">
        <v>0.98980000000000001</v>
      </c>
      <c r="Y33">
        <v>1.1068</v>
      </c>
    </row>
    <row r="34" spans="4:25" x14ac:dyDescent="0.2">
      <c r="D34" t="s">
        <v>246</v>
      </c>
      <c r="E34">
        <v>0.98060000000000003</v>
      </c>
      <c r="F34">
        <v>1.1008</v>
      </c>
      <c r="H34">
        <v>0.98609999999999998</v>
      </c>
      <c r="I34">
        <v>1.0875999999999999</v>
      </c>
      <c r="J34">
        <v>0.98550000000000004</v>
      </c>
      <c r="K34">
        <v>1.0914999999999999</v>
      </c>
      <c r="L34">
        <v>0.98860000000000003</v>
      </c>
      <c r="M34">
        <v>1.0825</v>
      </c>
      <c r="N34">
        <v>0.98550000000000004</v>
      </c>
      <c r="O34">
        <v>1.1109</v>
      </c>
      <c r="P34">
        <v>0.98929999999999996</v>
      </c>
      <c r="Q34">
        <v>1.1264000000000001</v>
      </c>
      <c r="R34">
        <v>0.98719999999999997</v>
      </c>
      <c r="S34">
        <v>1.1231</v>
      </c>
      <c r="T34">
        <v>0.98080000000000001</v>
      </c>
      <c r="U34">
        <v>1.0987</v>
      </c>
      <c r="V34">
        <v>0.98750000000000004</v>
      </c>
      <c r="W34">
        <v>1.0960000000000001</v>
      </c>
      <c r="X34">
        <v>0.99050000000000005</v>
      </c>
      <c r="Y34">
        <v>1.0858000000000001</v>
      </c>
    </row>
    <row r="35" spans="4:25" x14ac:dyDescent="0.2">
      <c r="D35" t="s">
        <v>247</v>
      </c>
      <c r="E35">
        <v>0.98970000000000002</v>
      </c>
      <c r="F35">
        <v>1.1458999999999999</v>
      </c>
      <c r="H35">
        <v>0.98599999999999999</v>
      </c>
      <c r="I35">
        <v>1.1028</v>
      </c>
      <c r="J35">
        <v>0.99060000000000004</v>
      </c>
      <c r="K35">
        <v>1.1415999999999999</v>
      </c>
      <c r="L35">
        <v>0.98929999999999996</v>
      </c>
      <c r="M35">
        <v>1.0826</v>
      </c>
      <c r="N35">
        <v>0.98080000000000001</v>
      </c>
      <c r="O35">
        <v>1.0915999999999999</v>
      </c>
      <c r="P35">
        <v>0.98799999999999999</v>
      </c>
      <c r="Q35">
        <v>1.1385000000000001</v>
      </c>
      <c r="R35">
        <v>0.98680000000000001</v>
      </c>
      <c r="S35">
        <v>1.1113</v>
      </c>
      <c r="T35">
        <v>0.98599999999999999</v>
      </c>
      <c r="U35">
        <v>1.1363000000000001</v>
      </c>
      <c r="V35">
        <v>1.0232000000000001</v>
      </c>
      <c r="W35">
        <v>1.1722999999999999</v>
      </c>
      <c r="X35">
        <v>0.99470000000000003</v>
      </c>
      <c r="Y35">
        <v>1.0803</v>
      </c>
    </row>
    <row r="36" spans="4:25" x14ac:dyDescent="0.2">
      <c r="D36" t="s">
        <v>248</v>
      </c>
      <c r="E36">
        <v>0.98619999999999997</v>
      </c>
      <c r="F36">
        <v>1.1146</v>
      </c>
      <c r="H36">
        <v>0.98199999999999998</v>
      </c>
      <c r="I36">
        <v>1.0802</v>
      </c>
      <c r="J36">
        <v>0.98280000000000001</v>
      </c>
      <c r="K36">
        <v>1.0791999999999999</v>
      </c>
      <c r="L36">
        <v>0.98170000000000002</v>
      </c>
      <c r="M36">
        <v>1.0773999999999999</v>
      </c>
      <c r="N36">
        <v>0.98040000000000005</v>
      </c>
      <c r="O36">
        <v>1.0793999999999999</v>
      </c>
      <c r="P36">
        <v>0.98160000000000003</v>
      </c>
      <c r="Q36">
        <v>1.1137999999999999</v>
      </c>
      <c r="R36">
        <v>0.98560000000000003</v>
      </c>
      <c r="S36">
        <v>1.0903</v>
      </c>
      <c r="T36">
        <v>0.98650000000000004</v>
      </c>
      <c r="U36">
        <v>1.0993999999999999</v>
      </c>
      <c r="V36">
        <v>0.99109999999999998</v>
      </c>
      <c r="W36">
        <v>1.1107</v>
      </c>
      <c r="X36">
        <v>0.98089999999999999</v>
      </c>
      <c r="Y36">
        <v>1.1048</v>
      </c>
    </row>
    <row r="37" spans="4:25" x14ac:dyDescent="0.2">
      <c r="D37" t="s">
        <v>249</v>
      </c>
      <c r="E37">
        <v>0.98899999999999999</v>
      </c>
      <c r="F37">
        <v>1.137</v>
      </c>
      <c r="H37">
        <v>0.98909999999999998</v>
      </c>
      <c r="I37">
        <v>1.1034999999999999</v>
      </c>
      <c r="J37">
        <v>0.98080000000000001</v>
      </c>
      <c r="K37">
        <v>1.0724</v>
      </c>
      <c r="L37">
        <v>0.98660000000000003</v>
      </c>
      <c r="M37">
        <v>1.0976999999999999</v>
      </c>
      <c r="N37">
        <v>0.98740000000000006</v>
      </c>
      <c r="O37">
        <v>1.0839000000000001</v>
      </c>
      <c r="P37">
        <v>0.98070000000000002</v>
      </c>
      <c r="Q37">
        <v>1.0603</v>
      </c>
      <c r="R37">
        <v>0.98960000000000004</v>
      </c>
      <c r="S37">
        <v>1.0768</v>
      </c>
      <c r="T37">
        <v>0.99009999999999998</v>
      </c>
      <c r="U37">
        <v>1.0785</v>
      </c>
      <c r="V37">
        <v>0.99719999999999998</v>
      </c>
      <c r="W37">
        <v>1.0829</v>
      </c>
      <c r="X37">
        <v>1.0237000000000001</v>
      </c>
      <c r="Y37">
        <v>1.0901000000000001</v>
      </c>
    </row>
    <row r="38" spans="4:25" x14ac:dyDescent="0.2">
      <c r="D38" t="s">
        <v>250</v>
      </c>
      <c r="E38">
        <v>0.9889</v>
      </c>
      <c r="F38">
        <v>1.0751999999999999</v>
      </c>
      <c r="H38">
        <v>0.98950000000000005</v>
      </c>
      <c r="I38">
        <v>1.0824</v>
      </c>
      <c r="J38">
        <v>0.98660000000000003</v>
      </c>
      <c r="K38">
        <v>1.1460999999999999</v>
      </c>
      <c r="L38">
        <v>0.98719999999999997</v>
      </c>
      <c r="M38">
        <v>1.0706</v>
      </c>
      <c r="N38">
        <v>0.98960000000000004</v>
      </c>
      <c r="O38">
        <v>1.1393</v>
      </c>
      <c r="P38">
        <v>0.98640000000000005</v>
      </c>
      <c r="Q38">
        <v>1.1335999999999999</v>
      </c>
      <c r="R38">
        <v>0.98660000000000003</v>
      </c>
      <c r="S38">
        <v>1.0886800000000001</v>
      </c>
      <c r="T38">
        <v>0.9899</v>
      </c>
      <c r="U38">
        <v>1.1204000000000001</v>
      </c>
      <c r="V38">
        <v>1.0115000000000001</v>
      </c>
      <c r="W38">
        <v>1.1477999999999999</v>
      </c>
      <c r="X38">
        <v>1</v>
      </c>
      <c r="Y38">
        <v>1.1254</v>
      </c>
    </row>
    <row r="39" spans="4:25" x14ac:dyDescent="0.2">
      <c r="D39" t="s">
        <v>251</v>
      </c>
      <c r="E39">
        <v>0.98839999999999995</v>
      </c>
      <c r="F39">
        <v>1.0988</v>
      </c>
      <c r="H39">
        <v>0.98560000000000003</v>
      </c>
      <c r="I39">
        <v>1.1119000000000001</v>
      </c>
      <c r="J39">
        <v>0.98019999999999996</v>
      </c>
      <c r="K39">
        <v>1.0832999999999999</v>
      </c>
      <c r="L39">
        <v>0.98640000000000005</v>
      </c>
      <c r="M39">
        <v>1.085</v>
      </c>
      <c r="N39">
        <v>0.98040000000000005</v>
      </c>
      <c r="O39">
        <v>1.109</v>
      </c>
      <c r="P39">
        <v>0.98870000000000002</v>
      </c>
      <c r="Q39">
        <v>1.1358999999999999</v>
      </c>
      <c r="R39">
        <v>0.98870000000000002</v>
      </c>
      <c r="S39">
        <v>1.0960000000000001</v>
      </c>
      <c r="T39">
        <v>0.98099999999999998</v>
      </c>
      <c r="U39">
        <v>1.0647</v>
      </c>
      <c r="V39">
        <v>0.98809999999999998</v>
      </c>
      <c r="W39">
        <v>1.1092</v>
      </c>
      <c r="X39">
        <v>1.0004</v>
      </c>
      <c r="Y39">
        <v>1.0954999999999999</v>
      </c>
    </row>
    <row r="40" spans="4:25" x14ac:dyDescent="0.2">
      <c r="D40" t="s">
        <v>252</v>
      </c>
      <c r="E40">
        <v>0.89290000000000003</v>
      </c>
      <c r="F40">
        <v>1.0896999999999999</v>
      </c>
      <c r="H40">
        <v>0.98839999999999995</v>
      </c>
      <c r="I40">
        <v>1.083</v>
      </c>
      <c r="J40">
        <v>0.98540000000000005</v>
      </c>
      <c r="K40">
        <v>1.0705</v>
      </c>
      <c r="L40">
        <v>0.99070000000000003</v>
      </c>
      <c r="M40">
        <v>1.1588000000000001</v>
      </c>
      <c r="N40">
        <v>0.98699999999999999</v>
      </c>
      <c r="O40">
        <v>1.1173</v>
      </c>
      <c r="P40">
        <v>0.98970000000000002</v>
      </c>
      <c r="Q40">
        <v>1.0981000000000001</v>
      </c>
      <c r="R40">
        <v>0.98360000000000003</v>
      </c>
      <c r="S40">
        <v>1.1013999999999999</v>
      </c>
      <c r="T40">
        <v>0.98180000000000001</v>
      </c>
      <c r="U40">
        <v>1.08</v>
      </c>
      <c r="V40">
        <v>0.98360000000000003</v>
      </c>
      <c r="W40">
        <v>1.0985</v>
      </c>
      <c r="X40">
        <v>1.0088999999999999</v>
      </c>
      <c r="Y40">
        <v>1.1153</v>
      </c>
    </row>
    <row r="41" spans="4:25" x14ac:dyDescent="0.2">
      <c r="D41" t="s">
        <v>253</v>
      </c>
      <c r="E41">
        <v>0.99839</v>
      </c>
      <c r="F41">
        <v>1.1099000000000001</v>
      </c>
      <c r="H41">
        <v>0.98350000000000004</v>
      </c>
      <c r="I41">
        <v>1.2036</v>
      </c>
      <c r="J41">
        <v>0.98009999999999997</v>
      </c>
      <c r="K41">
        <v>1.0982000000000001</v>
      </c>
      <c r="L41">
        <v>0.98529999999999995</v>
      </c>
      <c r="M41">
        <v>1.1083000000000001</v>
      </c>
      <c r="N41">
        <v>0.98040000000000005</v>
      </c>
      <c r="O41">
        <v>1.0774999999999999</v>
      </c>
      <c r="P41">
        <v>0.98070000000000002</v>
      </c>
      <c r="Q41">
        <v>1.0888</v>
      </c>
      <c r="R41">
        <v>0.98299999999999998</v>
      </c>
      <c r="S41">
        <v>1.0808</v>
      </c>
      <c r="T41">
        <v>0.98299999999999998</v>
      </c>
      <c r="U41">
        <v>1.1102000000000001</v>
      </c>
      <c r="V41">
        <v>0.98380000000000001</v>
      </c>
      <c r="W41">
        <v>1.0985</v>
      </c>
      <c r="X41">
        <v>1.0082</v>
      </c>
      <c r="Y41">
        <v>1.1091</v>
      </c>
    </row>
    <row r="42" spans="4:25" x14ac:dyDescent="0.2">
      <c r="D42" t="s">
        <v>254</v>
      </c>
      <c r="E42">
        <v>0.98829999999999996</v>
      </c>
      <c r="F42">
        <v>1.077</v>
      </c>
      <c r="H42">
        <v>0.98980000000000001</v>
      </c>
      <c r="I42">
        <v>1.1543000000000001</v>
      </c>
      <c r="J42">
        <v>0.98329999999999995</v>
      </c>
      <c r="K42">
        <v>1.1287</v>
      </c>
      <c r="L42">
        <v>0.98629999999999995</v>
      </c>
      <c r="M42">
        <v>1.1133999999999999</v>
      </c>
      <c r="N42">
        <v>0.98570000000000002</v>
      </c>
      <c r="O42">
        <v>1.1240000000000001</v>
      </c>
      <c r="P42">
        <v>0.98680000000000001</v>
      </c>
      <c r="Q42">
        <v>1.1006</v>
      </c>
      <c r="R42">
        <v>0.98509999999999998</v>
      </c>
      <c r="S42">
        <v>1.0962000000000001</v>
      </c>
      <c r="T42">
        <v>0.98709999999999998</v>
      </c>
      <c r="U42">
        <v>1.1137999999999999</v>
      </c>
      <c r="V42">
        <v>1</v>
      </c>
      <c r="W42">
        <v>1.1017999999999999</v>
      </c>
      <c r="X42">
        <v>1.0032000000000001</v>
      </c>
      <c r="Y42">
        <v>1.1446000000000001</v>
      </c>
    </row>
    <row r="43" spans="4:25" x14ac:dyDescent="0.2">
      <c r="D43" t="s">
        <v>255</v>
      </c>
      <c r="E43">
        <v>0.9859</v>
      </c>
      <c r="F43">
        <v>1.1160000000000001</v>
      </c>
      <c r="H43">
        <v>0.98140000000000005</v>
      </c>
      <c r="I43">
        <v>1.1086</v>
      </c>
      <c r="J43">
        <v>0.9859</v>
      </c>
      <c r="K43">
        <v>1.0761000000000001</v>
      </c>
      <c r="L43">
        <v>0.98870000000000002</v>
      </c>
      <c r="M43">
        <v>1.1177999999999999</v>
      </c>
      <c r="N43">
        <v>0.98150000000000004</v>
      </c>
      <c r="O43">
        <v>1.1034999999999999</v>
      </c>
      <c r="P43">
        <v>0.98819999999999997</v>
      </c>
      <c r="Q43">
        <v>1.0811999999999999</v>
      </c>
      <c r="R43">
        <v>0.98939999999999995</v>
      </c>
      <c r="S43">
        <v>1.0842000000000001</v>
      </c>
      <c r="T43">
        <v>0.98609999999999998</v>
      </c>
      <c r="U43">
        <v>1.0872999999999999</v>
      </c>
      <c r="V43">
        <v>1.0228999999999999</v>
      </c>
      <c r="W43">
        <v>1.1561999999999999</v>
      </c>
      <c r="X43">
        <v>1.0172000000000001</v>
      </c>
      <c r="Y43">
        <v>1.0985</v>
      </c>
    </row>
    <row r="44" spans="4:25" x14ac:dyDescent="0.2">
      <c r="D44" t="s">
        <v>256</v>
      </c>
      <c r="E44">
        <v>9.0300000000000005E-2</v>
      </c>
      <c r="F44">
        <v>1.1161000000000001</v>
      </c>
      <c r="H44">
        <v>0.98950000000000005</v>
      </c>
      <c r="I44">
        <v>1.1349</v>
      </c>
      <c r="J44">
        <v>0.98560000000000003</v>
      </c>
      <c r="K44">
        <v>1.1126</v>
      </c>
      <c r="L44">
        <v>0.98580000000000001</v>
      </c>
      <c r="M44">
        <v>1.1391</v>
      </c>
      <c r="N44">
        <v>0.98770000000000002</v>
      </c>
      <c r="O44">
        <v>1.0972999999999999</v>
      </c>
      <c r="P44">
        <v>0.98029999999999995</v>
      </c>
      <c r="Q44">
        <v>1.0881000000000001</v>
      </c>
      <c r="R44">
        <v>0.98629999999999995</v>
      </c>
      <c r="S44">
        <v>1.0927</v>
      </c>
      <c r="T44">
        <v>0.99029999999999996</v>
      </c>
      <c r="U44">
        <v>1.1133999999999999</v>
      </c>
      <c r="V44">
        <v>0.98670000000000002</v>
      </c>
      <c r="W44">
        <v>1.1238999999999999</v>
      </c>
      <c r="X44">
        <v>1.0043</v>
      </c>
      <c r="Y44">
        <v>1.1052999999999999</v>
      </c>
    </row>
    <row r="49" spans="1:13" x14ac:dyDescent="0.2">
      <c r="A49" t="s">
        <v>262</v>
      </c>
      <c r="E49" t="s">
        <v>348</v>
      </c>
      <c r="F49" t="s">
        <v>218</v>
      </c>
      <c r="G49" t="s">
        <v>0</v>
      </c>
      <c r="H49" t="s">
        <v>1</v>
      </c>
      <c r="I49" t="s">
        <v>222</v>
      </c>
      <c r="J49" t="s">
        <v>2</v>
      </c>
      <c r="K49" t="s">
        <v>225</v>
      </c>
      <c r="L49" t="s">
        <v>3</v>
      </c>
      <c r="M49" t="s">
        <v>228</v>
      </c>
    </row>
    <row r="50" spans="1:13" x14ac:dyDescent="0.2">
      <c r="D50" t="s">
        <v>5</v>
      </c>
      <c r="E50">
        <f>I13-H13</f>
        <v>0.10540000000000005</v>
      </c>
      <c r="F50">
        <f>K13-J13</f>
        <v>0.11120000000000008</v>
      </c>
      <c r="G50">
        <f>M13-L13</f>
        <v>8.3500000000000019E-2</v>
      </c>
      <c r="H50">
        <f>O13-N13</f>
        <v>9.870000000000001E-2</v>
      </c>
      <c r="I50">
        <f>Q13-P13</f>
        <v>6.9599999999999995E-2</v>
      </c>
      <c r="J50">
        <f>S13-R13</f>
        <v>0.10039999999999993</v>
      </c>
      <c r="K50">
        <f>U13-T13</f>
        <v>8.2299999999999929E-2</v>
      </c>
      <c r="L50">
        <f>W13-V13</f>
        <v>9.770000000000012E-2</v>
      </c>
      <c r="M50">
        <f>Y13-X13</f>
        <v>8.1199999999999939E-2</v>
      </c>
    </row>
    <row r="51" spans="1:13" x14ac:dyDescent="0.2">
      <c r="D51" t="s">
        <v>6</v>
      </c>
      <c r="E51">
        <f t="shared" ref="E51:E81" si="0">I14-H14</f>
        <v>0.15200000000000002</v>
      </c>
      <c r="F51">
        <f t="shared" ref="F51:F81" si="1">K14-J14</f>
        <v>6.6399999999999904E-2</v>
      </c>
      <c r="G51">
        <f t="shared" ref="G51:G81" si="2">M14-L14</f>
        <v>8.5599999999999898E-2</v>
      </c>
      <c r="H51">
        <f t="shared" ref="H51:H81" si="3">O14-N14</f>
        <v>0.11430000000000007</v>
      </c>
      <c r="I51">
        <f t="shared" ref="I51:I81" si="4">Q14-P14</f>
        <v>0.13490000000000002</v>
      </c>
      <c r="J51">
        <f t="shared" ref="J51:J81" si="5">S14-R14</f>
        <v>9.1800000000000104E-2</v>
      </c>
      <c r="K51">
        <f t="shared" ref="K51:K81" si="6">U14-T14</f>
        <v>0.10609999999999986</v>
      </c>
      <c r="L51">
        <f t="shared" ref="L51:L81" si="7">W14-V14</f>
        <v>0.18640000000000001</v>
      </c>
      <c r="M51">
        <f t="shared" ref="M51:M81" si="8">Y14-X14</f>
        <v>9.2600000000000016E-2</v>
      </c>
    </row>
    <row r="52" spans="1:13" x14ac:dyDescent="0.2">
      <c r="D52" t="s">
        <v>7</v>
      </c>
      <c r="E52">
        <f t="shared" si="0"/>
        <v>0.19259999999999999</v>
      </c>
      <c r="F52">
        <f t="shared" si="1"/>
        <v>0.12180000000000002</v>
      </c>
      <c r="G52">
        <f t="shared" si="2"/>
        <v>0.10719999999999996</v>
      </c>
      <c r="H52">
        <f t="shared" si="3"/>
        <v>9.8799999999999888E-2</v>
      </c>
      <c r="I52">
        <f t="shared" si="4"/>
        <v>9.9200000000000066E-2</v>
      </c>
      <c r="J52">
        <f t="shared" si="5"/>
        <v>0.13979999999999992</v>
      </c>
      <c r="K52">
        <f t="shared" si="6"/>
        <v>8.2599999999999896E-2</v>
      </c>
      <c r="L52">
        <f t="shared" si="7"/>
        <v>0.13980000000000004</v>
      </c>
      <c r="M52">
        <f t="shared" si="8"/>
        <v>0.11899999999999999</v>
      </c>
    </row>
    <row r="53" spans="1:13" x14ac:dyDescent="0.2">
      <c r="D53" t="s">
        <v>8</v>
      </c>
      <c r="E53">
        <f t="shared" si="0"/>
        <v>0.12490000000000001</v>
      </c>
      <c r="F53">
        <f t="shared" si="1"/>
        <v>7.0699999999999985E-2</v>
      </c>
      <c r="G53">
        <f t="shared" si="2"/>
        <v>9.529999999999994E-2</v>
      </c>
      <c r="H53">
        <f t="shared" si="3"/>
        <v>7.5299999999999923E-2</v>
      </c>
      <c r="I53">
        <f t="shared" si="4"/>
        <v>0.10259999999999991</v>
      </c>
      <c r="J53">
        <f t="shared" si="5"/>
        <v>0.10070000000000001</v>
      </c>
      <c r="K53">
        <f t="shared" si="6"/>
        <v>0.12570000000000003</v>
      </c>
      <c r="L53">
        <f t="shared" si="7"/>
        <v>0.10459999999999992</v>
      </c>
      <c r="M53">
        <f t="shared" si="8"/>
        <v>0.10819999999999985</v>
      </c>
    </row>
    <row r="54" spans="1:13" x14ac:dyDescent="0.2">
      <c r="D54" t="s">
        <v>9</v>
      </c>
      <c r="E54">
        <f t="shared" si="0"/>
        <v>0.12960000000000005</v>
      </c>
      <c r="F54">
        <f t="shared" si="1"/>
        <v>5.3900000000000059E-2</v>
      </c>
      <c r="G54">
        <f t="shared" si="2"/>
        <v>0.10539999999999994</v>
      </c>
      <c r="H54">
        <f t="shared" si="3"/>
        <v>0.1159</v>
      </c>
      <c r="I54">
        <f t="shared" si="4"/>
        <v>0.13790000000000002</v>
      </c>
      <c r="J54">
        <f t="shared" si="5"/>
        <v>0.10360000000000003</v>
      </c>
      <c r="K54">
        <f t="shared" si="6"/>
        <v>0.11899999999999988</v>
      </c>
      <c r="L54">
        <f t="shared" si="7"/>
        <v>0.13070000000000004</v>
      </c>
      <c r="M54">
        <f t="shared" si="8"/>
        <v>0.12199999999999989</v>
      </c>
    </row>
    <row r="55" spans="1:13" x14ac:dyDescent="0.2">
      <c r="D55" t="s">
        <v>10</v>
      </c>
      <c r="E55">
        <f t="shared" si="0"/>
        <v>9.8099999999999965E-2</v>
      </c>
      <c r="F55">
        <f t="shared" si="1"/>
        <v>7.2000000000000064E-2</v>
      </c>
      <c r="G55">
        <f t="shared" si="2"/>
        <v>0.12339999999999995</v>
      </c>
      <c r="H55">
        <f t="shared" si="3"/>
        <v>9.5999999999999974E-2</v>
      </c>
      <c r="I55">
        <f t="shared" si="4"/>
        <v>0.11280000000000001</v>
      </c>
      <c r="J55">
        <f t="shared" si="5"/>
        <v>0.10089999999999999</v>
      </c>
      <c r="K55">
        <f t="shared" si="6"/>
        <v>9.540000000000004E-2</v>
      </c>
      <c r="L55">
        <f t="shared" si="7"/>
        <v>0.10250000000000004</v>
      </c>
      <c r="M55">
        <f t="shared" si="8"/>
        <v>8.2099999999999951E-2</v>
      </c>
    </row>
    <row r="56" spans="1:13" x14ac:dyDescent="0.2">
      <c r="D56" t="s">
        <v>11</v>
      </c>
      <c r="E56">
        <f t="shared" si="0"/>
        <v>0.10589999999999999</v>
      </c>
      <c r="F56">
        <f t="shared" si="1"/>
        <v>0.10399999999999998</v>
      </c>
      <c r="G56">
        <f t="shared" si="2"/>
        <v>6.469999999999998E-2</v>
      </c>
      <c r="H56">
        <f t="shared" si="3"/>
        <v>8.9299999999999935E-2</v>
      </c>
      <c r="I56">
        <f t="shared" si="4"/>
        <v>0.10850000000000004</v>
      </c>
      <c r="J56">
        <f t="shared" si="5"/>
        <v>0.11119999999999997</v>
      </c>
      <c r="K56">
        <f t="shared" si="6"/>
        <v>9.3899999999999983E-2</v>
      </c>
      <c r="L56">
        <f t="shared" si="7"/>
        <v>9.4600000000000017E-2</v>
      </c>
      <c r="M56">
        <f t="shared" si="8"/>
        <v>7.4999999999999956E-2</v>
      </c>
    </row>
    <row r="57" spans="1:13" x14ac:dyDescent="0.2">
      <c r="D57" t="s">
        <v>12</v>
      </c>
      <c r="E57">
        <f t="shared" si="0"/>
        <v>0.28309999999999991</v>
      </c>
      <c r="F57">
        <f t="shared" si="1"/>
        <v>5.9500000000000108E-2</v>
      </c>
      <c r="G57">
        <f t="shared" si="2"/>
        <v>0.15720000000000001</v>
      </c>
      <c r="H57">
        <f t="shared" si="3"/>
        <v>0.10470000000000013</v>
      </c>
      <c r="I57">
        <f t="shared" si="4"/>
        <v>0.11470000000000002</v>
      </c>
      <c r="J57">
        <f t="shared" si="5"/>
        <v>0.11729999999999985</v>
      </c>
      <c r="K57">
        <f t="shared" si="6"/>
        <v>0.13539999999999996</v>
      </c>
      <c r="L57">
        <f t="shared" si="7"/>
        <v>0.1169</v>
      </c>
      <c r="M57">
        <f t="shared" si="8"/>
        <v>0.11069999999999991</v>
      </c>
    </row>
    <row r="58" spans="1:13" x14ac:dyDescent="0.2">
      <c r="D58" t="s">
        <v>233</v>
      </c>
      <c r="E58">
        <f t="shared" si="0"/>
        <v>9.4000000000000083E-2</v>
      </c>
      <c r="F58">
        <f t="shared" si="1"/>
        <v>0.10689999999999988</v>
      </c>
      <c r="G58">
        <f t="shared" si="2"/>
        <v>7.3400000000000021E-2</v>
      </c>
      <c r="H58">
        <f t="shared" si="3"/>
        <v>0.10339999999999994</v>
      </c>
      <c r="I58">
        <f t="shared" si="4"/>
        <v>8.0000000000000071E-2</v>
      </c>
      <c r="J58">
        <f t="shared" si="5"/>
        <v>9.2700000000000005E-2</v>
      </c>
      <c r="K58">
        <f t="shared" si="6"/>
        <v>0.10030000000000006</v>
      </c>
      <c r="L58">
        <f t="shared" si="7"/>
        <v>0.10950000000000004</v>
      </c>
      <c r="M58">
        <f t="shared" si="8"/>
        <v>0.13719999999999999</v>
      </c>
    </row>
    <row r="59" spans="1:13" x14ac:dyDescent="0.2">
      <c r="D59" t="s">
        <v>234</v>
      </c>
      <c r="E59">
        <f t="shared" si="0"/>
        <v>0.10479999999999989</v>
      </c>
      <c r="F59">
        <f t="shared" si="1"/>
        <v>7.0900000000000074E-2</v>
      </c>
      <c r="G59">
        <f t="shared" si="2"/>
        <v>7.9299999999999926E-2</v>
      </c>
      <c r="H59">
        <f t="shared" si="3"/>
        <v>9.1999999999999971E-2</v>
      </c>
      <c r="I59">
        <f t="shared" si="4"/>
        <v>8.9500000000000024E-2</v>
      </c>
      <c r="J59">
        <f t="shared" si="5"/>
        <v>8.9400000000000035E-2</v>
      </c>
      <c r="K59">
        <f t="shared" si="6"/>
        <v>0.11099999999999999</v>
      </c>
      <c r="L59">
        <f t="shared" si="7"/>
        <v>7.8299999999999925E-2</v>
      </c>
      <c r="M59">
        <f t="shared" si="8"/>
        <v>8.5499999999999909E-2</v>
      </c>
    </row>
    <row r="60" spans="1:13" x14ac:dyDescent="0.2">
      <c r="D60" t="s">
        <v>235</v>
      </c>
      <c r="E60">
        <f t="shared" si="0"/>
        <v>0.13819999999999999</v>
      </c>
      <c r="F60">
        <f t="shared" si="1"/>
        <v>9.5699999999999896E-2</v>
      </c>
      <c r="G60">
        <f t="shared" si="2"/>
        <v>9.9400000000000044E-2</v>
      </c>
      <c r="H60">
        <f t="shared" si="3"/>
        <v>0.10140000000000005</v>
      </c>
      <c r="I60">
        <f t="shared" si="4"/>
        <v>8.78000000000001E-2</v>
      </c>
      <c r="J60">
        <f t="shared" si="5"/>
        <v>9.8700000000000121E-2</v>
      </c>
      <c r="K60">
        <f t="shared" si="6"/>
        <v>7.6699999999999879E-2</v>
      </c>
      <c r="L60">
        <f t="shared" si="7"/>
        <v>8.3700000000000108E-2</v>
      </c>
      <c r="M60">
        <f t="shared" si="8"/>
        <v>7.5100000000000056E-2</v>
      </c>
    </row>
    <row r="61" spans="1:13" x14ac:dyDescent="0.2">
      <c r="D61" t="s">
        <v>236</v>
      </c>
      <c r="E61">
        <f t="shared" si="0"/>
        <v>0.10859999999999992</v>
      </c>
      <c r="F61">
        <f t="shared" si="1"/>
        <v>8.6599999999999899E-2</v>
      </c>
      <c r="G61">
        <f t="shared" si="2"/>
        <v>0.13100000000000001</v>
      </c>
      <c r="H61">
        <f t="shared" si="3"/>
        <v>0.11629999999999996</v>
      </c>
      <c r="I61">
        <f t="shared" si="4"/>
        <v>8.6199999999999943E-2</v>
      </c>
      <c r="J61">
        <f t="shared" si="5"/>
        <v>0.10529999999999984</v>
      </c>
      <c r="K61">
        <f t="shared" si="6"/>
        <v>8.7400000000000033E-2</v>
      </c>
      <c r="L61">
        <f t="shared" si="7"/>
        <v>0.12529999999999997</v>
      </c>
      <c r="M61">
        <f t="shared" si="8"/>
        <v>0.1120000000000001</v>
      </c>
    </row>
    <row r="62" spans="1:13" x14ac:dyDescent="0.2">
      <c r="D62" t="s">
        <v>237</v>
      </c>
      <c r="E62">
        <f t="shared" si="0"/>
        <v>0.11469999999999991</v>
      </c>
      <c r="F62">
        <f t="shared" si="1"/>
        <v>0.11410000000000009</v>
      </c>
      <c r="G62">
        <f t="shared" si="2"/>
        <v>0.10099999999999998</v>
      </c>
      <c r="H62">
        <f t="shared" si="3"/>
        <v>0.11050000000000004</v>
      </c>
      <c r="I62">
        <f t="shared" si="4"/>
        <v>0.14140000000000008</v>
      </c>
      <c r="J62">
        <f t="shared" si="5"/>
        <v>0.16899999999999993</v>
      </c>
      <c r="K62">
        <f t="shared" si="6"/>
        <v>0.11370000000000002</v>
      </c>
      <c r="L62">
        <f t="shared" si="7"/>
        <v>0.11489999999999989</v>
      </c>
      <c r="M62">
        <f t="shared" si="8"/>
        <v>0.11990000000000012</v>
      </c>
    </row>
    <row r="63" spans="1:13" x14ac:dyDescent="0.2">
      <c r="D63" t="s">
        <v>238</v>
      </c>
      <c r="E63">
        <f t="shared" si="0"/>
        <v>0.14189999999999992</v>
      </c>
      <c r="F63">
        <f t="shared" si="1"/>
        <v>0.125</v>
      </c>
      <c r="G63">
        <f t="shared" si="2"/>
        <v>8.660000000000001E-2</v>
      </c>
      <c r="H63">
        <f t="shared" si="3"/>
        <v>0.12260000000000004</v>
      </c>
      <c r="I63">
        <f t="shared" si="4"/>
        <v>0.11150000000000004</v>
      </c>
      <c r="J63">
        <f t="shared" si="5"/>
        <v>0.12660000000000005</v>
      </c>
      <c r="K63">
        <f t="shared" si="6"/>
        <v>0.13510000000000011</v>
      </c>
      <c r="L63">
        <f t="shared" si="7"/>
        <v>0.13439999999999996</v>
      </c>
      <c r="M63">
        <f t="shared" si="8"/>
        <v>0.11339999999999995</v>
      </c>
    </row>
    <row r="64" spans="1:13" x14ac:dyDescent="0.2">
      <c r="D64" t="s">
        <v>239</v>
      </c>
      <c r="E64">
        <f t="shared" si="0"/>
        <v>0.12780000000000002</v>
      </c>
      <c r="F64">
        <f t="shared" si="1"/>
        <v>0.14749999999999996</v>
      </c>
      <c r="G64">
        <f t="shared" si="2"/>
        <v>0.12699999999999989</v>
      </c>
      <c r="H64">
        <f t="shared" si="3"/>
        <v>9.2799999999999994E-2</v>
      </c>
      <c r="I64">
        <f t="shared" si="4"/>
        <v>8.8500000000000023E-2</v>
      </c>
      <c r="J64">
        <f t="shared" si="5"/>
        <v>7.7499999999999902E-2</v>
      </c>
      <c r="K64">
        <f t="shared" si="6"/>
        <v>0.12849999999999995</v>
      </c>
      <c r="L64">
        <f t="shared" si="7"/>
        <v>8.3200000000000052E-2</v>
      </c>
      <c r="M64">
        <f t="shared" si="8"/>
        <v>8.4099999999999953E-2</v>
      </c>
    </row>
    <row r="65" spans="4:13" x14ac:dyDescent="0.2">
      <c r="D65" t="s">
        <v>240</v>
      </c>
      <c r="E65">
        <f t="shared" si="0"/>
        <v>8.1799999999999984E-2</v>
      </c>
      <c r="F65">
        <f t="shared" si="1"/>
        <v>0.12160000000000004</v>
      </c>
      <c r="G65">
        <f t="shared" si="2"/>
        <v>9.6600000000000019E-2</v>
      </c>
      <c r="H65">
        <f t="shared" si="3"/>
        <v>9.0600000000000014E-2</v>
      </c>
      <c r="I65">
        <f t="shared" si="4"/>
        <v>9.4999999999999973E-2</v>
      </c>
      <c r="J65">
        <f t="shared" si="5"/>
        <v>0.11799999999999988</v>
      </c>
      <c r="K65">
        <f t="shared" si="6"/>
        <v>0.12000000000000011</v>
      </c>
      <c r="L65">
        <f t="shared" si="7"/>
        <v>8.7499999999999911E-2</v>
      </c>
      <c r="M65">
        <f t="shared" si="8"/>
        <v>9.099999999999997E-2</v>
      </c>
    </row>
    <row r="66" spans="4:13" x14ac:dyDescent="0.2">
      <c r="D66" t="s">
        <v>241</v>
      </c>
      <c r="E66">
        <f t="shared" si="0"/>
        <v>0.14529999999999987</v>
      </c>
      <c r="F66">
        <f t="shared" si="1"/>
        <v>5.5400000000000005E-2</v>
      </c>
      <c r="G66">
        <f t="shared" si="2"/>
        <v>7.9300000000000037E-2</v>
      </c>
      <c r="H66">
        <f t="shared" si="3"/>
        <v>9.2100000000000071E-2</v>
      </c>
      <c r="I66">
        <f t="shared" si="4"/>
        <v>0.1180000000000001</v>
      </c>
      <c r="J66">
        <f t="shared" si="5"/>
        <v>9.8500000000000032E-2</v>
      </c>
      <c r="K66">
        <f t="shared" si="6"/>
        <v>0.10770000000000002</v>
      </c>
      <c r="L66">
        <f t="shared" si="7"/>
        <v>0.12230000000000008</v>
      </c>
      <c r="M66">
        <f t="shared" si="8"/>
        <v>9.1900000000000093E-2</v>
      </c>
    </row>
    <row r="67" spans="4:13" x14ac:dyDescent="0.2">
      <c r="D67" t="s">
        <v>242</v>
      </c>
      <c r="E67">
        <f t="shared" si="0"/>
        <v>0.12979999999999992</v>
      </c>
      <c r="F67">
        <f t="shared" si="1"/>
        <v>9.4600000000000017E-2</v>
      </c>
      <c r="G67">
        <f t="shared" si="2"/>
        <v>7.9699999999999882E-2</v>
      </c>
      <c r="H67">
        <f t="shared" si="3"/>
        <v>0.13050000000000006</v>
      </c>
      <c r="I67">
        <f t="shared" si="4"/>
        <v>0.13030000000000008</v>
      </c>
      <c r="J67">
        <f t="shared" si="5"/>
        <v>0.14300000000000002</v>
      </c>
      <c r="K67">
        <f t="shared" si="6"/>
        <v>0.10249999999999992</v>
      </c>
      <c r="L67">
        <f t="shared" si="7"/>
        <v>0.11050000000000004</v>
      </c>
      <c r="M67">
        <f t="shared" si="8"/>
        <v>9.3600000000000017E-2</v>
      </c>
    </row>
    <row r="68" spans="4:13" x14ac:dyDescent="0.2">
      <c r="D68" t="s">
        <v>243</v>
      </c>
      <c r="E68">
        <f t="shared" si="0"/>
        <v>8.6599999999999899E-2</v>
      </c>
      <c r="F68">
        <f t="shared" si="1"/>
        <v>7.669999999999999E-2</v>
      </c>
      <c r="G68">
        <f t="shared" si="2"/>
        <v>0.10020000000000007</v>
      </c>
      <c r="H68">
        <f t="shared" si="3"/>
        <v>9.5300000000000051E-2</v>
      </c>
      <c r="I68">
        <f t="shared" si="4"/>
        <v>0.11399999999999999</v>
      </c>
      <c r="J68">
        <f t="shared" si="5"/>
        <v>9.0100000000000069E-2</v>
      </c>
      <c r="K68">
        <f t="shared" si="6"/>
        <v>9.0899999999999981E-2</v>
      </c>
      <c r="L68">
        <f t="shared" si="7"/>
        <v>9.099999999999997E-2</v>
      </c>
      <c r="M68">
        <f t="shared" si="8"/>
        <v>6.1700000000000088E-2</v>
      </c>
    </row>
    <row r="69" spans="4:13" x14ac:dyDescent="0.2">
      <c r="D69" t="s">
        <v>244</v>
      </c>
      <c r="E69">
        <f t="shared" si="0"/>
        <v>0.10099999999999998</v>
      </c>
      <c r="F69">
        <f t="shared" si="1"/>
        <v>6.6900000000000071E-2</v>
      </c>
      <c r="G69">
        <f t="shared" si="2"/>
        <v>6.2899999999999956E-2</v>
      </c>
      <c r="H69">
        <f t="shared" si="3"/>
        <v>6.9699999999999984E-2</v>
      </c>
      <c r="I69">
        <f t="shared" si="4"/>
        <v>7.559999999999989E-2</v>
      </c>
      <c r="J69">
        <f t="shared" si="5"/>
        <v>8.0500000000000016E-2</v>
      </c>
      <c r="K69">
        <f t="shared" si="6"/>
        <v>7.6099999999999945E-2</v>
      </c>
      <c r="L69">
        <f t="shared" si="7"/>
        <v>7.0899999999999963E-2</v>
      </c>
      <c r="M69">
        <f t="shared" si="8"/>
        <v>6.1499999999999888E-2</v>
      </c>
    </row>
    <row r="70" spans="4:13" x14ac:dyDescent="0.2">
      <c r="D70" t="s">
        <v>245</v>
      </c>
      <c r="E70">
        <f t="shared" si="0"/>
        <v>0.12349999999999994</v>
      </c>
      <c r="F70">
        <f t="shared" si="1"/>
        <v>9.209999999999996E-2</v>
      </c>
      <c r="G70">
        <f t="shared" si="2"/>
        <v>0.12369999999999992</v>
      </c>
      <c r="H70">
        <f t="shared" si="3"/>
        <v>0.1099</v>
      </c>
      <c r="I70">
        <f t="shared" si="4"/>
        <v>0.16439999999999988</v>
      </c>
      <c r="J70">
        <f t="shared" si="5"/>
        <v>9.1500000000000026E-2</v>
      </c>
      <c r="K70">
        <f t="shared" si="6"/>
        <v>0.11550000000000005</v>
      </c>
      <c r="L70">
        <f t="shared" si="7"/>
        <v>0.12600000000000011</v>
      </c>
      <c r="M70">
        <f t="shared" si="8"/>
        <v>0.11699999999999999</v>
      </c>
    </row>
    <row r="71" spans="4:13" x14ac:dyDescent="0.2">
      <c r="D71" t="s">
        <v>246</v>
      </c>
      <c r="E71">
        <f t="shared" si="0"/>
        <v>0.10149999999999992</v>
      </c>
      <c r="F71">
        <f t="shared" si="1"/>
        <v>0.10599999999999987</v>
      </c>
      <c r="G71">
        <f t="shared" si="2"/>
        <v>9.3899999999999983E-2</v>
      </c>
      <c r="H71">
        <f t="shared" si="3"/>
        <v>0.12539999999999996</v>
      </c>
      <c r="I71">
        <f t="shared" si="4"/>
        <v>0.13710000000000011</v>
      </c>
      <c r="J71">
        <f t="shared" si="5"/>
        <v>0.13590000000000002</v>
      </c>
      <c r="K71">
        <f t="shared" si="6"/>
        <v>0.1179</v>
      </c>
      <c r="L71">
        <f t="shared" si="7"/>
        <v>0.10850000000000004</v>
      </c>
      <c r="M71">
        <f t="shared" si="8"/>
        <v>9.5300000000000051E-2</v>
      </c>
    </row>
    <row r="72" spans="4:13" x14ac:dyDescent="0.2">
      <c r="D72" t="s">
        <v>247</v>
      </c>
      <c r="E72">
        <f t="shared" si="0"/>
        <v>0.11680000000000001</v>
      </c>
      <c r="F72">
        <f t="shared" si="1"/>
        <v>0.15099999999999991</v>
      </c>
      <c r="G72">
        <f t="shared" si="2"/>
        <v>9.330000000000005E-2</v>
      </c>
      <c r="H72">
        <f t="shared" si="3"/>
        <v>0.1107999999999999</v>
      </c>
      <c r="I72">
        <f t="shared" si="4"/>
        <v>0.15050000000000008</v>
      </c>
      <c r="J72">
        <f t="shared" si="5"/>
        <v>0.12449999999999994</v>
      </c>
      <c r="K72">
        <f t="shared" si="6"/>
        <v>0.1503000000000001</v>
      </c>
      <c r="L72">
        <f t="shared" si="7"/>
        <v>0.14909999999999979</v>
      </c>
      <c r="M72">
        <f t="shared" si="8"/>
        <v>8.5600000000000009E-2</v>
      </c>
    </row>
    <row r="73" spans="4:13" x14ac:dyDescent="0.2">
      <c r="D73" t="s">
        <v>248</v>
      </c>
      <c r="E73">
        <f t="shared" si="0"/>
        <v>9.8200000000000065E-2</v>
      </c>
      <c r="F73">
        <f t="shared" si="1"/>
        <v>9.639999999999993E-2</v>
      </c>
      <c r="G73">
        <f t="shared" si="2"/>
        <v>9.5699999999999896E-2</v>
      </c>
      <c r="H73">
        <f t="shared" si="3"/>
        <v>9.8999999999999866E-2</v>
      </c>
      <c r="I73">
        <f t="shared" si="4"/>
        <v>0.13219999999999987</v>
      </c>
      <c r="J73">
        <f t="shared" si="5"/>
        <v>0.10470000000000002</v>
      </c>
      <c r="K73">
        <f t="shared" si="6"/>
        <v>0.11289999999999989</v>
      </c>
      <c r="L73">
        <f t="shared" si="7"/>
        <v>0.11960000000000004</v>
      </c>
      <c r="M73">
        <f t="shared" si="8"/>
        <v>0.12390000000000001</v>
      </c>
    </row>
    <row r="74" spans="4:13" x14ac:dyDescent="0.2">
      <c r="D74" t="s">
        <v>249</v>
      </c>
      <c r="E74">
        <f t="shared" si="0"/>
        <v>0.11439999999999995</v>
      </c>
      <c r="F74">
        <f t="shared" si="1"/>
        <v>9.1600000000000015E-2</v>
      </c>
      <c r="G74">
        <f t="shared" si="2"/>
        <v>0.11109999999999987</v>
      </c>
      <c r="H74">
        <f t="shared" si="3"/>
        <v>9.650000000000003E-2</v>
      </c>
      <c r="I74">
        <f t="shared" si="4"/>
        <v>7.9600000000000004E-2</v>
      </c>
      <c r="J74">
        <f t="shared" si="5"/>
        <v>8.7199999999999944E-2</v>
      </c>
      <c r="K74">
        <f t="shared" si="6"/>
        <v>8.8400000000000034E-2</v>
      </c>
      <c r="L74">
        <f t="shared" si="7"/>
        <v>8.5699999999999998E-2</v>
      </c>
      <c r="M74">
        <f t="shared" si="8"/>
        <v>6.6400000000000015E-2</v>
      </c>
    </row>
    <row r="75" spans="4:13" x14ac:dyDescent="0.2">
      <c r="D75" t="s">
        <v>250</v>
      </c>
      <c r="E75">
        <f t="shared" si="0"/>
        <v>9.2899999999999983E-2</v>
      </c>
      <c r="F75">
        <f t="shared" si="1"/>
        <v>0.15949999999999986</v>
      </c>
      <c r="G75">
        <f t="shared" si="2"/>
        <v>8.340000000000003E-2</v>
      </c>
      <c r="H75">
        <f t="shared" si="3"/>
        <v>0.14969999999999994</v>
      </c>
      <c r="I75">
        <f t="shared" si="4"/>
        <v>0.14719999999999989</v>
      </c>
      <c r="J75">
        <f t="shared" si="5"/>
        <v>0.10208000000000006</v>
      </c>
      <c r="K75">
        <f t="shared" si="6"/>
        <v>0.13050000000000006</v>
      </c>
      <c r="L75">
        <f t="shared" si="7"/>
        <v>0.13629999999999987</v>
      </c>
      <c r="M75">
        <f t="shared" si="8"/>
        <v>0.12539999999999996</v>
      </c>
    </row>
    <row r="76" spans="4:13" x14ac:dyDescent="0.2">
      <c r="D76" t="s">
        <v>251</v>
      </c>
      <c r="E76">
        <f t="shared" si="0"/>
        <v>0.12630000000000008</v>
      </c>
      <c r="F76">
        <f t="shared" si="1"/>
        <v>0.10309999999999997</v>
      </c>
      <c r="G76">
        <f t="shared" si="2"/>
        <v>9.859999999999991E-2</v>
      </c>
      <c r="H76">
        <f t="shared" si="3"/>
        <v>0.12859999999999994</v>
      </c>
      <c r="I76">
        <f t="shared" si="4"/>
        <v>0.14719999999999989</v>
      </c>
      <c r="J76">
        <f t="shared" si="5"/>
        <v>0.10730000000000006</v>
      </c>
      <c r="K76">
        <f t="shared" si="6"/>
        <v>8.3699999999999997E-2</v>
      </c>
      <c r="L76">
        <f t="shared" si="7"/>
        <v>0.12109999999999999</v>
      </c>
      <c r="M76">
        <f t="shared" si="8"/>
        <v>9.5099999999999962E-2</v>
      </c>
    </row>
    <row r="77" spans="4:13" x14ac:dyDescent="0.2">
      <c r="D77" t="s">
        <v>252</v>
      </c>
      <c r="E77">
        <f t="shared" si="0"/>
        <v>9.4600000000000017E-2</v>
      </c>
      <c r="F77">
        <f t="shared" si="1"/>
        <v>8.5099999999999953E-2</v>
      </c>
      <c r="G77">
        <f t="shared" si="2"/>
        <v>0.16810000000000003</v>
      </c>
      <c r="H77">
        <f t="shared" si="3"/>
        <v>0.13029999999999997</v>
      </c>
      <c r="I77">
        <f t="shared" si="4"/>
        <v>0.10840000000000005</v>
      </c>
      <c r="J77">
        <f t="shared" si="5"/>
        <v>0.1177999999999999</v>
      </c>
      <c r="K77">
        <f t="shared" si="6"/>
        <v>9.8200000000000065E-2</v>
      </c>
      <c r="L77">
        <f t="shared" si="7"/>
        <v>0.1149</v>
      </c>
      <c r="M77">
        <f t="shared" si="8"/>
        <v>0.10640000000000005</v>
      </c>
    </row>
    <row r="78" spans="4:13" x14ac:dyDescent="0.2">
      <c r="D78" t="s">
        <v>253</v>
      </c>
      <c r="E78">
        <f t="shared" si="0"/>
        <v>0.22009999999999996</v>
      </c>
      <c r="F78">
        <f t="shared" si="1"/>
        <v>0.11810000000000009</v>
      </c>
      <c r="G78">
        <f t="shared" si="2"/>
        <v>0.12300000000000011</v>
      </c>
      <c r="H78">
        <f t="shared" si="3"/>
        <v>9.7099999999999853E-2</v>
      </c>
      <c r="I78">
        <f t="shared" si="4"/>
        <v>0.10809999999999997</v>
      </c>
      <c r="J78">
        <f t="shared" si="5"/>
        <v>9.7799999999999998E-2</v>
      </c>
      <c r="K78">
        <f t="shared" si="6"/>
        <v>0.12720000000000009</v>
      </c>
      <c r="L78">
        <f t="shared" si="7"/>
        <v>0.11470000000000002</v>
      </c>
      <c r="M78">
        <f t="shared" si="8"/>
        <v>0.10089999999999999</v>
      </c>
    </row>
    <row r="79" spans="4:13" x14ac:dyDescent="0.2">
      <c r="D79" t="s">
        <v>254</v>
      </c>
      <c r="E79">
        <f t="shared" si="0"/>
        <v>0.16450000000000009</v>
      </c>
      <c r="F79">
        <f t="shared" si="1"/>
        <v>0.14540000000000008</v>
      </c>
      <c r="G79">
        <f t="shared" si="2"/>
        <v>0.12709999999999999</v>
      </c>
      <c r="H79">
        <f t="shared" si="3"/>
        <v>0.13830000000000009</v>
      </c>
      <c r="I79">
        <f t="shared" si="4"/>
        <v>0.11380000000000001</v>
      </c>
      <c r="J79">
        <f t="shared" si="5"/>
        <v>0.11110000000000009</v>
      </c>
      <c r="K79">
        <f t="shared" si="6"/>
        <v>0.12669999999999992</v>
      </c>
      <c r="L79">
        <f t="shared" si="7"/>
        <v>0.10179999999999989</v>
      </c>
      <c r="M79">
        <f t="shared" si="8"/>
        <v>0.14139999999999997</v>
      </c>
    </row>
    <row r="80" spans="4:13" x14ac:dyDescent="0.2">
      <c r="D80" t="s">
        <v>255</v>
      </c>
      <c r="E80">
        <f t="shared" si="0"/>
        <v>0.12719999999999998</v>
      </c>
      <c r="F80">
        <f t="shared" si="1"/>
        <v>9.0200000000000058E-2</v>
      </c>
      <c r="G80">
        <f t="shared" si="2"/>
        <v>0.12909999999999988</v>
      </c>
      <c r="H80">
        <f t="shared" si="3"/>
        <v>0.12199999999999989</v>
      </c>
      <c r="I80">
        <f t="shared" si="4"/>
        <v>9.2999999999999972E-2</v>
      </c>
      <c r="J80">
        <f t="shared" si="5"/>
        <v>9.4800000000000106E-2</v>
      </c>
      <c r="K80">
        <f t="shared" si="6"/>
        <v>0.10119999999999996</v>
      </c>
      <c r="L80">
        <f t="shared" si="7"/>
        <v>0.13329999999999997</v>
      </c>
      <c r="M80">
        <f t="shared" si="8"/>
        <v>8.1299999999999928E-2</v>
      </c>
    </row>
    <row r="81" spans="1:30" x14ac:dyDescent="0.2">
      <c r="D81" t="s">
        <v>256</v>
      </c>
      <c r="E81">
        <f t="shared" si="0"/>
        <v>0.14539999999999997</v>
      </c>
      <c r="F81">
        <f t="shared" si="1"/>
        <v>0.127</v>
      </c>
      <c r="G81">
        <f t="shared" si="2"/>
        <v>0.15329999999999999</v>
      </c>
      <c r="H81">
        <f t="shared" si="3"/>
        <v>0.10959999999999992</v>
      </c>
      <c r="I81">
        <f t="shared" si="4"/>
        <v>0.10780000000000012</v>
      </c>
      <c r="J81">
        <f t="shared" si="5"/>
        <v>0.10640000000000005</v>
      </c>
      <c r="K81">
        <f t="shared" si="6"/>
        <v>0.12309999999999999</v>
      </c>
      <c r="L81">
        <f t="shared" si="7"/>
        <v>0.13719999999999988</v>
      </c>
      <c r="M81">
        <f t="shared" si="8"/>
        <v>0.10099999999999998</v>
      </c>
    </row>
    <row r="84" spans="1:30" x14ac:dyDescent="0.2">
      <c r="A84" t="s">
        <v>257</v>
      </c>
      <c r="E84" s="66" t="s">
        <v>348</v>
      </c>
      <c r="F84" s="66"/>
      <c r="G84" s="66" t="s">
        <v>218</v>
      </c>
      <c r="H84" s="66"/>
      <c r="I84" s="66" t="s">
        <v>0</v>
      </c>
      <c r="J84" s="66"/>
      <c r="K84" s="66" t="s">
        <v>1</v>
      </c>
      <c r="L84" s="66"/>
      <c r="M84" s="66" t="s">
        <v>222</v>
      </c>
      <c r="N84" s="66"/>
      <c r="O84" s="66" t="s">
        <v>2</v>
      </c>
      <c r="P84" s="66"/>
      <c r="Q84" s="66" t="s">
        <v>225</v>
      </c>
      <c r="R84" s="66"/>
      <c r="S84" s="66" t="s">
        <v>3</v>
      </c>
      <c r="T84" s="66"/>
      <c r="U84" s="66" t="s">
        <v>228</v>
      </c>
      <c r="V84" s="66"/>
    </row>
    <row r="85" spans="1:30" x14ac:dyDescent="0.2">
      <c r="E85" t="s">
        <v>258</v>
      </c>
      <c r="F85" t="s">
        <v>259</v>
      </c>
      <c r="G85" t="s">
        <v>258</v>
      </c>
      <c r="H85" t="s">
        <v>259</v>
      </c>
      <c r="I85" t="s">
        <v>258</v>
      </c>
      <c r="J85" t="s">
        <v>259</v>
      </c>
      <c r="K85" t="s">
        <v>258</v>
      </c>
      <c r="L85" t="s">
        <v>259</v>
      </c>
      <c r="M85" t="s">
        <v>258</v>
      </c>
      <c r="N85" t="s">
        <v>259</v>
      </c>
      <c r="O85" t="s">
        <v>258</v>
      </c>
      <c r="P85" t="s">
        <v>259</v>
      </c>
      <c r="Q85" t="s">
        <v>258</v>
      </c>
      <c r="R85" t="s">
        <v>259</v>
      </c>
      <c r="S85" t="s">
        <v>258</v>
      </c>
      <c r="T85" t="s">
        <v>259</v>
      </c>
      <c r="U85" t="s">
        <v>258</v>
      </c>
      <c r="V85" t="s">
        <v>259</v>
      </c>
    </row>
    <row r="86" spans="1:30" x14ac:dyDescent="0.2">
      <c r="D86" t="s">
        <v>5</v>
      </c>
      <c r="E86">
        <f>(306*10^4)/0.1</f>
        <v>30600000</v>
      </c>
      <c r="F86" t="s">
        <v>263</v>
      </c>
      <c r="G86">
        <f>(168*10^4)/0.1</f>
        <v>16800000</v>
      </c>
      <c r="H86">
        <f>(49*10^3)/0.1</f>
        <v>490000</v>
      </c>
      <c r="I86">
        <f>(88*10^4)/0.1</f>
        <v>8800000</v>
      </c>
      <c r="J86">
        <f>(58*10^4)/0.1</f>
        <v>5800000</v>
      </c>
      <c r="K86">
        <f>(28*10^4)/0.1</f>
        <v>2800000</v>
      </c>
      <c r="L86">
        <f>(146*10^3)/0.1</f>
        <v>1460000</v>
      </c>
      <c r="M86">
        <f>(155*10^3)/0.1</f>
        <v>1550000</v>
      </c>
      <c r="N86">
        <f>(43*10^4)/0.1</f>
        <v>4300000</v>
      </c>
      <c r="O86">
        <f>(156*10^1)/0.1</f>
        <v>15600</v>
      </c>
      <c r="P86">
        <f>(80*10^3)/0.1</f>
        <v>800000</v>
      </c>
      <c r="Q86">
        <f>(2*10^0)/0.1</f>
        <v>20</v>
      </c>
      <c r="R86">
        <f>(238*10^2)/0.1</f>
        <v>238000</v>
      </c>
      <c r="S86">
        <f>(6*10^0)/0.1</f>
        <v>60</v>
      </c>
      <c r="T86">
        <f>(129*10^3)/0.1</f>
        <v>1290000</v>
      </c>
      <c r="U86">
        <f>(1*10^0)/0.1</f>
        <v>10</v>
      </c>
      <c r="V86">
        <f>(118*10^2)/0.1</f>
        <v>118000</v>
      </c>
    </row>
    <row r="87" spans="1:30" x14ac:dyDescent="0.2">
      <c r="D87" t="s">
        <v>6</v>
      </c>
      <c r="E87">
        <f>(110*10^5)/0.1</f>
        <v>110000000</v>
      </c>
      <c r="F87" t="s">
        <v>263</v>
      </c>
      <c r="G87">
        <f>(43*10^4)/0.1</f>
        <v>4300000</v>
      </c>
      <c r="H87">
        <f>(99*10^3)/0.1</f>
        <v>990000</v>
      </c>
      <c r="I87">
        <f>(98*10^4)/0.1</f>
        <v>9800000</v>
      </c>
      <c r="J87">
        <f>(56*10^4)/0.1</f>
        <v>5600000</v>
      </c>
      <c r="K87">
        <f>(85*10^4)/0.1</f>
        <v>8500000</v>
      </c>
      <c r="L87">
        <f>(55*10^4)/0.1</f>
        <v>5500000</v>
      </c>
      <c r="M87">
        <f>(121*10^4)/0.1</f>
        <v>12100000</v>
      </c>
      <c r="N87">
        <f>(123*10^4)/0.1</f>
        <v>12300000</v>
      </c>
      <c r="O87">
        <f>(149*10^3)/0.1</f>
        <v>1490000</v>
      </c>
      <c r="P87">
        <f>(33*10^4)/0.1</f>
        <v>3300000</v>
      </c>
      <c r="Q87">
        <f>(45*10^3)/0.1</f>
        <v>450000</v>
      </c>
      <c r="R87">
        <f>(59*10^4)/0.1</f>
        <v>5900000</v>
      </c>
      <c r="S87">
        <f>(176*10^2)/0.1</f>
        <v>176000</v>
      </c>
      <c r="T87">
        <f>(79*10^4)/0.1</f>
        <v>7900000</v>
      </c>
      <c r="U87">
        <f>(46*10^2)/0.1</f>
        <v>46000</v>
      </c>
      <c r="V87">
        <f>(115*10^4)/0.1</f>
        <v>11500000</v>
      </c>
    </row>
    <row r="88" spans="1:30" x14ac:dyDescent="0.2">
      <c r="D88" t="s">
        <v>7</v>
      </c>
      <c r="E88">
        <f>(249*10^4)/0.1</f>
        <v>24900000</v>
      </c>
      <c r="F88" t="s">
        <v>263</v>
      </c>
      <c r="G88">
        <f>(173*10^4)/0.1</f>
        <v>17300000</v>
      </c>
      <c r="H88" s="21">
        <f>(8*10^0)/0.1</f>
        <v>80</v>
      </c>
      <c r="I88">
        <f>(404*10^4)/0.1</f>
        <v>40400000</v>
      </c>
      <c r="J88">
        <f>(100*10^2)/0.1</f>
        <v>100000</v>
      </c>
      <c r="K88">
        <f>(197*10^4)/0.1</f>
        <v>19700000</v>
      </c>
      <c r="L88">
        <f>(59*10^4)/0.1</f>
        <v>5900000</v>
      </c>
      <c r="M88">
        <f>(82*10^4)/0.1</f>
        <v>8200000</v>
      </c>
      <c r="N88">
        <f>(111*10^4)/0.1</f>
        <v>11100000</v>
      </c>
      <c r="O88">
        <f>(266*10^3)/0.1</f>
        <v>2660000</v>
      </c>
      <c r="P88">
        <f>(99*10^4)/0.1</f>
        <v>9900000</v>
      </c>
      <c r="Q88">
        <f>(195*10^3)/0.1</f>
        <v>1950000</v>
      </c>
      <c r="R88">
        <f>(124*10^4)/0.1</f>
        <v>12400000</v>
      </c>
      <c r="S88">
        <f>(174*10^2)/0.1</f>
        <v>174000</v>
      </c>
      <c r="T88">
        <f>(66*10^3)/0.1</f>
        <v>660000</v>
      </c>
      <c r="U88">
        <f>(102*10^3)/0.1</f>
        <v>1020000</v>
      </c>
      <c r="V88">
        <f>(149*10^4)/0.1</f>
        <v>14900000</v>
      </c>
    </row>
    <row r="89" spans="1:30" x14ac:dyDescent="0.2">
      <c r="D89" t="s">
        <v>8</v>
      </c>
      <c r="E89">
        <f>(282*10^4)/0.1</f>
        <v>28200000</v>
      </c>
      <c r="F89" t="s">
        <v>263</v>
      </c>
      <c r="G89">
        <f>(85*10^4)/0.1</f>
        <v>8500000</v>
      </c>
      <c r="H89">
        <f>(207*10^3)/0.1</f>
        <v>2070000</v>
      </c>
      <c r="I89">
        <f>(116*10^3)/0.1</f>
        <v>1160000</v>
      </c>
      <c r="J89">
        <f>(35*10^4)/0.1</f>
        <v>3500000</v>
      </c>
      <c r="K89">
        <f>(116*10^2)/0.1</f>
        <v>116000</v>
      </c>
      <c r="L89">
        <f>(148*10^3)/0.1</f>
        <v>1480000</v>
      </c>
      <c r="M89">
        <f>(48*10^2)/0.1</f>
        <v>48000</v>
      </c>
      <c r="N89">
        <f>(42*10^4)/0.1</f>
        <v>4200000</v>
      </c>
      <c r="O89">
        <f>(47*10^1)/0.1</f>
        <v>4700</v>
      </c>
      <c r="P89">
        <f>(54*10^3)/0.1</f>
        <v>540000</v>
      </c>
      <c r="Q89">
        <f>(211*10^0)/0.1</f>
        <v>2110</v>
      </c>
      <c r="R89">
        <f>(130*10^3)/0.1</f>
        <v>1300000</v>
      </c>
      <c r="S89">
        <f>(56*10^1)/0.1</f>
        <v>5600</v>
      </c>
      <c r="T89">
        <f>(240*10^2)/0.1</f>
        <v>240000</v>
      </c>
      <c r="U89">
        <f>(62*10^1)/0.1</f>
        <v>6200</v>
      </c>
      <c r="V89">
        <f>(130*10^2)/0.1</f>
        <v>130000</v>
      </c>
    </row>
    <row r="90" spans="1:30" x14ac:dyDescent="0.2">
      <c r="D90" t="s">
        <v>9</v>
      </c>
      <c r="E90">
        <f>(330*10^4)/0.1</f>
        <v>33000000</v>
      </c>
      <c r="F90" t="s">
        <v>263</v>
      </c>
      <c r="G90">
        <f>(74*10^4)/0.1</f>
        <v>7400000</v>
      </c>
      <c r="H90">
        <f>(130*10^3)/0.1</f>
        <v>1300000</v>
      </c>
      <c r="I90">
        <f>(30*10^4)/0.1</f>
        <v>3000000</v>
      </c>
      <c r="J90">
        <f>(0*10^0)/0.1</f>
        <v>0</v>
      </c>
      <c r="K90">
        <f>(144*10^3)/0.1</f>
        <v>1440000</v>
      </c>
      <c r="L90">
        <f>(0*10^0)/0.1</f>
        <v>0</v>
      </c>
      <c r="M90">
        <f>(32*10^3)/0.1</f>
        <v>320000</v>
      </c>
      <c r="N90">
        <f>(0*10^0)/0.1</f>
        <v>0</v>
      </c>
      <c r="O90">
        <f>(163*10^1)/0.1</f>
        <v>16300</v>
      </c>
      <c r="P90">
        <f>(12*10^0)/0.1</f>
        <v>120</v>
      </c>
      <c r="Q90">
        <f>(5*10^0)/0.1</f>
        <v>50</v>
      </c>
      <c r="R90">
        <f>(7*10^0)/0.1</f>
        <v>70</v>
      </c>
      <c r="S90">
        <f>(6*10^0)/0.1</f>
        <v>60</v>
      </c>
      <c r="T90">
        <f>(24*10^0)/0.1</f>
        <v>240</v>
      </c>
      <c r="U90">
        <v>10</v>
      </c>
      <c r="V90">
        <f>(23*10^0)/0.1</f>
        <v>230</v>
      </c>
    </row>
    <row r="91" spans="1:30" x14ac:dyDescent="0.2">
      <c r="D91" t="s">
        <v>10</v>
      </c>
      <c r="E91">
        <f>(436*10^4)/0.1</f>
        <v>43600000</v>
      </c>
      <c r="F91" t="s">
        <v>263</v>
      </c>
      <c r="G91">
        <f>(223*10^4)/0.1</f>
        <v>22300000</v>
      </c>
      <c r="H91">
        <f>(34*10^3)/0.1</f>
        <v>340000</v>
      </c>
      <c r="I91">
        <f>(58*10^4)/0.1</f>
        <v>5800000</v>
      </c>
      <c r="J91">
        <f>(60*10^4)/0.1</f>
        <v>6000000</v>
      </c>
      <c r="K91">
        <f>(30*10^2)/0.1</f>
        <v>30000</v>
      </c>
      <c r="L91">
        <f>(31*10^3)/0.1</f>
        <v>310000</v>
      </c>
      <c r="M91">
        <f>(103*10^1)/0.1</f>
        <v>10300</v>
      </c>
      <c r="N91">
        <f>(167*10^2)/0.1</f>
        <v>167000</v>
      </c>
      <c r="O91">
        <f>(6*10^0)/0.1</f>
        <v>60</v>
      </c>
      <c r="P91">
        <f>(99*10^1)/0.1</f>
        <v>9900</v>
      </c>
      <c r="Q91">
        <f>(8*10^0)/0.1</f>
        <v>80</v>
      </c>
      <c r="R91">
        <f>(322*10^1)/0.1</f>
        <v>32200</v>
      </c>
      <c r="S91">
        <f>(5*10^0)/0.1</f>
        <v>50</v>
      </c>
      <c r="T91">
        <f>(57*10^2)/0.1</f>
        <v>57000</v>
      </c>
      <c r="U91">
        <f>(33*10^0)/0.1</f>
        <v>330</v>
      </c>
      <c r="V91">
        <f>(68*10^3)/0.1</f>
        <v>680000</v>
      </c>
    </row>
    <row r="92" spans="1:30" x14ac:dyDescent="0.2">
      <c r="D92" t="s">
        <v>11</v>
      </c>
      <c r="E92">
        <f>(69*10^5)/0.1</f>
        <v>69000000</v>
      </c>
      <c r="F92" t="s">
        <v>263</v>
      </c>
      <c r="G92">
        <f>(63*10^4)/0.1</f>
        <v>6300000</v>
      </c>
      <c r="H92">
        <f>(53*10^2)/0.1</f>
        <v>53000</v>
      </c>
      <c r="I92">
        <f>(101*10^4)/0.1</f>
        <v>10100000</v>
      </c>
      <c r="J92">
        <f>(45*10^4)/0.1</f>
        <v>4500000</v>
      </c>
      <c r="K92">
        <f>(34*10^4)/0.1</f>
        <v>3400000</v>
      </c>
      <c r="L92">
        <f>(194*10^2)/0.1</f>
        <v>194000</v>
      </c>
      <c r="M92">
        <f>(191*10^3)/0.1</f>
        <v>1910000</v>
      </c>
      <c r="N92">
        <f>(164*10^2)/0.1</f>
        <v>164000</v>
      </c>
      <c r="O92">
        <f>(134*10^1)/0.1</f>
        <v>13400</v>
      </c>
      <c r="P92">
        <f>(281*10^1)/0.1</f>
        <v>28100</v>
      </c>
      <c r="Q92">
        <f>(32*10^1)/0.1</f>
        <v>3200</v>
      </c>
      <c r="R92">
        <f>(427*10^1)/0.1</f>
        <v>42700</v>
      </c>
      <c r="S92">
        <f>(52*10^0)/0.1</f>
        <v>520</v>
      </c>
      <c r="T92">
        <f>(97*10^1)/0.1</f>
        <v>9700</v>
      </c>
      <c r="U92">
        <f>(45*10^0)/0.1</f>
        <v>450</v>
      </c>
      <c r="V92">
        <f>(568*10^1)/0.1</f>
        <v>56800</v>
      </c>
    </row>
    <row r="93" spans="1:30" x14ac:dyDescent="0.2">
      <c r="A93" s="10"/>
      <c r="B93" s="10"/>
      <c r="C93" s="10"/>
      <c r="D93" s="10" t="s">
        <v>12</v>
      </c>
      <c r="E93" s="10">
        <f>(212*10^4)/0.1</f>
        <v>21200000</v>
      </c>
      <c r="F93" s="10" t="s">
        <v>263</v>
      </c>
      <c r="G93" s="10">
        <f>(338*10^4)/0.1</f>
        <v>33800000</v>
      </c>
      <c r="H93" s="22">
        <v>10</v>
      </c>
      <c r="I93" s="10">
        <f>(252*10^4)/0.1</f>
        <v>25200000</v>
      </c>
      <c r="J93" s="10">
        <f>(0*10^0)/0.1</f>
        <v>0</v>
      </c>
      <c r="K93" s="10">
        <f>(212*10^4)/0.1</f>
        <v>21200000</v>
      </c>
      <c r="L93" s="10">
        <f>(0*10^0)/0.1</f>
        <v>0</v>
      </c>
      <c r="M93" s="10">
        <f>(107*10^4)/0.1</f>
        <v>10700000</v>
      </c>
      <c r="N93" s="10">
        <f>(0*10^0)/0.1</f>
        <v>0</v>
      </c>
      <c r="O93" s="10">
        <f>(30*10^4)/0.1</f>
        <v>3000000</v>
      </c>
      <c r="P93" s="10">
        <f>(0*10^0)/0.1</f>
        <v>0</v>
      </c>
      <c r="Q93" s="10">
        <f>(120*10^3)/0.1</f>
        <v>1200000</v>
      </c>
      <c r="R93" s="10">
        <f>(0*10^0)/0.1</f>
        <v>0</v>
      </c>
      <c r="S93" s="10">
        <f>(38*10^2)/0.1</f>
        <v>38000</v>
      </c>
      <c r="T93" s="10">
        <v>10</v>
      </c>
      <c r="U93" s="10">
        <f>(260*10^0)/0.1</f>
        <v>2600</v>
      </c>
      <c r="V93" s="10">
        <f>(7*10^0)/0.1</f>
        <v>70</v>
      </c>
      <c r="W93" s="10"/>
      <c r="X93" s="10"/>
      <c r="Y93" s="10"/>
      <c r="Z93" s="10"/>
      <c r="AA93" s="10"/>
      <c r="AB93" s="10"/>
      <c r="AC93" s="10"/>
      <c r="AD93" s="10"/>
    </row>
    <row r="94" spans="1:30" x14ac:dyDescent="0.2">
      <c r="D94" t="s">
        <v>233</v>
      </c>
      <c r="E94">
        <f>(130*10^3)/0.1</f>
        <v>1300000</v>
      </c>
      <c r="F94" t="s">
        <v>263</v>
      </c>
      <c r="G94">
        <f>(31*10^3)/0.1</f>
        <v>310000</v>
      </c>
      <c r="H94" s="21">
        <v>10</v>
      </c>
      <c r="I94">
        <f>(144*10^1)/0.1</f>
        <v>14400</v>
      </c>
      <c r="J94">
        <f>(1*10^0)/0.1</f>
        <v>10</v>
      </c>
      <c r="K94">
        <f>(85*10^1)/0.1</f>
        <v>8500</v>
      </c>
      <c r="L94">
        <f>(8*10^0)/0.1</f>
        <v>80</v>
      </c>
      <c r="M94">
        <f>(53*10^1)/0.1</f>
        <v>5300</v>
      </c>
      <c r="N94">
        <f>(1*10^0)/0.1</f>
        <v>10</v>
      </c>
      <c r="O94">
        <f>(5*10^0)/0.1</f>
        <v>50</v>
      </c>
      <c r="P94">
        <f>(63*10^0)/0.1</f>
        <v>630</v>
      </c>
      <c r="Q94">
        <f>(140*10^0)/0.1</f>
        <v>1400</v>
      </c>
      <c r="R94">
        <f>(35*10^0)/0.1</f>
        <v>350</v>
      </c>
      <c r="S94">
        <f>(54*10^0)/0.1</f>
        <v>540</v>
      </c>
      <c r="T94">
        <f>(2*10^0)/0.1</f>
        <v>20</v>
      </c>
      <c r="U94">
        <f>(9*10^0)/0.1</f>
        <v>90</v>
      </c>
      <c r="V94">
        <f>(21*10^0)/0.1</f>
        <v>210</v>
      </c>
    </row>
    <row r="95" spans="1:30" x14ac:dyDescent="0.2">
      <c r="D95" t="s">
        <v>234</v>
      </c>
      <c r="E95">
        <f>(455*10^4)/0.1</f>
        <v>45500000</v>
      </c>
      <c r="F95" t="s">
        <v>263</v>
      </c>
      <c r="G95">
        <f>(73*10^4)/0.1</f>
        <v>7300000</v>
      </c>
      <c r="H95">
        <f>(99*10^4)/0.1</f>
        <v>9900000</v>
      </c>
      <c r="I95">
        <f>(39*10^3)/0.1</f>
        <v>390000</v>
      </c>
      <c r="J95">
        <f>(50*10^4)/0.1</f>
        <v>5000000</v>
      </c>
      <c r="K95">
        <f>(191*10^2)/0.1</f>
        <v>191000</v>
      </c>
      <c r="L95">
        <f>(62*10^4)/0.1</f>
        <v>6200000</v>
      </c>
      <c r="M95">
        <f>(63*10^0)/0.1</f>
        <v>630</v>
      </c>
      <c r="N95">
        <f>(29*10^3)/0.1</f>
        <v>290000</v>
      </c>
      <c r="O95">
        <f>(0*10^0)/0.1</f>
        <v>0</v>
      </c>
      <c r="P95">
        <f>(67*10^2)/0.1</f>
        <v>67000</v>
      </c>
      <c r="Q95">
        <f>(0*10^0)/0.1</f>
        <v>0</v>
      </c>
      <c r="R95">
        <f>(344*10^4)/0.1</f>
        <v>34400000</v>
      </c>
      <c r="S95">
        <v>10</v>
      </c>
      <c r="T95">
        <f>(191*10^1)/0.1</f>
        <v>19100</v>
      </c>
      <c r="U95">
        <v>10</v>
      </c>
      <c r="V95">
        <f>(448*10^1)/0.1</f>
        <v>44800</v>
      </c>
    </row>
    <row r="96" spans="1:30" x14ac:dyDescent="0.2">
      <c r="D96" t="s">
        <v>235</v>
      </c>
      <c r="E96">
        <f>(279*10^4)/0.1</f>
        <v>27900000</v>
      </c>
      <c r="F96" t="s">
        <v>263</v>
      </c>
      <c r="G96">
        <f>(248*10^4)/0.1</f>
        <v>24800000</v>
      </c>
      <c r="H96">
        <f>(82*10^4)/0.1</f>
        <v>8200000</v>
      </c>
      <c r="I96">
        <f>(232*10^3)/0.1</f>
        <v>2320000</v>
      </c>
      <c r="J96">
        <f>(142*10^4)/0.1</f>
        <v>14200000</v>
      </c>
      <c r="K96">
        <f>(32*10^0)/0.1</f>
        <v>320</v>
      </c>
      <c r="L96">
        <f>(46*10^2)/0.1</f>
        <v>46000</v>
      </c>
      <c r="M96">
        <f>(18*10^0)/0.1</f>
        <v>180</v>
      </c>
      <c r="N96">
        <f>(150*10^1)/0.1</f>
        <v>15000</v>
      </c>
      <c r="O96">
        <f t="shared" ref="O96:O97" si="9">(0*10^0)/0.1</f>
        <v>0</v>
      </c>
      <c r="P96">
        <f>(52*10^1)/0.1</f>
        <v>5200</v>
      </c>
      <c r="Q96">
        <f>(0*10^0)/0.1</f>
        <v>0</v>
      </c>
      <c r="R96">
        <f>(77*10^1)/0.1</f>
        <v>7700</v>
      </c>
      <c r="S96">
        <f>(10*10^0)/0.1</f>
        <v>100</v>
      </c>
      <c r="T96">
        <f>(160*10^1)/0.1</f>
        <v>16000</v>
      </c>
      <c r="U96">
        <f>(1*10^0)/0.1</f>
        <v>10</v>
      </c>
      <c r="V96">
        <f>(318*10^1)/0.1</f>
        <v>31800</v>
      </c>
    </row>
    <row r="97" spans="1:30" x14ac:dyDescent="0.2">
      <c r="D97" t="s">
        <v>236</v>
      </c>
      <c r="E97">
        <f>(48*10^4)/0.1</f>
        <v>4800000</v>
      </c>
      <c r="F97" t="s">
        <v>263</v>
      </c>
      <c r="G97">
        <f>(125*10^3)/0.1</f>
        <v>1250000</v>
      </c>
      <c r="H97">
        <f>(137*10^3)/0.1</f>
        <v>1370000</v>
      </c>
      <c r="I97">
        <f>(193*10^2)/0.1</f>
        <v>193000</v>
      </c>
      <c r="J97">
        <f>(54*10^4)/0.1</f>
        <v>5400000</v>
      </c>
      <c r="K97">
        <f>(10*10^0)/0.1</f>
        <v>100</v>
      </c>
      <c r="L97">
        <f>(108*10^2)/0.1</f>
        <v>108000</v>
      </c>
      <c r="M97">
        <f>(0*10^0)/0.1</f>
        <v>0</v>
      </c>
      <c r="N97">
        <f>(167*10^1)/0.1</f>
        <v>16700</v>
      </c>
      <c r="O97">
        <f t="shared" si="9"/>
        <v>0</v>
      </c>
      <c r="P97">
        <f>(43*10^1)/0.1</f>
        <v>4300</v>
      </c>
      <c r="Q97">
        <f>(0*10^0)/0.1</f>
        <v>0</v>
      </c>
      <c r="R97">
        <f>(295*10^1)/0.1</f>
        <v>29500</v>
      </c>
      <c r="S97">
        <v>10</v>
      </c>
      <c r="T97">
        <f>(247*10^1)/0.1</f>
        <v>24700</v>
      </c>
      <c r="U97">
        <v>10</v>
      </c>
      <c r="V97">
        <f>(207*10^1)/0.1</f>
        <v>20700</v>
      </c>
    </row>
    <row r="98" spans="1:30" x14ac:dyDescent="0.2">
      <c r="D98" t="s">
        <v>237</v>
      </c>
      <c r="E98">
        <f>(59*10^5)/0.1</f>
        <v>59000000</v>
      </c>
      <c r="F98" t="s">
        <v>263</v>
      </c>
      <c r="G98">
        <f>(336*10^4)/0.1</f>
        <v>33600000</v>
      </c>
      <c r="H98" s="21">
        <v>10</v>
      </c>
      <c r="I98">
        <f>(151*10^4)/0.1</f>
        <v>15100000</v>
      </c>
      <c r="J98">
        <f>(0*10^0)/0.1</f>
        <v>0</v>
      </c>
      <c r="K98">
        <f>(35*10^4)/0.1</f>
        <v>3500000</v>
      </c>
      <c r="L98">
        <f>(10*10^0)/0.1</f>
        <v>100</v>
      </c>
      <c r="M98">
        <f>(56*10^4)/0.1</f>
        <v>5600000</v>
      </c>
      <c r="N98">
        <f>(36*10^2)/0.1</f>
        <v>36000</v>
      </c>
      <c r="O98">
        <f>(29*10^2)/0.1</f>
        <v>29000</v>
      </c>
      <c r="P98">
        <f>(143*10^1)/0.1</f>
        <v>14300</v>
      </c>
      <c r="Q98">
        <f>(53*10^1)/0.1</f>
        <v>5300</v>
      </c>
      <c r="R98">
        <f>(60*10^2)/0.1</f>
        <v>60000</v>
      </c>
      <c r="S98">
        <f>(268*10^0)/0.1</f>
        <v>2680</v>
      </c>
      <c r="T98">
        <f>(311*10^2)/0.1</f>
        <v>311000</v>
      </c>
      <c r="U98">
        <f>(1*10^0)/0.1</f>
        <v>10</v>
      </c>
      <c r="V98">
        <f>(56*10^2)/0.1</f>
        <v>56000</v>
      </c>
    </row>
    <row r="99" spans="1:30" x14ac:dyDescent="0.2">
      <c r="D99" t="s">
        <v>238</v>
      </c>
      <c r="E99">
        <f>(154*10^4)/0.1</f>
        <v>15400000</v>
      </c>
      <c r="F99" t="s">
        <v>263</v>
      </c>
      <c r="G99">
        <f>(126*10^4)/0.1</f>
        <v>12600000</v>
      </c>
      <c r="H99" s="21">
        <v>10</v>
      </c>
      <c r="I99">
        <f>(66*10^4)/0.1</f>
        <v>6600000</v>
      </c>
      <c r="J99">
        <f>(0*10^0)/0.1</f>
        <v>0</v>
      </c>
      <c r="K99">
        <f>(208*10^4)/0.1</f>
        <v>20800000</v>
      </c>
      <c r="L99">
        <f>(0*10^0)/0.1</f>
        <v>0</v>
      </c>
      <c r="M99">
        <f>(164*10^4)/0.1</f>
        <v>16400000</v>
      </c>
      <c r="N99">
        <f>(453*10^2)/0.1</f>
        <v>453000</v>
      </c>
      <c r="O99">
        <f>(41*10^2)/0.1</f>
        <v>41000</v>
      </c>
      <c r="P99">
        <f>(403*10^3)/0.1</f>
        <v>4030000</v>
      </c>
      <c r="Q99">
        <f>(192*10^2)/0.1</f>
        <v>192000</v>
      </c>
      <c r="R99">
        <f>(63*10^4)/0.1</f>
        <v>6300000</v>
      </c>
      <c r="S99">
        <f>(52*10^1)/0.1</f>
        <v>5200</v>
      </c>
      <c r="T99">
        <f>(176*10^3)/0.1</f>
        <v>1760000</v>
      </c>
      <c r="U99">
        <f>(18*10^0)/0.1</f>
        <v>180</v>
      </c>
      <c r="V99">
        <f>(61*10^4)/0.1</f>
        <v>6100000</v>
      </c>
    </row>
    <row r="100" spans="1:30" x14ac:dyDescent="0.2">
      <c r="D100" t="s">
        <v>239</v>
      </c>
      <c r="E100">
        <f>(375*10^4)/0.1</f>
        <v>37500000</v>
      </c>
      <c r="F100" t="s">
        <v>263</v>
      </c>
      <c r="G100">
        <f>(176*10^4)/0.1</f>
        <v>17600000</v>
      </c>
      <c r="H100">
        <f>(330*10^4)/0.1</f>
        <v>33000000</v>
      </c>
      <c r="I100">
        <f>(229*10^3)/0.1</f>
        <v>2290000</v>
      </c>
      <c r="J100">
        <f>(71*10^5)/0.1</f>
        <v>71000000</v>
      </c>
      <c r="K100">
        <f>(169*10^2)/0.1</f>
        <v>169000</v>
      </c>
      <c r="L100">
        <f>(30*10^4)/0.1</f>
        <v>3000000</v>
      </c>
      <c r="M100">
        <f>(30*10^1)/0.1</f>
        <v>3000</v>
      </c>
      <c r="N100">
        <f>(109*10^2)/0.1</f>
        <v>109000</v>
      </c>
      <c r="O100">
        <f>(0*10^0)/0.1</f>
        <v>0</v>
      </c>
      <c r="P100">
        <f>(79*10^3)/0.1</f>
        <v>790000</v>
      </c>
      <c r="Q100">
        <f>(2*10^0)/0.1</f>
        <v>20</v>
      </c>
      <c r="R100">
        <f>(140*10^4)/0.1</f>
        <v>14000000</v>
      </c>
      <c r="S100">
        <v>10</v>
      </c>
      <c r="T100">
        <f>(288*10^1)/0.1</f>
        <v>28800</v>
      </c>
      <c r="U100">
        <v>10</v>
      </c>
      <c r="V100">
        <f>(209*10^2)/0.1</f>
        <v>209000</v>
      </c>
    </row>
    <row r="101" spans="1:30" x14ac:dyDescent="0.2">
      <c r="A101" s="10"/>
      <c r="B101" s="10"/>
      <c r="C101" s="10"/>
      <c r="D101" s="10" t="s">
        <v>240</v>
      </c>
      <c r="E101" s="10">
        <f>(268*10^4)/0.1</f>
        <v>26800000</v>
      </c>
      <c r="F101" s="10" t="s">
        <v>263</v>
      </c>
      <c r="G101" s="10">
        <f>(226*10^4)/0.1</f>
        <v>22600000</v>
      </c>
      <c r="H101" s="10">
        <f>(95*10^4)/0.1</f>
        <v>9500000</v>
      </c>
      <c r="I101" s="10">
        <f>(477*10^4)/0.1</f>
        <v>47700000</v>
      </c>
      <c r="J101" s="10">
        <f>(27*10^3)/0.1</f>
        <v>270000</v>
      </c>
      <c r="K101" s="10">
        <f>(173*10^2)/0.1</f>
        <v>173000</v>
      </c>
      <c r="L101" s="10">
        <f>(149*10^3)/0.1</f>
        <v>1490000</v>
      </c>
      <c r="M101" s="10">
        <f>(171*10^4)/0.1</f>
        <v>17100000</v>
      </c>
      <c r="N101" s="10">
        <f>(102*10^3)/0.1</f>
        <v>1020000</v>
      </c>
      <c r="O101" s="10">
        <f>(61*10^2)/0.1</f>
        <v>61000</v>
      </c>
      <c r="P101" s="10">
        <f>(41*10^2)/0.1</f>
        <v>41000</v>
      </c>
      <c r="Q101" s="10">
        <f>(7*10^0)/0.1</f>
        <v>70</v>
      </c>
      <c r="R101" s="10">
        <f>(73*10^1)/0.1</f>
        <v>7300</v>
      </c>
      <c r="S101" s="10">
        <f>(4*10^0)/0.1</f>
        <v>40</v>
      </c>
      <c r="T101" s="10">
        <f>(194*10^1)/0.1</f>
        <v>19400</v>
      </c>
      <c r="U101" s="10">
        <v>10</v>
      </c>
      <c r="V101" s="10">
        <f>(48*10^2)/0.1</f>
        <v>48000</v>
      </c>
      <c r="W101" s="10"/>
      <c r="X101" s="10"/>
      <c r="Y101" s="10"/>
      <c r="Z101" s="10"/>
      <c r="AA101" s="10"/>
      <c r="AB101" s="10"/>
      <c r="AC101" s="10"/>
      <c r="AD101" s="10"/>
    </row>
    <row r="102" spans="1:30" x14ac:dyDescent="0.2">
      <c r="D102" t="s">
        <v>241</v>
      </c>
      <c r="E102">
        <f>(31*10^4)/0.1</f>
        <v>3100000</v>
      </c>
      <c r="F102" t="s">
        <v>263</v>
      </c>
      <c r="G102">
        <f>(130*10^4)/0.1</f>
        <v>13000000</v>
      </c>
      <c r="H102">
        <f>(111*10^3)/0.1</f>
        <v>1110000</v>
      </c>
      <c r="I102">
        <f>(130*10^4)/0.1</f>
        <v>13000000</v>
      </c>
      <c r="J102">
        <f>(127*10^2)/0.1</f>
        <v>127000</v>
      </c>
      <c r="K102">
        <f>(72*10^4)/0.1</f>
        <v>7200000</v>
      </c>
      <c r="L102">
        <f>(1*10^0)/0.1</f>
        <v>10</v>
      </c>
      <c r="M102">
        <f>(66*10^4)/0.1</f>
        <v>6600000</v>
      </c>
      <c r="N102">
        <f>(137*10^2)/0.1</f>
        <v>137000</v>
      </c>
      <c r="O102">
        <f>(58*10^4)/0.1</f>
        <v>5800000</v>
      </c>
      <c r="P102">
        <f>(94*10^3)/0.1</f>
        <v>940000</v>
      </c>
      <c r="Q102">
        <f>(53*10^4)/0.1</f>
        <v>5300000</v>
      </c>
      <c r="R102">
        <f>(105*10^3)/0.1</f>
        <v>1050000</v>
      </c>
      <c r="S102">
        <f>(161*10^3)/0.1</f>
        <v>1610000</v>
      </c>
      <c r="T102">
        <f>(109*10^2)/0.1</f>
        <v>109000</v>
      </c>
      <c r="U102">
        <f>(196*10^2)/0.1</f>
        <v>196000</v>
      </c>
      <c r="V102">
        <f>(234*10^2)/0.1</f>
        <v>234000</v>
      </c>
    </row>
    <row r="103" spans="1:30" x14ac:dyDescent="0.2">
      <c r="D103" t="s">
        <v>242</v>
      </c>
      <c r="E103">
        <f>(174*10^4)/0.1</f>
        <v>17400000</v>
      </c>
      <c r="F103" t="s">
        <v>263</v>
      </c>
      <c r="G103">
        <f>(292*10^4)/0.1</f>
        <v>29200000</v>
      </c>
      <c r="H103">
        <f>(29*10^4)/0.1</f>
        <v>2900000</v>
      </c>
      <c r="I103">
        <f>(71*10^3)/0.1</f>
        <v>710000</v>
      </c>
      <c r="J103">
        <f>(148*10^4)/0.1</f>
        <v>14800000</v>
      </c>
      <c r="K103">
        <f>(109*10^4)/0.1</f>
        <v>10900000</v>
      </c>
      <c r="L103">
        <f>(194*10^4)/0.1</f>
        <v>19400000</v>
      </c>
      <c r="M103">
        <f>(31*10^4)/0.1</f>
        <v>3100000</v>
      </c>
      <c r="N103">
        <f>(36*10^4)/0.1</f>
        <v>3600000</v>
      </c>
      <c r="O103">
        <f>(94*10^3)/0.1</f>
        <v>940000</v>
      </c>
      <c r="P103">
        <f>(84*10^4)/0.1</f>
        <v>8400000</v>
      </c>
      <c r="Q103">
        <f>(70*10^2)/0.1</f>
        <v>70000</v>
      </c>
      <c r="R103">
        <f>(38*10^4)/0.1</f>
        <v>3800000</v>
      </c>
      <c r="S103">
        <f>(78*10^0)/0.1</f>
        <v>780</v>
      </c>
      <c r="T103">
        <f>(49*10^3)/0.1</f>
        <v>490000</v>
      </c>
      <c r="U103">
        <v>10</v>
      </c>
      <c r="V103">
        <f>(70*10^3)/0.1</f>
        <v>700000</v>
      </c>
    </row>
    <row r="104" spans="1:30" x14ac:dyDescent="0.2">
      <c r="D104" t="s">
        <v>243</v>
      </c>
      <c r="E104">
        <f>(279*10^4)/0.1</f>
        <v>27900000</v>
      </c>
      <c r="F104" t="s">
        <v>263</v>
      </c>
      <c r="G104">
        <f>(228*10^4)/0.1</f>
        <v>22800000</v>
      </c>
      <c r="H104">
        <f>(99*10^4)/0.1</f>
        <v>9900000</v>
      </c>
      <c r="I104">
        <f>(193*10^3)/0.1</f>
        <v>1930000</v>
      </c>
      <c r="J104">
        <f>(293*10^4)/0.1</f>
        <v>29300000</v>
      </c>
      <c r="K104">
        <f>(51*10^3)/0.1</f>
        <v>510000</v>
      </c>
      <c r="L104">
        <f>(304*10^4)/0.1</f>
        <v>30400000</v>
      </c>
      <c r="M104">
        <f>(56*10^3)/0.1</f>
        <v>560000</v>
      </c>
      <c r="N104">
        <f>(257*10^4)/0.1</f>
        <v>25700000</v>
      </c>
      <c r="O104">
        <f>(97*10^1)/0.1</f>
        <v>9700</v>
      </c>
      <c r="P104">
        <f>(79*10^3)/0.1</f>
        <v>790000</v>
      </c>
      <c r="Q104">
        <f>(139*10^3)/0.1</f>
        <v>1390000</v>
      </c>
      <c r="R104">
        <f>(80*10^4)/0.1</f>
        <v>8000000</v>
      </c>
      <c r="S104">
        <f>(164*10^0)/0.1</f>
        <v>1640</v>
      </c>
      <c r="T104">
        <f>(142*10^3)/0.1</f>
        <v>1420000</v>
      </c>
      <c r="U104">
        <f>(117*10^0)/0.1</f>
        <v>1170</v>
      </c>
      <c r="V104">
        <f>(68*10^2)/0.1</f>
        <v>68000</v>
      </c>
    </row>
    <row r="105" spans="1:30" x14ac:dyDescent="0.2">
      <c r="D105" t="s">
        <v>244</v>
      </c>
      <c r="E105">
        <f>(162*10^5)/0.1</f>
        <v>162000000</v>
      </c>
      <c r="F105" t="s">
        <v>263</v>
      </c>
      <c r="G105">
        <f>(126*10^4)/0.1</f>
        <v>12600000</v>
      </c>
      <c r="H105">
        <f>(66*10^4)/0.1</f>
        <v>6600000</v>
      </c>
      <c r="I105">
        <f>(78*10^4)/0.1</f>
        <v>7800000</v>
      </c>
      <c r="J105">
        <f>(202*10^4)/0.1</f>
        <v>20200000</v>
      </c>
      <c r="K105">
        <f>(106*10^4)/0.1</f>
        <v>10600000</v>
      </c>
      <c r="L105">
        <f>(298*10^4)/0.1</f>
        <v>29800000</v>
      </c>
      <c r="M105">
        <f>(96*10^4)/0.1</f>
        <v>9600000</v>
      </c>
      <c r="N105">
        <f>(173*10^4)/0.1</f>
        <v>17300000</v>
      </c>
      <c r="O105">
        <f>(73*10^4)/0.1</f>
        <v>7300000</v>
      </c>
      <c r="P105">
        <f>(92*10^4)/0.1</f>
        <v>9200000</v>
      </c>
      <c r="Q105">
        <f>(60*10^4)/0.1</f>
        <v>6000000</v>
      </c>
      <c r="R105">
        <f>(178*10^3)/0.1</f>
        <v>1780000</v>
      </c>
      <c r="S105">
        <f>(74*10^2)/0.1</f>
        <v>74000</v>
      </c>
      <c r="T105">
        <f>(160*10^1)/0.1</f>
        <v>16000</v>
      </c>
      <c r="U105">
        <f>(15*10^0)/0.1</f>
        <v>150</v>
      </c>
      <c r="V105">
        <f>(83*10^2)/0.1</f>
        <v>83000</v>
      </c>
    </row>
    <row r="106" spans="1:30" x14ac:dyDescent="0.2">
      <c r="D106" t="s">
        <v>245</v>
      </c>
      <c r="E106">
        <f>(81*10^5)/0.1</f>
        <v>81000000</v>
      </c>
      <c r="F106" t="s">
        <v>263</v>
      </c>
      <c r="G106">
        <f>(336*10^4)/0.1</f>
        <v>33600000</v>
      </c>
      <c r="H106">
        <f>(332*10^4)/0.1</f>
        <v>33200000</v>
      </c>
      <c r="I106">
        <f>(178*10^3)/0.1</f>
        <v>1780000</v>
      </c>
      <c r="J106">
        <f>(410*10^4)/0.1</f>
        <v>41000000</v>
      </c>
      <c r="K106">
        <f>(74*10^4)/0.1</f>
        <v>7400000</v>
      </c>
      <c r="L106">
        <f>(262*10^4)/0.1</f>
        <v>26200000</v>
      </c>
      <c r="M106">
        <f>(28*10^4)/0.1</f>
        <v>2800000</v>
      </c>
      <c r="N106">
        <f>(122*10^4)/0.1</f>
        <v>12200000</v>
      </c>
      <c r="O106">
        <f>(56*10^3)/0.1</f>
        <v>560000</v>
      </c>
      <c r="P106">
        <f>(95*10^3)/0.1</f>
        <v>950000</v>
      </c>
      <c r="Q106">
        <f>(130*10^2)/0.1</f>
        <v>130000</v>
      </c>
      <c r="R106">
        <f>(141*10^4)/0.1</f>
        <v>14100000</v>
      </c>
      <c r="S106">
        <f>(120*10^1)/0.1</f>
        <v>12000</v>
      </c>
      <c r="T106">
        <f>(249*10^4)/0.1</f>
        <v>24900000</v>
      </c>
      <c r="U106">
        <f>(44*10^1)/0.1</f>
        <v>4400</v>
      </c>
      <c r="V106">
        <f>(341*10^4)/0.1</f>
        <v>34100000</v>
      </c>
    </row>
    <row r="107" spans="1:30" x14ac:dyDescent="0.2">
      <c r="D107" t="s">
        <v>246</v>
      </c>
      <c r="E107">
        <f>(342*10^4)/0.1</f>
        <v>34200000</v>
      </c>
      <c r="F107" t="s">
        <v>263</v>
      </c>
      <c r="G107">
        <f>(410*10^4)/0.1</f>
        <v>41000000</v>
      </c>
      <c r="H107">
        <f>(155*10^4)/0.1</f>
        <v>15500000</v>
      </c>
      <c r="I107">
        <f>(161*10^4)/0.1</f>
        <v>16100000</v>
      </c>
      <c r="J107">
        <f>(426*10^4)/0.1</f>
        <v>42600000</v>
      </c>
      <c r="K107">
        <f>(78*10^3)/0.1</f>
        <v>780000</v>
      </c>
      <c r="L107">
        <f>(222*10^4)/0.1</f>
        <v>22200000</v>
      </c>
      <c r="M107">
        <f>(63*10^4)/0.1</f>
        <v>6300000</v>
      </c>
      <c r="N107">
        <f>(251*10^4)/0.1</f>
        <v>25100000</v>
      </c>
      <c r="O107">
        <f>(354*10^4)/0.1</f>
        <v>35400000</v>
      </c>
      <c r="P107">
        <f>(69*10^3)/0.1</f>
        <v>690000</v>
      </c>
      <c r="Q107">
        <f>(70*10^4)/0.1</f>
        <v>7000000</v>
      </c>
      <c r="R107">
        <f>(66*10^4)/0.1</f>
        <v>6600000</v>
      </c>
      <c r="S107">
        <f>(169*10^3)/0.1</f>
        <v>1690000</v>
      </c>
      <c r="T107">
        <f>(58*10^4)/0.1</f>
        <v>5800000</v>
      </c>
      <c r="U107">
        <f>(48*10^4)/0.1</f>
        <v>4800000</v>
      </c>
      <c r="V107">
        <f>(154*10^4)/0.1</f>
        <v>15400000</v>
      </c>
    </row>
    <row r="108" spans="1:30" x14ac:dyDescent="0.2">
      <c r="D108" t="s">
        <v>247</v>
      </c>
      <c r="E108">
        <f>(379*10^4)/0.1</f>
        <v>37900000</v>
      </c>
      <c r="F108" t="s">
        <v>263</v>
      </c>
      <c r="G108">
        <f>(271*10^4)/0.1</f>
        <v>27100000</v>
      </c>
      <c r="H108">
        <f>(36*10^4)/0.1</f>
        <v>3600000</v>
      </c>
      <c r="I108">
        <f>(149*10^4)/0.1</f>
        <v>14900000</v>
      </c>
      <c r="J108">
        <f>(34*10^4)/0.1</f>
        <v>3400000</v>
      </c>
      <c r="K108">
        <f>(107*10^4)/0.1</f>
        <v>10700000</v>
      </c>
      <c r="L108">
        <f>(267*10^4)/0.1</f>
        <v>26700000</v>
      </c>
      <c r="M108">
        <f>(196*10^4)/0.1</f>
        <v>19600000</v>
      </c>
      <c r="N108">
        <f>(1*10^0)/0.1</f>
        <v>10</v>
      </c>
      <c r="O108">
        <f>(355*10^3)/0.1</f>
        <v>3550000</v>
      </c>
      <c r="P108">
        <f>(0*10^0)/0.1</f>
        <v>0</v>
      </c>
      <c r="Q108">
        <f>(41*10^3)/0.1</f>
        <v>410000</v>
      </c>
      <c r="R108">
        <f>(57*10^0)/0.1</f>
        <v>570</v>
      </c>
      <c r="S108">
        <f>(35*10^3)/0.1</f>
        <v>350000</v>
      </c>
      <c r="T108">
        <f>(244*10^2)/0.1</f>
        <v>244000</v>
      </c>
      <c r="U108">
        <f>(156*10^2)/0.1</f>
        <v>156000</v>
      </c>
      <c r="V108">
        <f>(147*10^4)/0.1</f>
        <v>14700000</v>
      </c>
    </row>
    <row r="109" spans="1:30" x14ac:dyDescent="0.2">
      <c r="A109" s="10"/>
      <c r="B109" s="10"/>
      <c r="C109" s="10"/>
      <c r="D109" s="10" t="s">
        <v>248</v>
      </c>
      <c r="E109" s="10">
        <f>(278*10^4)/0.1</f>
        <v>27800000</v>
      </c>
      <c r="F109" s="10" t="s">
        <v>263</v>
      </c>
      <c r="G109" s="10">
        <f>(211*10^4)/0.1</f>
        <v>21100000</v>
      </c>
      <c r="H109" s="10">
        <f>(147*10^4)/0.1</f>
        <v>14700000</v>
      </c>
      <c r="I109" s="10">
        <f>(35*10^4)/0.1</f>
        <v>3500000</v>
      </c>
      <c r="J109" s="10">
        <f>(357*10^4)/0.1</f>
        <v>35700000</v>
      </c>
      <c r="K109" s="10">
        <f>(42*10^3)/0.1</f>
        <v>420000</v>
      </c>
      <c r="L109" s="10">
        <f>(369*10^4)/0.1</f>
        <v>36900000</v>
      </c>
      <c r="M109" s="10">
        <f>(89*10^2)/0.1</f>
        <v>89000</v>
      </c>
      <c r="N109" s="10">
        <f>(245*10^4)/0.1</f>
        <v>24500000</v>
      </c>
      <c r="O109" s="10">
        <f>(77*10^1)/0.1</f>
        <v>7700</v>
      </c>
      <c r="P109" s="10">
        <f>(178*10^4)/0.1</f>
        <v>17800000</v>
      </c>
      <c r="Q109" s="10">
        <f>(61*10^1)/0.1</f>
        <v>6100</v>
      </c>
      <c r="R109" s="10">
        <f>(126*10^4)/0.1</f>
        <v>12600000</v>
      </c>
      <c r="S109" s="10">
        <f>(73*10^1)/0.1</f>
        <v>7300</v>
      </c>
      <c r="T109" s="10">
        <f>(47*10^4)/0.1</f>
        <v>4700000</v>
      </c>
      <c r="U109" s="10">
        <f>(260*10^0)/0.1</f>
        <v>2600</v>
      </c>
      <c r="V109" s="10">
        <f>(143*10^4)/0.1</f>
        <v>14300000</v>
      </c>
      <c r="W109" s="10"/>
      <c r="X109" s="10"/>
      <c r="Y109" s="10"/>
      <c r="Z109" s="10"/>
      <c r="AA109" s="10"/>
      <c r="AB109" s="10"/>
      <c r="AC109" s="10"/>
      <c r="AD109" s="10"/>
    </row>
    <row r="110" spans="1:30" x14ac:dyDescent="0.2">
      <c r="D110" t="s">
        <v>249</v>
      </c>
      <c r="E110">
        <f>(340*10^4)/0.1</f>
        <v>34000000</v>
      </c>
      <c r="F110" t="s">
        <v>263</v>
      </c>
      <c r="G110">
        <f>(170*10^4)/0.1</f>
        <v>17000000</v>
      </c>
      <c r="H110" s="21">
        <f>(1*10^0)/0.1</f>
        <v>10</v>
      </c>
      <c r="I110">
        <f>(86*10^4)/0.1</f>
        <v>8600000</v>
      </c>
      <c r="J110">
        <f>(20*10^0)/0.1</f>
        <v>200</v>
      </c>
      <c r="K110">
        <f>(28*10^4)/0.1</f>
        <v>2800000</v>
      </c>
      <c r="L110">
        <f>(20*10^0)/0.1</f>
        <v>200</v>
      </c>
      <c r="M110">
        <f>(59*10^2)/0.1</f>
        <v>59000</v>
      </c>
      <c r="N110">
        <f>(0*10^0)/0.1</f>
        <v>0</v>
      </c>
      <c r="O110">
        <f>(12*10^0)/0.1</f>
        <v>120</v>
      </c>
      <c r="P110">
        <f>(6*10^0)/0.1</f>
        <v>60</v>
      </c>
      <c r="Q110">
        <f>(5*10^0)/0.1</f>
        <v>50</v>
      </c>
      <c r="R110">
        <f>(9*10^0)/0.1</f>
        <v>90</v>
      </c>
      <c r="S110">
        <f>(0*10^0)/0.1</f>
        <v>0</v>
      </c>
      <c r="T110">
        <v>10</v>
      </c>
      <c r="U110">
        <v>10</v>
      </c>
      <c r="V110">
        <f>(41*10^0)/0.1</f>
        <v>410</v>
      </c>
    </row>
    <row r="111" spans="1:30" x14ac:dyDescent="0.2">
      <c r="D111" t="s">
        <v>250</v>
      </c>
      <c r="E111">
        <f>(329*10^4)/0.1</f>
        <v>32900000</v>
      </c>
      <c r="F111" t="s">
        <v>263</v>
      </c>
      <c r="G111">
        <f>(374*10^4)/0.1</f>
        <v>37400000</v>
      </c>
      <c r="H111">
        <f>(271*10^4)/0.1</f>
        <v>27100000</v>
      </c>
      <c r="I111">
        <f>(243*10^4)/0.1</f>
        <v>24300000</v>
      </c>
      <c r="J111">
        <f>(5*10^0)/0.1</f>
        <v>50</v>
      </c>
      <c r="K111">
        <f>(416*10^4)/0.1</f>
        <v>41600000</v>
      </c>
      <c r="L111">
        <f>(57*10^0)/0.1</f>
        <v>570</v>
      </c>
      <c r="M111">
        <f>(408*10^4)/0.1</f>
        <v>40800000</v>
      </c>
      <c r="N111">
        <f>(86*10^1)/0.1</f>
        <v>8600</v>
      </c>
      <c r="O111">
        <f>(206*10^4)/0.1</f>
        <v>20600000</v>
      </c>
      <c r="P111">
        <f>(21*10^1)/0.1</f>
        <v>2100</v>
      </c>
      <c r="Q111">
        <f>(61*10^4)/0.1</f>
        <v>6100000</v>
      </c>
      <c r="R111">
        <f>(149*10^1)/0.1</f>
        <v>14900</v>
      </c>
      <c r="S111">
        <f>(120*10^3)/0.1</f>
        <v>1200000</v>
      </c>
      <c r="T111">
        <f>(177*10^1)/0.1</f>
        <v>17700</v>
      </c>
      <c r="U111">
        <f>(29*10^3)/0.1</f>
        <v>290000</v>
      </c>
      <c r="V111">
        <f>(53*10^0)/0.1</f>
        <v>530</v>
      </c>
    </row>
    <row r="112" spans="1:30" x14ac:dyDescent="0.2">
      <c r="D112" t="s">
        <v>251</v>
      </c>
      <c r="E112">
        <f>(414*10^4)/0.1</f>
        <v>41400000</v>
      </c>
      <c r="F112" t="s">
        <v>263</v>
      </c>
      <c r="G112">
        <f>(318*10^4)/0.1</f>
        <v>31800000</v>
      </c>
      <c r="H112">
        <f>(44*10^4)/0.1</f>
        <v>4400000</v>
      </c>
      <c r="I112">
        <f>(247*10^4)/0.1</f>
        <v>24700000</v>
      </c>
      <c r="J112">
        <f>(12*10^0)/0.1</f>
        <v>120</v>
      </c>
      <c r="K112">
        <f>(52*10^4)/0.1</f>
        <v>5200000</v>
      </c>
      <c r="L112">
        <f>(0*10^0)/0.1</f>
        <v>0</v>
      </c>
      <c r="M112">
        <f>(43*10^4)/0.1</f>
        <v>4300000</v>
      </c>
      <c r="N112">
        <f>(0*10^0)/0.1</f>
        <v>0</v>
      </c>
      <c r="O112">
        <f>(114*10^3)/0.1</f>
        <v>1140000</v>
      </c>
      <c r="P112">
        <f>(0*10^0)/0.1</f>
        <v>0</v>
      </c>
      <c r="Q112">
        <f>(91*10^2)/0.1</f>
        <v>91000</v>
      </c>
      <c r="R112">
        <f>(0*10^0)/0.1</f>
        <v>0</v>
      </c>
      <c r="S112">
        <f>(34*10^0)/0.1</f>
        <v>340</v>
      </c>
      <c r="T112">
        <v>10</v>
      </c>
      <c r="U112">
        <f>(2*10^0)/0.1</f>
        <v>20</v>
      </c>
      <c r="V112">
        <v>10</v>
      </c>
    </row>
    <row r="113" spans="1:22" x14ac:dyDescent="0.2">
      <c r="D113" t="s">
        <v>252</v>
      </c>
      <c r="E113">
        <f>(391*10^4)/0.1</f>
        <v>39100000</v>
      </c>
      <c r="F113" t="s">
        <v>263</v>
      </c>
      <c r="G113">
        <f>(273*10^4)/0.1</f>
        <v>27300000</v>
      </c>
      <c r="H113">
        <f>(168*10^4)/0.1</f>
        <v>16800000</v>
      </c>
      <c r="I113">
        <f>(417*10^4)/0.1</f>
        <v>41700000</v>
      </c>
      <c r="J113">
        <f>(21*10^0)/0.1</f>
        <v>210</v>
      </c>
      <c r="K113">
        <f>(286*10^4)/0.1</f>
        <v>28600000</v>
      </c>
      <c r="L113">
        <f>(0*10^0)/0.1</f>
        <v>0</v>
      </c>
      <c r="M113">
        <f>(87*10^3)/0.1</f>
        <v>870000</v>
      </c>
      <c r="N113">
        <f>(0*10^0)/0.1</f>
        <v>0</v>
      </c>
      <c r="O113">
        <f>(103*10^1)/0.1</f>
        <v>10300</v>
      </c>
      <c r="P113">
        <f>(0*10^0)/0.1</f>
        <v>0</v>
      </c>
      <c r="Q113">
        <f>(0*10^0)/0.1</f>
        <v>0</v>
      </c>
      <c r="R113">
        <f>(0*10^0)/0.1</f>
        <v>0</v>
      </c>
      <c r="S113">
        <f>(2*10^0)/0.1</f>
        <v>20</v>
      </c>
      <c r="T113">
        <v>10</v>
      </c>
      <c r="U113">
        <f>(2*10^0)/0.1</f>
        <v>20</v>
      </c>
      <c r="V113">
        <v>10</v>
      </c>
    </row>
    <row r="114" spans="1:22" x14ac:dyDescent="0.2">
      <c r="D114" t="s">
        <v>253</v>
      </c>
      <c r="E114">
        <f>(49*10^5)/0.1</f>
        <v>49000000</v>
      </c>
      <c r="F114" t="s">
        <v>263</v>
      </c>
      <c r="G114">
        <f>(272*10^4)/0.1</f>
        <v>27200000</v>
      </c>
      <c r="H114">
        <f>(468*10^4)/0.1</f>
        <v>46800000</v>
      </c>
      <c r="I114">
        <f>(350*10^4)/0.1</f>
        <v>35000000</v>
      </c>
      <c r="J114">
        <f>(104*10^3)/0.1</f>
        <v>1040000</v>
      </c>
      <c r="K114">
        <f>(69*10^4)/0.1</f>
        <v>6900000</v>
      </c>
      <c r="L114">
        <f>(0*10^0)/0.1</f>
        <v>0</v>
      </c>
      <c r="M114">
        <f>(52*10^4)/0.1</f>
        <v>5200000</v>
      </c>
      <c r="N114">
        <f>(107*10^0)/0.1</f>
        <v>1070</v>
      </c>
      <c r="O114">
        <f>(194*10^2)/0.1</f>
        <v>194000</v>
      </c>
      <c r="P114">
        <f>(33*10^1)/0.1</f>
        <v>3300</v>
      </c>
      <c r="Q114">
        <f>(31*10^2)/0.1</f>
        <v>31000</v>
      </c>
      <c r="R114">
        <f>(238*10^1)/0.1</f>
        <v>23800</v>
      </c>
      <c r="S114">
        <f>(79*10^0)/0.1</f>
        <v>790</v>
      </c>
      <c r="T114">
        <f>(366*10^1)/0.1</f>
        <v>36600</v>
      </c>
      <c r="U114">
        <f>(56*10^0)/0.1</f>
        <v>560</v>
      </c>
      <c r="V114">
        <f>(74*10^3)/0.1</f>
        <v>740000</v>
      </c>
    </row>
    <row r="115" spans="1:22" x14ac:dyDescent="0.2">
      <c r="D115" t="s">
        <v>254</v>
      </c>
      <c r="E115">
        <f>(291*10^4)/0.1</f>
        <v>29100000</v>
      </c>
      <c r="F115" t="s">
        <v>263</v>
      </c>
      <c r="G115">
        <f>(135*10^4)/0.1</f>
        <v>13500000</v>
      </c>
      <c r="H115">
        <f>(205*10^3)/0.1</f>
        <v>2050000</v>
      </c>
      <c r="I115">
        <f>(106*10^3)/0.1</f>
        <v>1060000</v>
      </c>
      <c r="J115">
        <f>(0*10^0)/0.1</f>
        <v>0</v>
      </c>
      <c r="K115">
        <f>(168*10^3)/0.1</f>
        <v>1680000</v>
      </c>
      <c r="L115">
        <f>(0*10^0)/0.1</f>
        <v>0</v>
      </c>
      <c r="M115">
        <f>(206*10^3)/0.1</f>
        <v>2060000</v>
      </c>
      <c r="N115">
        <f>(0*10^0)/0.1</f>
        <v>0</v>
      </c>
      <c r="O115">
        <f>(107*10^2)/0.1</f>
        <v>107000</v>
      </c>
      <c r="P115">
        <f>(0*10^0)/0.1</f>
        <v>0</v>
      </c>
      <c r="Q115">
        <f>(160*10^3)/0.1</f>
        <v>1600000</v>
      </c>
      <c r="R115">
        <f>(4*10^0)/0.1</f>
        <v>40</v>
      </c>
      <c r="S115">
        <f>(156*10^2)/0.1</f>
        <v>156000</v>
      </c>
      <c r="T115">
        <v>10</v>
      </c>
      <c r="U115">
        <f>(55*10^2)/0.1</f>
        <v>55000</v>
      </c>
      <c r="V115">
        <f>(2*10^0)/0.1</f>
        <v>20</v>
      </c>
    </row>
    <row r="116" spans="1:22" x14ac:dyDescent="0.2">
      <c r="D116" t="s">
        <v>255</v>
      </c>
      <c r="E116">
        <f>(32*10^4)/0.1</f>
        <v>3200000</v>
      </c>
      <c r="F116" t="s">
        <v>263</v>
      </c>
      <c r="G116">
        <f>(159*10^1)/0.1</f>
        <v>15900</v>
      </c>
      <c r="H116">
        <f>(86*10^3)/0.1</f>
        <v>860000</v>
      </c>
      <c r="I116">
        <f>(87*10^2)/0.1</f>
        <v>87000</v>
      </c>
      <c r="J116">
        <f>(41*10^4)/0.1</f>
        <v>4100000</v>
      </c>
      <c r="K116">
        <f>(125*10^2)/0.1</f>
        <v>125000</v>
      </c>
      <c r="L116">
        <f>(59*10^4)/0.1</f>
        <v>5900000</v>
      </c>
      <c r="M116">
        <f>(69*10^3)/0.1</f>
        <v>690000</v>
      </c>
      <c r="N116">
        <f>(44*10^4)/0.1</f>
        <v>4400000</v>
      </c>
      <c r="O116">
        <f>(63*10^2)/0.1</f>
        <v>63000</v>
      </c>
      <c r="P116">
        <f>(124*10^3)/0.1</f>
        <v>1240000</v>
      </c>
      <c r="Q116">
        <f>(66*10^0)/0.1</f>
        <v>660</v>
      </c>
      <c r="R116">
        <f>(128*10^3)/0.1</f>
        <v>1280000</v>
      </c>
      <c r="S116">
        <v>10</v>
      </c>
      <c r="T116">
        <f>(74*10^2)/0.1</f>
        <v>74000</v>
      </c>
      <c r="U116">
        <v>10</v>
      </c>
      <c r="V116">
        <f>(75*10^3)/0.1</f>
        <v>750000</v>
      </c>
    </row>
    <row r="117" spans="1:22" x14ac:dyDescent="0.2">
      <c r="D117" t="s">
        <v>256</v>
      </c>
      <c r="E117">
        <f>(267*10^4)/0.1</f>
        <v>26700000</v>
      </c>
      <c r="F117" t="s">
        <v>263</v>
      </c>
      <c r="G117">
        <f>(108*10^4)/0.1</f>
        <v>10800000</v>
      </c>
      <c r="H117">
        <f>(226*10^4)/0.1</f>
        <v>22600000</v>
      </c>
      <c r="I117">
        <f>(288*10^4)/0.1</f>
        <v>28800000</v>
      </c>
      <c r="J117">
        <f>(29*10^2)/0.1</f>
        <v>29000</v>
      </c>
      <c r="K117">
        <f>(71*10^4)/0.1</f>
        <v>7100000</v>
      </c>
      <c r="L117">
        <f>(20*10^0)/0.1</f>
        <v>200</v>
      </c>
      <c r="M117">
        <f>(29*10^4)/0.1</f>
        <v>2900000</v>
      </c>
      <c r="N117">
        <f>(47*10^2)/0.1</f>
        <v>47000</v>
      </c>
      <c r="O117">
        <f>(58*10^3)/0.1</f>
        <v>580000</v>
      </c>
      <c r="P117">
        <f>(97*10^3)/0.1</f>
        <v>970000</v>
      </c>
      <c r="Q117">
        <f>(269*10^2)/0.1</f>
        <v>269000</v>
      </c>
      <c r="R117">
        <f>(99*10^3)/0.1</f>
        <v>990000</v>
      </c>
      <c r="S117">
        <f>(114*10^0)/0.1</f>
        <v>1140</v>
      </c>
      <c r="T117">
        <f>(140*10^2)/0.1</f>
        <v>140000</v>
      </c>
      <c r="U117">
        <f>(6*10^0)/0.1</f>
        <v>60</v>
      </c>
      <c r="V117">
        <f>(68*10^3)/0.1</f>
        <v>680000</v>
      </c>
    </row>
    <row r="121" spans="1:22" x14ac:dyDescent="0.2">
      <c r="E121" s="66" t="s">
        <v>348</v>
      </c>
      <c r="F121" s="66"/>
      <c r="G121" s="66" t="s">
        <v>218</v>
      </c>
      <c r="H121" s="66"/>
      <c r="I121" s="66" t="s">
        <v>0</v>
      </c>
      <c r="J121" s="66"/>
      <c r="K121" s="66" t="s">
        <v>1</v>
      </c>
      <c r="L121" s="66"/>
      <c r="M121" s="66" t="s">
        <v>222</v>
      </c>
      <c r="N121" s="66"/>
      <c r="O121" s="66" t="s">
        <v>2</v>
      </c>
      <c r="P121" s="66"/>
      <c r="Q121" s="66" t="s">
        <v>225</v>
      </c>
      <c r="R121" s="66"/>
      <c r="S121" s="66" t="s">
        <v>3</v>
      </c>
      <c r="T121" s="66"/>
      <c r="U121" s="66" t="s">
        <v>228</v>
      </c>
      <c r="V121" s="66"/>
    </row>
    <row r="122" spans="1:22" x14ac:dyDescent="0.2">
      <c r="A122" t="s">
        <v>20</v>
      </c>
      <c r="E122" t="s">
        <v>264</v>
      </c>
      <c r="G122" t="s">
        <v>258</v>
      </c>
      <c r="H122" t="s">
        <v>259</v>
      </c>
      <c r="I122" t="s">
        <v>258</v>
      </c>
      <c r="J122" t="s">
        <v>259</v>
      </c>
      <c r="K122" t="s">
        <v>258</v>
      </c>
      <c r="L122" t="s">
        <v>259</v>
      </c>
      <c r="M122" t="s">
        <v>258</v>
      </c>
      <c r="N122" t="s">
        <v>259</v>
      </c>
      <c r="O122" t="s">
        <v>258</v>
      </c>
      <c r="P122" t="s">
        <v>259</v>
      </c>
      <c r="Q122" t="s">
        <v>258</v>
      </c>
      <c r="R122" t="s">
        <v>259</v>
      </c>
      <c r="S122" t="s">
        <v>258</v>
      </c>
      <c r="T122" t="s">
        <v>259</v>
      </c>
      <c r="U122" t="s">
        <v>258</v>
      </c>
      <c r="V122" t="s">
        <v>259</v>
      </c>
    </row>
    <row r="123" spans="1:22" x14ac:dyDescent="0.2">
      <c r="D123" s="17" t="s">
        <v>5</v>
      </c>
      <c r="E123">
        <f>E86/E50</f>
        <v>290322580.64516115</v>
      </c>
      <c r="G123">
        <f>G86/F50</f>
        <v>151079136.69064736</v>
      </c>
      <c r="H123">
        <f>H86/F50</f>
        <v>4406474.8201438822</v>
      </c>
      <c r="I123">
        <f>I86/G50</f>
        <v>105389221.55688621</v>
      </c>
      <c r="J123">
        <f t="shared" ref="J123:K138" si="10">J86/G50</f>
        <v>69461077.844311357</v>
      </c>
      <c r="K123">
        <f t="shared" si="10"/>
        <v>28368794.326241132</v>
      </c>
      <c r="L123">
        <f t="shared" ref="L123:M138" si="11">L86/H50</f>
        <v>14792299.898682876</v>
      </c>
      <c r="M123">
        <f t="shared" si="11"/>
        <v>22270114.942528736</v>
      </c>
      <c r="N123">
        <f t="shared" ref="N123:O138" si="12">N86/I50</f>
        <v>61781609.195402302</v>
      </c>
      <c r="O123">
        <f t="shared" si="12"/>
        <v>155378.486055777</v>
      </c>
      <c r="P123">
        <f t="shared" ref="P123:Q138" si="13">P86/J50</f>
        <v>7968127.4900398459</v>
      </c>
      <c r="Q123">
        <f t="shared" si="13"/>
        <v>243.01336573511566</v>
      </c>
      <c r="R123">
        <f t="shared" ref="R123:S138" si="14">R86/K50</f>
        <v>2891859.0522478763</v>
      </c>
      <c r="S123">
        <f t="shared" si="14"/>
        <v>614.12487205731759</v>
      </c>
      <c r="T123">
        <f>T86/L50</f>
        <v>13203684.749232328</v>
      </c>
      <c r="U123">
        <f>U86/M50</f>
        <v>123.15270935960601</v>
      </c>
      <c r="V123">
        <f>V86/M50</f>
        <v>1453201.970443351</v>
      </c>
    </row>
    <row r="124" spans="1:22" x14ac:dyDescent="0.2">
      <c r="D124" s="17" t="s">
        <v>6</v>
      </c>
      <c r="E124">
        <f t="shared" ref="E124:E154" si="15">E87/E51</f>
        <v>723684210.52631569</v>
      </c>
      <c r="G124">
        <f t="shared" ref="G124:G154" si="16">G87/F51</f>
        <v>64759036.144578405</v>
      </c>
      <c r="H124">
        <f t="shared" ref="H124:H154" si="17">H87/F51</f>
        <v>14909638.55421689</v>
      </c>
      <c r="I124">
        <f t="shared" ref="I124:I139" si="18">I87/G51</f>
        <v>114485981.30841134</v>
      </c>
      <c r="J124">
        <f t="shared" si="10"/>
        <v>65420560.747663632</v>
      </c>
      <c r="K124">
        <f t="shared" si="10"/>
        <v>74365704.286964089</v>
      </c>
      <c r="L124">
        <f t="shared" si="11"/>
        <v>48118985.126859114</v>
      </c>
      <c r="M124">
        <f t="shared" si="11"/>
        <v>89696071.163825035</v>
      </c>
      <c r="N124">
        <f t="shared" si="12"/>
        <v>91178650.852483302</v>
      </c>
      <c r="O124">
        <f t="shared" si="12"/>
        <v>16230936.819172096</v>
      </c>
      <c r="P124">
        <f t="shared" si="13"/>
        <v>35947712.418300614</v>
      </c>
      <c r="Q124">
        <f t="shared" si="13"/>
        <v>4241281.809613578</v>
      </c>
      <c r="R124">
        <f t="shared" si="14"/>
        <v>55607917.05937802</v>
      </c>
      <c r="S124">
        <f t="shared" si="14"/>
        <v>944206.00858369097</v>
      </c>
      <c r="T124">
        <f t="shared" ref="T124:T154" si="19">T87/L51</f>
        <v>42381974.248927034</v>
      </c>
      <c r="U124">
        <f t="shared" ref="U124:U154" si="20">U87/M51</f>
        <v>496760.25917926559</v>
      </c>
      <c r="V124">
        <f t="shared" ref="V124:V154" si="21">V87/M51</f>
        <v>124190064.79481639</v>
      </c>
    </row>
    <row r="125" spans="1:22" x14ac:dyDescent="0.2">
      <c r="A125" s="25" t="s">
        <v>265</v>
      </c>
      <c r="C125" s="25" t="s">
        <v>266</v>
      </c>
      <c r="D125" s="17" t="s">
        <v>7</v>
      </c>
      <c r="E125">
        <f t="shared" si="15"/>
        <v>129283489.09657322</v>
      </c>
      <c r="G125">
        <f t="shared" si="16"/>
        <v>142036124.79474548</v>
      </c>
      <c r="H125">
        <f t="shared" si="17"/>
        <v>656.81444991789806</v>
      </c>
      <c r="I125">
        <f t="shared" si="18"/>
        <v>376865671.64179116</v>
      </c>
      <c r="J125">
        <f t="shared" si="10"/>
        <v>932835.82089552272</v>
      </c>
      <c r="K125">
        <f t="shared" si="10"/>
        <v>199392712.5506075</v>
      </c>
      <c r="L125">
        <f t="shared" si="11"/>
        <v>59716599.19028347</v>
      </c>
      <c r="M125">
        <f t="shared" si="11"/>
        <v>82661290.322580591</v>
      </c>
      <c r="N125">
        <f t="shared" si="12"/>
        <v>111895161.29032251</v>
      </c>
      <c r="O125">
        <f t="shared" si="12"/>
        <v>19027181.688125905</v>
      </c>
      <c r="P125">
        <f t="shared" si="13"/>
        <v>70815450.643776864</v>
      </c>
      <c r="Q125">
        <f t="shared" si="13"/>
        <v>23607748.184019402</v>
      </c>
      <c r="R125">
        <f t="shared" si="14"/>
        <v>150121065.37530285</v>
      </c>
      <c r="S125">
        <f t="shared" si="14"/>
        <v>1244635.1931330469</v>
      </c>
      <c r="T125">
        <f t="shared" si="19"/>
        <v>4721030.0429184539</v>
      </c>
      <c r="U125">
        <f t="shared" si="20"/>
        <v>8571428.5714285709</v>
      </c>
      <c r="V125">
        <f t="shared" si="21"/>
        <v>125210084.03361346</v>
      </c>
    </row>
    <row r="126" spans="1:22" x14ac:dyDescent="0.2">
      <c r="A126" s="26" t="s">
        <v>267</v>
      </c>
      <c r="C126" s="26"/>
      <c r="D126" s="17" t="s">
        <v>8</v>
      </c>
      <c r="E126">
        <f t="shared" si="15"/>
        <v>225780624.49959967</v>
      </c>
      <c r="G126">
        <f t="shared" si="16"/>
        <v>120226308.34512025</v>
      </c>
      <c r="H126">
        <f t="shared" si="17"/>
        <v>29278642.149929285</v>
      </c>
      <c r="I126">
        <f t="shared" si="18"/>
        <v>12172088.142707247</v>
      </c>
      <c r="J126">
        <f t="shared" si="10"/>
        <v>36726128.016789109</v>
      </c>
      <c r="K126">
        <f t="shared" si="10"/>
        <v>1540504.6480743708</v>
      </c>
      <c r="L126">
        <f t="shared" si="11"/>
        <v>19654714.475431629</v>
      </c>
      <c r="M126">
        <f t="shared" si="11"/>
        <v>467836.25730994192</v>
      </c>
      <c r="N126">
        <f t="shared" si="12"/>
        <v>40935672.514619917</v>
      </c>
      <c r="O126">
        <f t="shared" si="12"/>
        <v>46673.28699106256</v>
      </c>
      <c r="P126">
        <f t="shared" si="13"/>
        <v>5362462.7606752729</v>
      </c>
      <c r="Q126">
        <f t="shared" si="13"/>
        <v>16785.998408910098</v>
      </c>
      <c r="R126">
        <f t="shared" si="14"/>
        <v>10342084.327764517</v>
      </c>
      <c r="S126">
        <f t="shared" si="14"/>
        <v>53537.284894837518</v>
      </c>
      <c r="T126">
        <f t="shared" si="19"/>
        <v>2294455.0669216081</v>
      </c>
      <c r="U126">
        <f t="shared" si="20"/>
        <v>57301.293900184923</v>
      </c>
      <c r="V126">
        <f t="shared" si="21"/>
        <v>1201478.7430683936</v>
      </c>
    </row>
    <row r="127" spans="1:22" x14ac:dyDescent="0.2">
      <c r="D127" s="17" t="s">
        <v>9</v>
      </c>
      <c r="E127">
        <f t="shared" si="15"/>
        <v>254629629.62962952</v>
      </c>
      <c r="G127">
        <f t="shared" si="16"/>
        <v>137291280.14842287</v>
      </c>
      <c r="H127">
        <f t="shared" si="17"/>
        <v>24118738.404452663</v>
      </c>
      <c r="I127">
        <f t="shared" si="18"/>
        <v>28462998.10246681</v>
      </c>
      <c r="J127">
        <f t="shared" si="10"/>
        <v>0</v>
      </c>
      <c r="K127">
        <f t="shared" si="10"/>
        <v>12424503.882657463</v>
      </c>
      <c r="L127">
        <f t="shared" si="11"/>
        <v>0</v>
      </c>
      <c r="M127">
        <f t="shared" si="11"/>
        <v>2320522.1174764317</v>
      </c>
      <c r="N127">
        <f t="shared" si="12"/>
        <v>0</v>
      </c>
      <c r="O127">
        <f t="shared" si="12"/>
        <v>157335.90733590731</v>
      </c>
      <c r="P127">
        <f t="shared" si="13"/>
        <v>1158.301158301158</v>
      </c>
      <c r="Q127">
        <f t="shared" si="13"/>
        <v>420.16806722689114</v>
      </c>
      <c r="R127">
        <f t="shared" si="14"/>
        <v>588.23529411764764</v>
      </c>
      <c r="S127">
        <f t="shared" si="14"/>
        <v>459.06656465187439</v>
      </c>
      <c r="T127">
        <f t="shared" si="19"/>
        <v>1836.2662586074975</v>
      </c>
      <c r="U127">
        <f t="shared" si="20"/>
        <v>81.967213114754173</v>
      </c>
      <c r="V127">
        <f t="shared" si="21"/>
        <v>1885.2459016393461</v>
      </c>
    </row>
    <row r="128" spans="1:22" x14ac:dyDescent="0.2">
      <c r="D128" s="17" t="s">
        <v>10</v>
      </c>
      <c r="E128">
        <f t="shared" si="15"/>
        <v>444444444.4444446</v>
      </c>
      <c r="G128">
        <f t="shared" si="16"/>
        <v>309722222.22222197</v>
      </c>
      <c r="H128">
        <f t="shared" si="17"/>
        <v>4722222.2222222183</v>
      </c>
      <c r="I128">
        <f t="shared" si="18"/>
        <v>47001620.745542966</v>
      </c>
      <c r="J128">
        <f t="shared" si="10"/>
        <v>48622366.288492724</v>
      </c>
      <c r="K128">
        <f t="shared" si="10"/>
        <v>312500.00000000006</v>
      </c>
      <c r="L128">
        <f t="shared" si="11"/>
        <v>3229166.6666666674</v>
      </c>
      <c r="M128">
        <f t="shared" si="11"/>
        <v>91312.056737588646</v>
      </c>
      <c r="N128">
        <f t="shared" si="12"/>
        <v>1480496.453900709</v>
      </c>
      <c r="O128">
        <f t="shared" si="12"/>
        <v>594.64816650148668</v>
      </c>
      <c r="P128">
        <f t="shared" si="13"/>
        <v>98116.947472745305</v>
      </c>
      <c r="Q128">
        <f t="shared" si="13"/>
        <v>838.57442348008351</v>
      </c>
      <c r="R128">
        <f t="shared" si="14"/>
        <v>337526.2054507336</v>
      </c>
      <c r="S128">
        <f t="shared" si="14"/>
        <v>487.80487804878032</v>
      </c>
      <c r="T128">
        <f t="shared" si="19"/>
        <v>556097.56097560958</v>
      </c>
      <c r="U128">
        <f t="shared" si="20"/>
        <v>4019.4884287454347</v>
      </c>
      <c r="V128">
        <f t="shared" si="21"/>
        <v>8282582.2168087745</v>
      </c>
    </row>
    <row r="129" spans="1:30" x14ac:dyDescent="0.2">
      <c r="D129" s="17" t="s">
        <v>11</v>
      </c>
      <c r="E129">
        <f t="shared" si="15"/>
        <v>651558073.65439093</v>
      </c>
      <c r="G129">
        <f t="shared" si="16"/>
        <v>60576923.076923087</v>
      </c>
      <c r="H129">
        <f t="shared" si="17"/>
        <v>509615.38461538468</v>
      </c>
      <c r="I129">
        <f t="shared" si="18"/>
        <v>156105100.46367857</v>
      </c>
      <c r="J129">
        <f t="shared" si="10"/>
        <v>69551777.434312239</v>
      </c>
      <c r="K129">
        <f t="shared" si="10"/>
        <v>38073908.174692079</v>
      </c>
      <c r="L129">
        <f t="shared" si="11"/>
        <v>2172452.4076147834</v>
      </c>
      <c r="M129">
        <f t="shared" si="11"/>
        <v>17603686.635944694</v>
      </c>
      <c r="N129">
        <f t="shared" si="12"/>
        <v>1511520.7373271885</v>
      </c>
      <c r="O129">
        <f t="shared" si="12"/>
        <v>120503.59712230219</v>
      </c>
      <c r="P129">
        <f t="shared" si="13"/>
        <v>252697.84172661879</v>
      </c>
      <c r="Q129">
        <f t="shared" si="13"/>
        <v>34078.807241746545</v>
      </c>
      <c r="R129">
        <f t="shared" si="14"/>
        <v>454739.08413205546</v>
      </c>
      <c r="S129">
        <f t="shared" si="14"/>
        <v>5496.8287526427048</v>
      </c>
      <c r="T129">
        <f t="shared" si="19"/>
        <v>102536.99788583508</v>
      </c>
      <c r="U129">
        <f t="shared" si="20"/>
        <v>6000.0000000000036</v>
      </c>
      <c r="V129">
        <f t="shared" si="21"/>
        <v>757333.33333333384</v>
      </c>
    </row>
    <row r="130" spans="1:30" x14ac:dyDescent="0.2">
      <c r="A130" s="10"/>
      <c r="B130" s="10"/>
      <c r="C130" s="27" t="s">
        <v>268</v>
      </c>
      <c r="D130" s="18" t="s">
        <v>12</v>
      </c>
      <c r="E130" s="10">
        <f t="shared" si="15"/>
        <v>74885199.576121539</v>
      </c>
      <c r="F130" s="10"/>
      <c r="G130">
        <f t="shared" si="16"/>
        <v>568067226.8907553</v>
      </c>
      <c r="H130">
        <f t="shared" si="17"/>
        <v>168.06722689075599</v>
      </c>
      <c r="I130" s="10">
        <f t="shared" si="18"/>
        <v>160305343.51145038</v>
      </c>
      <c r="J130" s="10">
        <f t="shared" si="10"/>
        <v>0</v>
      </c>
      <c r="K130" s="10">
        <f t="shared" si="10"/>
        <v>202483285.57784122</v>
      </c>
      <c r="L130" s="10">
        <f t="shared" si="11"/>
        <v>0</v>
      </c>
      <c r="M130" s="10">
        <f t="shared" si="11"/>
        <v>93286835.222319067</v>
      </c>
      <c r="N130" s="10">
        <f t="shared" si="12"/>
        <v>0</v>
      </c>
      <c r="O130" s="10">
        <f t="shared" si="12"/>
        <v>25575447.570332512</v>
      </c>
      <c r="P130" s="10">
        <f t="shared" si="13"/>
        <v>0</v>
      </c>
      <c r="Q130" s="10">
        <f t="shared" si="13"/>
        <v>8862629.2466765158</v>
      </c>
      <c r="R130" s="10">
        <f t="shared" si="14"/>
        <v>0</v>
      </c>
      <c r="S130">
        <f t="shared" si="14"/>
        <v>325064.15739948675</v>
      </c>
      <c r="T130">
        <f t="shared" si="19"/>
        <v>85.543199315654405</v>
      </c>
      <c r="U130">
        <f t="shared" si="20"/>
        <v>23486.901535682042</v>
      </c>
      <c r="V130" s="10">
        <f t="shared" si="21"/>
        <v>632.33965672990109</v>
      </c>
      <c r="W130" s="10"/>
      <c r="X130" s="10"/>
      <c r="Y130" s="10"/>
      <c r="Z130" s="10"/>
      <c r="AA130" s="10"/>
      <c r="AB130" s="10"/>
      <c r="AC130" s="10"/>
      <c r="AD130" s="10"/>
    </row>
    <row r="131" spans="1:30" x14ac:dyDescent="0.2">
      <c r="C131" s="25" t="s">
        <v>268</v>
      </c>
      <c r="D131" s="19" t="s">
        <v>233</v>
      </c>
      <c r="E131">
        <f t="shared" si="15"/>
        <v>13829787.23404254</v>
      </c>
      <c r="G131">
        <f t="shared" si="16"/>
        <v>2899906.4546304988</v>
      </c>
      <c r="H131">
        <f t="shared" si="17"/>
        <v>93.545369504209646</v>
      </c>
      <c r="I131">
        <f t="shared" si="18"/>
        <v>196185.28610354217</v>
      </c>
      <c r="J131">
        <f t="shared" si="10"/>
        <v>136.23978201634873</v>
      </c>
      <c r="K131">
        <f t="shared" si="10"/>
        <v>82205.029013539708</v>
      </c>
      <c r="L131">
        <f t="shared" si="11"/>
        <v>773.69439071566774</v>
      </c>
      <c r="M131">
        <f t="shared" si="11"/>
        <v>66249.999999999942</v>
      </c>
      <c r="N131">
        <f t="shared" si="12"/>
        <v>124.99999999999989</v>
      </c>
      <c r="O131">
        <f t="shared" si="12"/>
        <v>539.3743257820928</v>
      </c>
      <c r="P131">
        <f t="shared" si="13"/>
        <v>6796.1165048543689</v>
      </c>
      <c r="Q131">
        <f t="shared" si="13"/>
        <v>13958.1256231306</v>
      </c>
      <c r="R131">
        <f t="shared" si="14"/>
        <v>3489.5314057826499</v>
      </c>
      <c r="S131">
        <f t="shared" si="14"/>
        <v>4931.5068493150666</v>
      </c>
      <c r="T131">
        <f t="shared" si="19"/>
        <v>182.64840182648396</v>
      </c>
      <c r="U131">
        <f t="shared" si="20"/>
        <v>655.97667638483972</v>
      </c>
      <c r="V131">
        <f t="shared" si="21"/>
        <v>1530.6122448979593</v>
      </c>
    </row>
    <row r="132" spans="1:30" x14ac:dyDescent="0.2">
      <c r="D132" s="19" t="s">
        <v>234</v>
      </c>
      <c r="E132">
        <f t="shared" si="15"/>
        <v>434160305.34351188</v>
      </c>
      <c r="G132">
        <f t="shared" si="16"/>
        <v>102961918.19464023</v>
      </c>
      <c r="H132">
        <f t="shared" si="17"/>
        <v>139633286.31875867</v>
      </c>
      <c r="I132">
        <f t="shared" si="18"/>
        <v>4918032.7868852504</v>
      </c>
      <c r="J132">
        <f t="shared" si="10"/>
        <v>63051702.395964749</v>
      </c>
      <c r="K132">
        <f t="shared" si="10"/>
        <v>2076086.9565217397</v>
      </c>
      <c r="L132">
        <f t="shared" si="11"/>
        <v>67391304.347826108</v>
      </c>
      <c r="M132">
        <f t="shared" si="11"/>
        <v>7039.106145251395</v>
      </c>
      <c r="N132">
        <f t="shared" si="12"/>
        <v>3240223.4636871498</v>
      </c>
      <c r="O132">
        <f t="shared" si="12"/>
        <v>0</v>
      </c>
      <c r="P132">
        <f t="shared" si="13"/>
        <v>749440.71588366863</v>
      </c>
      <c r="Q132">
        <f t="shared" si="13"/>
        <v>0</v>
      </c>
      <c r="R132">
        <f t="shared" si="14"/>
        <v>309909909.90990996</v>
      </c>
      <c r="S132">
        <f t="shared" si="14"/>
        <v>127.71392081736921</v>
      </c>
      <c r="T132">
        <f t="shared" si="19"/>
        <v>243933.5887611752</v>
      </c>
      <c r="U132">
        <f t="shared" si="20"/>
        <v>116.95906432748551</v>
      </c>
      <c r="V132">
        <f t="shared" si="21"/>
        <v>523976.60818713508</v>
      </c>
    </row>
    <row r="133" spans="1:30" x14ac:dyDescent="0.2">
      <c r="D133" s="19" t="s">
        <v>235</v>
      </c>
      <c r="E133">
        <f t="shared" si="15"/>
        <v>201881331.40376267</v>
      </c>
      <c r="G133">
        <f t="shared" si="16"/>
        <v>259143155.69488013</v>
      </c>
      <c r="H133">
        <f t="shared" si="17"/>
        <v>85684430.512016818</v>
      </c>
      <c r="I133">
        <f t="shared" si="18"/>
        <v>23340040.241448682</v>
      </c>
      <c r="J133">
        <f t="shared" si="10"/>
        <v>142857142.85714281</v>
      </c>
      <c r="K133">
        <f t="shared" si="10"/>
        <v>3155.8185404339238</v>
      </c>
      <c r="L133">
        <f t="shared" si="11"/>
        <v>453648.91518737649</v>
      </c>
      <c r="M133">
        <f t="shared" si="11"/>
        <v>2050.1138952163988</v>
      </c>
      <c r="N133">
        <f t="shared" si="12"/>
        <v>170842.82460136653</v>
      </c>
      <c r="O133">
        <f t="shared" si="12"/>
        <v>0</v>
      </c>
      <c r="P133">
        <f t="shared" si="13"/>
        <v>52684.903748733472</v>
      </c>
      <c r="Q133">
        <f t="shared" si="13"/>
        <v>0</v>
      </c>
      <c r="R133">
        <f t="shared" si="14"/>
        <v>100391.13428943953</v>
      </c>
      <c r="S133">
        <f t="shared" si="14"/>
        <v>1194.7431302269997</v>
      </c>
      <c r="T133">
        <f t="shared" si="19"/>
        <v>191158.90083631995</v>
      </c>
      <c r="U133">
        <f t="shared" si="20"/>
        <v>133.15579227696395</v>
      </c>
      <c r="V133">
        <f t="shared" si="21"/>
        <v>423435.41944074538</v>
      </c>
    </row>
    <row r="134" spans="1:30" x14ac:dyDescent="0.2">
      <c r="D134" s="19" t="s">
        <v>236</v>
      </c>
      <c r="E134">
        <f t="shared" si="15"/>
        <v>44198895.027624339</v>
      </c>
      <c r="G134">
        <f t="shared" si="16"/>
        <v>14434180.138568146</v>
      </c>
      <c r="H134">
        <f t="shared" si="17"/>
        <v>15819861.431870688</v>
      </c>
      <c r="I134">
        <f t="shared" si="18"/>
        <v>1473282.4427480916</v>
      </c>
      <c r="J134">
        <f t="shared" si="10"/>
        <v>41221374.045801528</v>
      </c>
      <c r="K134">
        <f t="shared" si="10"/>
        <v>859.84522785898571</v>
      </c>
      <c r="L134">
        <f t="shared" si="11"/>
        <v>928632.84608770453</v>
      </c>
      <c r="M134">
        <f t="shared" si="11"/>
        <v>0</v>
      </c>
      <c r="N134">
        <f t="shared" si="12"/>
        <v>193735.49883990732</v>
      </c>
      <c r="O134">
        <f t="shared" si="12"/>
        <v>0</v>
      </c>
      <c r="P134">
        <f t="shared" si="13"/>
        <v>40835.707502374229</v>
      </c>
      <c r="Q134">
        <f t="shared" si="13"/>
        <v>0</v>
      </c>
      <c r="R134">
        <f t="shared" si="14"/>
        <v>337528.60411899298</v>
      </c>
      <c r="S134">
        <f t="shared" si="14"/>
        <v>79.80845969672788</v>
      </c>
      <c r="T134">
        <f t="shared" si="19"/>
        <v>197126.89545091786</v>
      </c>
      <c r="U134">
        <f t="shared" si="20"/>
        <v>89.285714285714207</v>
      </c>
      <c r="V134">
        <f t="shared" si="21"/>
        <v>184821.42857142841</v>
      </c>
    </row>
    <row r="135" spans="1:30" x14ac:dyDescent="0.2">
      <c r="C135" s="25"/>
      <c r="D135" s="19" t="s">
        <v>237</v>
      </c>
      <c r="E135">
        <f t="shared" si="15"/>
        <v>514385353.0950309</v>
      </c>
      <c r="G135">
        <f t="shared" si="16"/>
        <v>294478527.60736173</v>
      </c>
      <c r="H135">
        <f t="shared" si="17"/>
        <v>87.642418930762418</v>
      </c>
      <c r="I135">
        <f t="shared" si="18"/>
        <v>149504950.49504954</v>
      </c>
      <c r="J135">
        <f t="shared" si="10"/>
        <v>0</v>
      </c>
      <c r="K135">
        <f t="shared" si="10"/>
        <v>31674208.144796368</v>
      </c>
      <c r="L135">
        <f t="shared" si="11"/>
        <v>904.97737556561049</v>
      </c>
      <c r="M135">
        <f t="shared" si="11"/>
        <v>39603960.396039583</v>
      </c>
      <c r="N135">
        <f t="shared" si="12"/>
        <v>254596.88826025446</v>
      </c>
      <c r="O135">
        <f t="shared" si="12"/>
        <v>171597.63313609475</v>
      </c>
      <c r="P135">
        <f t="shared" si="13"/>
        <v>84615.384615384653</v>
      </c>
      <c r="Q135">
        <f t="shared" si="13"/>
        <v>46613.896218117843</v>
      </c>
      <c r="R135">
        <f t="shared" si="14"/>
        <v>527704.48548812652</v>
      </c>
      <c r="S135">
        <f t="shared" si="14"/>
        <v>23324.630113141884</v>
      </c>
      <c r="T135">
        <f t="shared" si="19"/>
        <v>2706701.479547435</v>
      </c>
      <c r="U135">
        <f t="shared" si="20"/>
        <v>83.40283569641359</v>
      </c>
      <c r="V135">
        <f t="shared" si="21"/>
        <v>467055.87989991612</v>
      </c>
    </row>
    <row r="136" spans="1:30" x14ac:dyDescent="0.2">
      <c r="C136" s="25"/>
      <c r="D136" s="19" t="s">
        <v>238</v>
      </c>
      <c r="E136">
        <f t="shared" si="15"/>
        <v>108527131.7829458</v>
      </c>
      <c r="G136">
        <f t="shared" si="16"/>
        <v>100800000</v>
      </c>
      <c r="H136">
        <f t="shared" si="17"/>
        <v>80</v>
      </c>
      <c r="I136">
        <f t="shared" si="18"/>
        <v>76212471.131639719</v>
      </c>
      <c r="J136">
        <f t="shared" si="10"/>
        <v>0</v>
      </c>
      <c r="K136">
        <f t="shared" si="10"/>
        <v>169657422.51223487</v>
      </c>
      <c r="L136">
        <f t="shared" si="11"/>
        <v>0</v>
      </c>
      <c r="M136">
        <f t="shared" si="11"/>
        <v>147085201.79372191</v>
      </c>
      <c r="N136">
        <f t="shared" si="12"/>
        <v>4062780.2690582946</v>
      </c>
      <c r="O136">
        <f t="shared" si="12"/>
        <v>323854.66034755122</v>
      </c>
      <c r="P136">
        <f t="shared" si="13"/>
        <v>31832543.443917841</v>
      </c>
      <c r="Q136">
        <f t="shared" si="13"/>
        <v>1421169.5040710573</v>
      </c>
      <c r="R136">
        <f t="shared" si="14"/>
        <v>46632124.352331571</v>
      </c>
      <c r="S136">
        <f t="shared" si="14"/>
        <v>38690.476190476198</v>
      </c>
      <c r="T136">
        <f t="shared" si="19"/>
        <v>13095238.095238099</v>
      </c>
      <c r="U136">
        <f t="shared" si="20"/>
        <v>1587.3015873015881</v>
      </c>
      <c r="V136">
        <f t="shared" si="21"/>
        <v>53791887.125220485</v>
      </c>
    </row>
    <row r="137" spans="1:30" x14ac:dyDescent="0.2">
      <c r="D137" s="19" t="s">
        <v>239</v>
      </c>
      <c r="E137">
        <f t="shared" si="15"/>
        <v>293427230.04694831</v>
      </c>
      <c r="G137">
        <f t="shared" si="16"/>
        <v>119322033.89830512</v>
      </c>
      <c r="H137">
        <f t="shared" si="17"/>
        <v>223728813.55932209</v>
      </c>
      <c r="I137">
        <f t="shared" si="18"/>
        <v>18031496.062992141</v>
      </c>
      <c r="J137">
        <f t="shared" si="10"/>
        <v>559055118.11023664</v>
      </c>
      <c r="K137">
        <f t="shared" si="10"/>
        <v>1821120.6896551726</v>
      </c>
      <c r="L137">
        <f t="shared" si="11"/>
        <v>32327586.206896555</v>
      </c>
      <c r="M137">
        <f t="shared" si="11"/>
        <v>33898.305084745756</v>
      </c>
      <c r="N137">
        <f t="shared" si="12"/>
        <v>1231638.4180790957</v>
      </c>
      <c r="O137">
        <f t="shared" si="12"/>
        <v>0</v>
      </c>
      <c r="P137">
        <f t="shared" si="13"/>
        <v>10193548.387096787</v>
      </c>
      <c r="Q137">
        <f t="shared" si="13"/>
        <v>155.64202334630357</v>
      </c>
      <c r="R137">
        <f t="shared" si="14"/>
        <v>108949416.3424125</v>
      </c>
      <c r="S137">
        <f t="shared" si="14"/>
        <v>120.19230769230762</v>
      </c>
      <c r="T137">
        <f t="shared" si="19"/>
        <v>346153.84615384595</v>
      </c>
      <c r="U137">
        <f t="shared" si="20"/>
        <v>118.90606420927475</v>
      </c>
      <c r="V137">
        <f t="shared" si="21"/>
        <v>2485136.741973842</v>
      </c>
    </row>
    <row r="138" spans="1:30" x14ac:dyDescent="0.2">
      <c r="A138" s="10"/>
      <c r="B138" s="10"/>
      <c r="C138" s="10"/>
      <c r="D138" s="20" t="s">
        <v>240</v>
      </c>
      <c r="E138" s="10">
        <f t="shared" si="15"/>
        <v>327628361.85819077</v>
      </c>
      <c r="F138" s="10"/>
      <c r="G138">
        <f t="shared" si="16"/>
        <v>185855263.15789467</v>
      </c>
      <c r="H138">
        <f t="shared" si="17"/>
        <v>78124999.99999997</v>
      </c>
      <c r="I138" s="10">
        <f t="shared" si="18"/>
        <v>493788819.87577629</v>
      </c>
      <c r="J138" s="10">
        <f t="shared" si="10"/>
        <v>2795031.0559006208</v>
      </c>
      <c r="K138" s="10">
        <f t="shared" si="10"/>
        <v>1909492.2737306841</v>
      </c>
      <c r="L138" s="10">
        <f t="shared" si="11"/>
        <v>16445916.114790285</v>
      </c>
      <c r="M138" s="10">
        <f t="shared" si="11"/>
        <v>180000000.00000006</v>
      </c>
      <c r="N138" s="10">
        <f t="shared" si="12"/>
        <v>10736842.105263161</v>
      </c>
      <c r="O138" s="10">
        <f t="shared" si="12"/>
        <v>516949.1525423734</v>
      </c>
      <c r="P138" s="10">
        <f t="shared" si="13"/>
        <v>347457.62711864442</v>
      </c>
      <c r="Q138" s="10">
        <f t="shared" si="13"/>
        <v>583.3333333333328</v>
      </c>
      <c r="R138" s="10">
        <f t="shared" si="14"/>
        <v>60833.333333333278</v>
      </c>
      <c r="S138">
        <f t="shared" si="14"/>
        <v>457.14285714285762</v>
      </c>
      <c r="T138">
        <f t="shared" si="19"/>
        <v>221714.28571428594</v>
      </c>
      <c r="U138">
        <f t="shared" si="20"/>
        <v>109.89010989010993</v>
      </c>
      <c r="V138" s="10">
        <f t="shared" si="21"/>
        <v>527472.5274725277</v>
      </c>
      <c r="W138" s="10"/>
      <c r="X138" s="10"/>
      <c r="Y138" s="10"/>
      <c r="Z138" s="10"/>
      <c r="AA138" s="10"/>
      <c r="AB138" s="10"/>
      <c r="AC138" s="10"/>
      <c r="AD138" s="10"/>
    </row>
    <row r="139" spans="1:30" x14ac:dyDescent="0.2">
      <c r="D139" s="21" t="s">
        <v>241</v>
      </c>
      <c r="E139">
        <f t="shared" si="15"/>
        <v>21335168.616655216</v>
      </c>
      <c r="G139">
        <f t="shared" si="16"/>
        <v>234657039.71119133</v>
      </c>
      <c r="H139">
        <f t="shared" si="17"/>
        <v>20036101.083032489</v>
      </c>
      <c r="I139">
        <f t="shared" si="18"/>
        <v>163934426.22950813</v>
      </c>
      <c r="J139">
        <f t="shared" ref="J139:K154" si="22">J102/G66</f>
        <v>1601513.2408575024</v>
      </c>
      <c r="K139">
        <f t="shared" si="22"/>
        <v>78175895.765472248</v>
      </c>
      <c r="L139">
        <f t="shared" ref="L139:M154" si="23">L102/H66</f>
        <v>108.57763300760035</v>
      </c>
      <c r="M139">
        <f t="shared" si="23"/>
        <v>55932203.389830455</v>
      </c>
      <c r="N139">
        <f t="shared" ref="N139:O154" si="24">N102/I66</f>
        <v>1161016.9491525413</v>
      </c>
      <c r="O139">
        <f t="shared" si="24"/>
        <v>58883248.730964445</v>
      </c>
      <c r="P139">
        <f t="shared" ref="P139:Q154" si="25">P102/J66</f>
        <v>9543147.208121825</v>
      </c>
      <c r="Q139">
        <f t="shared" si="25"/>
        <v>49210770.659238614</v>
      </c>
      <c r="R139">
        <f t="shared" ref="R139:S154" si="26">R102/K66</f>
        <v>9749303.6211699154</v>
      </c>
      <c r="S139">
        <f t="shared" si="26"/>
        <v>13164349.959116917</v>
      </c>
      <c r="T139">
        <f t="shared" si="19"/>
        <v>891251.0220768596</v>
      </c>
      <c r="U139">
        <f t="shared" si="20"/>
        <v>2132752.9923830228</v>
      </c>
      <c r="V139">
        <f t="shared" si="21"/>
        <v>2546245.9194776905</v>
      </c>
    </row>
    <row r="140" spans="1:30" x14ac:dyDescent="0.2">
      <c r="D140" s="21" t="s">
        <v>242</v>
      </c>
      <c r="E140">
        <f t="shared" si="15"/>
        <v>134052388.28967652</v>
      </c>
      <c r="G140">
        <f t="shared" si="16"/>
        <v>308668076.10993654</v>
      </c>
      <c r="H140">
        <f t="shared" si="17"/>
        <v>30655391.120507393</v>
      </c>
      <c r="I140">
        <f t="shared" ref="I140:I154" si="27">I103/G67</f>
        <v>8908406.5244667642</v>
      </c>
      <c r="J140">
        <f t="shared" si="22"/>
        <v>185696361.35508183</v>
      </c>
      <c r="K140">
        <f t="shared" si="22"/>
        <v>83524904.214559346</v>
      </c>
      <c r="L140">
        <f t="shared" si="23"/>
        <v>148659003.83141756</v>
      </c>
      <c r="M140">
        <f t="shared" si="23"/>
        <v>23791250.959324621</v>
      </c>
      <c r="N140">
        <f t="shared" si="24"/>
        <v>27628549.501151171</v>
      </c>
      <c r="O140">
        <f t="shared" si="24"/>
        <v>6573426.5734265726</v>
      </c>
      <c r="P140">
        <f t="shared" si="25"/>
        <v>58741258.741258733</v>
      </c>
      <c r="Q140">
        <f t="shared" si="25"/>
        <v>682926.82926829322</v>
      </c>
      <c r="R140">
        <f t="shared" si="26"/>
        <v>37073170.731707342</v>
      </c>
      <c r="S140">
        <f t="shared" si="26"/>
        <v>7058.8235294117621</v>
      </c>
      <c r="T140">
        <f t="shared" si="19"/>
        <v>4434389.1402714914</v>
      </c>
      <c r="U140">
        <f t="shared" si="20"/>
        <v>106.83760683760681</v>
      </c>
      <c r="V140">
        <f t="shared" si="21"/>
        <v>7478632.4786324771</v>
      </c>
    </row>
    <row r="141" spans="1:30" x14ac:dyDescent="0.2">
      <c r="D141" s="21" t="s">
        <v>243</v>
      </c>
      <c r="E141">
        <f t="shared" si="15"/>
        <v>322170900.69284099</v>
      </c>
      <c r="G141">
        <f t="shared" si="16"/>
        <v>297262059.9739244</v>
      </c>
      <c r="H141">
        <f t="shared" si="17"/>
        <v>129074315.5149935</v>
      </c>
      <c r="I141">
        <f t="shared" si="27"/>
        <v>19261477.045908172</v>
      </c>
      <c r="J141">
        <f t="shared" si="22"/>
        <v>292415169.66067845</v>
      </c>
      <c r="K141">
        <f t="shared" si="22"/>
        <v>5351521.5110178357</v>
      </c>
      <c r="L141">
        <f t="shared" si="23"/>
        <v>318992654.77439648</v>
      </c>
      <c r="M141">
        <f t="shared" si="23"/>
        <v>4912280.7017543865</v>
      </c>
      <c r="N141">
        <f t="shared" si="24"/>
        <v>225438596.4912281</v>
      </c>
      <c r="O141">
        <f t="shared" si="24"/>
        <v>107658.15760266362</v>
      </c>
      <c r="P141">
        <f t="shared" si="25"/>
        <v>8768035.5160932224</v>
      </c>
      <c r="Q141">
        <f t="shared" si="25"/>
        <v>15291529.152915295</v>
      </c>
      <c r="R141">
        <f t="shared" si="26"/>
        <v>88008800.880088031</v>
      </c>
      <c r="S141">
        <f t="shared" si="26"/>
        <v>18021.97802197803</v>
      </c>
      <c r="T141">
        <f t="shared" si="19"/>
        <v>15604395.604395609</v>
      </c>
      <c r="U141">
        <f t="shared" si="20"/>
        <v>18962.722852512128</v>
      </c>
      <c r="V141">
        <f t="shared" si="21"/>
        <v>1102106.969205833</v>
      </c>
    </row>
    <row r="142" spans="1:30" x14ac:dyDescent="0.2">
      <c r="D142" s="21" t="s">
        <v>244</v>
      </c>
      <c r="E142">
        <f t="shared" si="15"/>
        <v>1603960396.0396042</v>
      </c>
      <c r="G142">
        <f t="shared" si="16"/>
        <v>188340807.17488769</v>
      </c>
      <c r="H142">
        <f t="shared" si="17"/>
        <v>98654708.520179272</v>
      </c>
      <c r="I142">
        <f t="shared" si="27"/>
        <v>124006359.30047703</v>
      </c>
      <c r="J142">
        <f t="shared" si="22"/>
        <v>321144674.08585078</v>
      </c>
      <c r="K142">
        <f t="shared" si="22"/>
        <v>152080344.33285514</v>
      </c>
      <c r="L142">
        <f t="shared" si="23"/>
        <v>427546628.40746063</v>
      </c>
      <c r="M142">
        <f t="shared" si="23"/>
        <v>126984126.98412716</v>
      </c>
      <c r="N142">
        <f t="shared" si="24"/>
        <v>228835978.83597916</v>
      </c>
      <c r="O142">
        <f t="shared" si="24"/>
        <v>90683229.813664585</v>
      </c>
      <c r="P142">
        <f t="shared" si="25"/>
        <v>114285714.28571427</v>
      </c>
      <c r="Q142">
        <f t="shared" si="25"/>
        <v>78843626.806833178</v>
      </c>
      <c r="R142">
        <f t="shared" si="26"/>
        <v>23390275.952693842</v>
      </c>
      <c r="S142">
        <f t="shared" si="26"/>
        <v>1043723.5543018341</v>
      </c>
      <c r="T142">
        <f t="shared" si="19"/>
        <v>225669.95768688305</v>
      </c>
      <c r="U142">
        <f t="shared" si="20"/>
        <v>2439.024390243907</v>
      </c>
      <c r="V142">
        <f t="shared" si="21"/>
        <v>1349593.4959349618</v>
      </c>
    </row>
    <row r="143" spans="1:30" x14ac:dyDescent="0.2">
      <c r="D143" s="21" t="s">
        <v>245</v>
      </c>
      <c r="E143">
        <f t="shared" si="15"/>
        <v>655870445.3441298</v>
      </c>
      <c r="G143">
        <f t="shared" si="16"/>
        <v>364820846.90553761</v>
      </c>
      <c r="H143">
        <f t="shared" si="17"/>
        <v>360477741.58523363</v>
      </c>
      <c r="I143">
        <f t="shared" si="27"/>
        <v>14389652.384801948</v>
      </c>
      <c r="J143">
        <f t="shared" si="22"/>
        <v>331447049.31285387</v>
      </c>
      <c r="K143">
        <f t="shared" si="22"/>
        <v>67333939.945404917</v>
      </c>
      <c r="L143">
        <f t="shared" si="23"/>
        <v>238398544.13102821</v>
      </c>
      <c r="M143">
        <f t="shared" si="23"/>
        <v>17031630.170316312</v>
      </c>
      <c r="N143">
        <f t="shared" si="24"/>
        <v>74209245.742092505</v>
      </c>
      <c r="O143">
        <f t="shared" si="24"/>
        <v>6120218.5792349707</v>
      </c>
      <c r="P143">
        <f t="shared" si="25"/>
        <v>10382513.661202183</v>
      </c>
      <c r="Q143">
        <f t="shared" si="25"/>
        <v>1125541.1255411252</v>
      </c>
      <c r="R143">
        <f t="shared" si="26"/>
        <v>122077922.07792203</v>
      </c>
      <c r="S143">
        <f t="shared" si="26"/>
        <v>95238.095238095149</v>
      </c>
      <c r="T143">
        <f t="shared" si="19"/>
        <v>197619047.61904743</v>
      </c>
      <c r="U143">
        <f t="shared" si="20"/>
        <v>37606.837606837609</v>
      </c>
      <c r="V143">
        <f t="shared" si="21"/>
        <v>291452991.45299149</v>
      </c>
    </row>
    <row r="144" spans="1:30" x14ac:dyDescent="0.2">
      <c r="D144" s="21" t="s">
        <v>246</v>
      </c>
      <c r="E144">
        <f t="shared" si="15"/>
        <v>336945812.80788201</v>
      </c>
      <c r="G144">
        <f t="shared" si="16"/>
        <v>386792452.83018917</v>
      </c>
      <c r="H144">
        <f t="shared" si="17"/>
        <v>146226415.09433979</v>
      </c>
      <c r="I144">
        <f t="shared" si="27"/>
        <v>171458998.93503731</v>
      </c>
      <c r="J144">
        <f t="shared" si="22"/>
        <v>453674121.40575087</v>
      </c>
      <c r="K144">
        <f t="shared" si="22"/>
        <v>6220095.6937799063</v>
      </c>
      <c r="L144">
        <f t="shared" si="23"/>
        <v>177033492.82296658</v>
      </c>
      <c r="M144">
        <f t="shared" si="23"/>
        <v>45951859.956236288</v>
      </c>
      <c r="N144">
        <f t="shared" si="24"/>
        <v>183078045.22246522</v>
      </c>
      <c r="O144">
        <f t="shared" si="24"/>
        <v>260485651.21412799</v>
      </c>
      <c r="P144">
        <f t="shared" si="25"/>
        <v>5077262.6931567322</v>
      </c>
      <c r="Q144">
        <f t="shared" si="25"/>
        <v>59372349.448685326</v>
      </c>
      <c r="R144">
        <f t="shared" si="26"/>
        <v>55979643.765903309</v>
      </c>
      <c r="S144">
        <f t="shared" si="26"/>
        <v>15576036.866359441</v>
      </c>
      <c r="T144">
        <f t="shared" si="19"/>
        <v>53456221.198156662</v>
      </c>
      <c r="U144">
        <f t="shared" si="20"/>
        <v>50367261.280167863</v>
      </c>
      <c r="V144">
        <f t="shared" si="21"/>
        <v>161594963.2738719</v>
      </c>
    </row>
    <row r="145" spans="1:30" x14ac:dyDescent="0.2">
      <c r="C145" s="26"/>
      <c r="D145" s="21" t="s">
        <v>247</v>
      </c>
      <c r="E145">
        <f t="shared" si="15"/>
        <v>324486301.36986297</v>
      </c>
      <c r="G145">
        <f t="shared" si="16"/>
        <v>179470198.67549679</v>
      </c>
      <c r="H145">
        <f t="shared" si="17"/>
        <v>23841059.602649022</v>
      </c>
      <c r="I145">
        <f t="shared" si="27"/>
        <v>159699892.81886381</v>
      </c>
      <c r="J145">
        <f t="shared" si="22"/>
        <v>36441586.280814558</v>
      </c>
      <c r="K145">
        <f t="shared" si="22"/>
        <v>96570397.111913443</v>
      </c>
      <c r="L145">
        <f t="shared" si="23"/>
        <v>240974729.24187747</v>
      </c>
      <c r="M145">
        <f t="shared" si="23"/>
        <v>130232558.13953482</v>
      </c>
      <c r="N145">
        <f t="shared" si="24"/>
        <v>66.445182724252462</v>
      </c>
      <c r="O145">
        <f t="shared" si="24"/>
        <v>28514056.224899612</v>
      </c>
      <c r="P145">
        <f t="shared" si="25"/>
        <v>0</v>
      </c>
      <c r="Q145">
        <f t="shared" si="25"/>
        <v>2727877.5781769776</v>
      </c>
      <c r="R145">
        <f t="shared" si="26"/>
        <v>3792.4151696606759</v>
      </c>
      <c r="S145">
        <f t="shared" si="26"/>
        <v>2347417.8403755901</v>
      </c>
      <c r="T145">
        <f t="shared" si="19"/>
        <v>1636485.5801475544</v>
      </c>
      <c r="U145">
        <f t="shared" si="20"/>
        <v>1822429.9065420558</v>
      </c>
      <c r="V145">
        <f t="shared" si="21"/>
        <v>171728971.9626168</v>
      </c>
    </row>
    <row r="146" spans="1:30" x14ac:dyDescent="0.2">
      <c r="A146" s="10"/>
      <c r="B146" s="10"/>
      <c r="C146" s="10"/>
      <c r="D146" s="22" t="s">
        <v>248</v>
      </c>
      <c r="E146" s="10">
        <f t="shared" si="15"/>
        <v>283095723.01425642</v>
      </c>
      <c r="F146" s="10"/>
      <c r="G146">
        <f t="shared" si="16"/>
        <v>218879668.04979268</v>
      </c>
      <c r="H146">
        <f t="shared" si="17"/>
        <v>152489626.55601671</v>
      </c>
      <c r="I146" s="10">
        <f t="shared" si="27"/>
        <v>36572622.779519372</v>
      </c>
      <c r="J146" s="10">
        <f t="shared" si="22"/>
        <v>373040752.35109758</v>
      </c>
      <c r="K146" s="10">
        <f t="shared" si="22"/>
        <v>4242424.2424242478</v>
      </c>
      <c r="L146" s="10">
        <f t="shared" si="23"/>
        <v>372727272.72727323</v>
      </c>
      <c r="M146" s="10">
        <f t="shared" si="23"/>
        <v>673222.39031770115</v>
      </c>
      <c r="N146" s="10">
        <f t="shared" si="24"/>
        <v>185325264.7503784</v>
      </c>
      <c r="O146" s="10">
        <f t="shared" si="24"/>
        <v>73543.457497612209</v>
      </c>
      <c r="P146" s="10">
        <f t="shared" si="25"/>
        <v>170009551.09837627</v>
      </c>
      <c r="Q146" s="10">
        <f t="shared" si="25"/>
        <v>54030.115146147087</v>
      </c>
      <c r="R146" s="10">
        <f t="shared" si="26"/>
        <v>111603188.66253333</v>
      </c>
      <c r="S146">
        <f t="shared" si="26"/>
        <v>61036.789297658841</v>
      </c>
      <c r="T146">
        <f t="shared" si="19"/>
        <v>39297658.862876244</v>
      </c>
      <c r="U146">
        <f t="shared" si="20"/>
        <v>20984.66505246166</v>
      </c>
      <c r="V146" s="10">
        <f t="shared" si="21"/>
        <v>115415657.78853914</v>
      </c>
      <c r="W146" s="10"/>
      <c r="X146" s="10"/>
      <c r="Y146" s="10"/>
      <c r="Z146" s="10"/>
      <c r="AA146" s="10"/>
      <c r="AB146" s="10"/>
      <c r="AC146" s="10"/>
      <c r="AD146" s="10"/>
    </row>
    <row r="147" spans="1:30" x14ac:dyDescent="0.2">
      <c r="C147" s="25"/>
      <c r="D147" s="23" t="s">
        <v>249</v>
      </c>
      <c r="E147">
        <f t="shared" si="15"/>
        <v>297202797.20279735</v>
      </c>
      <c r="G147">
        <f t="shared" si="16"/>
        <v>185589519.650655</v>
      </c>
      <c r="H147">
        <f t="shared" si="17"/>
        <v>109.17030567685588</v>
      </c>
      <c r="I147">
        <f t="shared" si="27"/>
        <v>77407740.774077505</v>
      </c>
      <c r="J147">
        <f t="shared" si="22"/>
        <v>1800.1800180018024</v>
      </c>
      <c r="K147">
        <f t="shared" si="22"/>
        <v>29015544.041450769</v>
      </c>
      <c r="L147">
        <f t="shared" si="23"/>
        <v>2072.5388601036261</v>
      </c>
      <c r="M147">
        <f t="shared" si="23"/>
        <v>741206.03015075368</v>
      </c>
      <c r="N147">
        <f t="shared" si="24"/>
        <v>0</v>
      </c>
      <c r="O147">
        <f t="shared" si="24"/>
        <v>1376.1467889908265</v>
      </c>
      <c r="P147">
        <f t="shared" si="25"/>
        <v>688.07339449541325</v>
      </c>
      <c r="Q147">
        <f t="shared" si="25"/>
        <v>565.61085972850663</v>
      </c>
      <c r="R147">
        <f t="shared" si="26"/>
        <v>1018.0995475113118</v>
      </c>
      <c r="S147">
        <f t="shared" si="26"/>
        <v>0</v>
      </c>
      <c r="T147">
        <f t="shared" si="19"/>
        <v>116.68611435239207</v>
      </c>
      <c r="U147">
        <f t="shared" si="20"/>
        <v>150.60240963855418</v>
      </c>
      <c r="V147">
        <f t="shared" si="21"/>
        <v>6174.6987951807214</v>
      </c>
    </row>
    <row r="148" spans="1:30" x14ac:dyDescent="0.2">
      <c r="D148" s="23" t="s">
        <v>250</v>
      </c>
      <c r="E148">
        <f t="shared" si="15"/>
        <v>354144241.11948341</v>
      </c>
      <c r="G148">
        <f t="shared" si="16"/>
        <v>234482758.62068987</v>
      </c>
      <c r="H148">
        <f t="shared" si="17"/>
        <v>169905956.11285281</v>
      </c>
      <c r="I148">
        <f t="shared" si="27"/>
        <v>291366906.47482002</v>
      </c>
      <c r="J148">
        <f t="shared" si="22"/>
        <v>599.52038369304535</v>
      </c>
      <c r="K148">
        <f t="shared" si="22"/>
        <v>277889111.55644631</v>
      </c>
      <c r="L148">
        <f t="shared" si="23"/>
        <v>3807.6152304609232</v>
      </c>
      <c r="M148">
        <f t="shared" si="23"/>
        <v>277173913.04347849</v>
      </c>
      <c r="N148">
        <f t="shared" si="24"/>
        <v>58423.913043478307</v>
      </c>
      <c r="O148">
        <f t="shared" si="24"/>
        <v>201802507.83699048</v>
      </c>
      <c r="P148">
        <f t="shared" si="25"/>
        <v>20572.100313479612</v>
      </c>
      <c r="Q148">
        <f t="shared" si="25"/>
        <v>46743295.019157067</v>
      </c>
      <c r="R148">
        <f t="shared" si="26"/>
        <v>114176.24521072791</v>
      </c>
      <c r="S148">
        <f t="shared" si="26"/>
        <v>8804108.5840058774</v>
      </c>
      <c r="T148">
        <f t="shared" si="19"/>
        <v>129860.6016140867</v>
      </c>
      <c r="U148">
        <f>U111/M75</f>
        <v>2312599.6810207344</v>
      </c>
      <c r="V148">
        <f t="shared" si="21"/>
        <v>4226.4752791068595</v>
      </c>
    </row>
    <row r="149" spans="1:30" x14ac:dyDescent="0.2">
      <c r="D149" s="23" t="s">
        <v>251</v>
      </c>
      <c r="E149">
        <f t="shared" si="15"/>
        <v>327790973.87173378</v>
      </c>
      <c r="G149">
        <f t="shared" si="16"/>
        <v>308438409.31134832</v>
      </c>
      <c r="H149">
        <f t="shared" si="17"/>
        <v>42677012.609117374</v>
      </c>
      <c r="I149">
        <f t="shared" si="27"/>
        <v>250507099.39148095</v>
      </c>
      <c r="J149">
        <f t="shared" si="22"/>
        <v>1217.0385395537537</v>
      </c>
      <c r="K149">
        <f t="shared" si="22"/>
        <v>40435458.786936253</v>
      </c>
      <c r="L149">
        <f t="shared" si="23"/>
        <v>0</v>
      </c>
      <c r="M149">
        <f t="shared" si="23"/>
        <v>29211956.521739151</v>
      </c>
      <c r="N149">
        <f t="shared" si="24"/>
        <v>0</v>
      </c>
      <c r="O149">
        <f t="shared" si="24"/>
        <v>10624417.520969238</v>
      </c>
      <c r="P149">
        <f t="shared" si="25"/>
        <v>0</v>
      </c>
      <c r="Q149">
        <f t="shared" si="25"/>
        <v>1087216.2485065712</v>
      </c>
      <c r="R149">
        <f t="shared" si="26"/>
        <v>0</v>
      </c>
      <c r="S149">
        <f t="shared" si="26"/>
        <v>2807.5970272502068</v>
      </c>
      <c r="T149">
        <f t="shared" si="19"/>
        <v>82.57638315441784</v>
      </c>
      <c r="U149">
        <f t="shared" si="20"/>
        <v>210.30494216614099</v>
      </c>
      <c r="V149">
        <v>1</v>
      </c>
    </row>
    <row r="150" spans="1:30" x14ac:dyDescent="0.2">
      <c r="D150" s="23" t="s">
        <v>252</v>
      </c>
      <c r="E150">
        <f t="shared" si="15"/>
        <v>413319238.90063417</v>
      </c>
      <c r="G150">
        <f t="shared" si="16"/>
        <v>320799059.92949486</v>
      </c>
      <c r="H150">
        <f t="shared" si="17"/>
        <v>197414806.1104584</v>
      </c>
      <c r="I150">
        <f t="shared" si="27"/>
        <v>248066627.00773346</v>
      </c>
      <c r="J150">
        <f t="shared" si="22"/>
        <v>1249.2563950029742</v>
      </c>
      <c r="K150">
        <f t="shared" si="22"/>
        <v>219493476.59247893</v>
      </c>
      <c r="L150">
        <f t="shared" si="23"/>
        <v>0</v>
      </c>
      <c r="M150">
        <f t="shared" si="23"/>
        <v>8025830.2583025796</v>
      </c>
      <c r="N150">
        <f t="shared" si="24"/>
        <v>0</v>
      </c>
      <c r="O150">
        <f t="shared" si="24"/>
        <v>87436.332767402448</v>
      </c>
      <c r="P150">
        <f t="shared" si="25"/>
        <v>0</v>
      </c>
      <c r="Q150">
        <f t="shared" si="25"/>
        <v>0</v>
      </c>
      <c r="R150">
        <f t="shared" si="26"/>
        <v>0</v>
      </c>
      <c r="S150">
        <f t="shared" si="26"/>
        <v>174.06440382941688</v>
      </c>
      <c r="T150">
        <f t="shared" si="19"/>
        <v>87.032201914708438</v>
      </c>
      <c r="U150">
        <f t="shared" si="20"/>
        <v>187.96992481202997</v>
      </c>
      <c r="V150">
        <v>1</v>
      </c>
    </row>
    <row r="151" spans="1:30" x14ac:dyDescent="0.2">
      <c r="D151" s="23" t="s">
        <v>253</v>
      </c>
      <c r="E151">
        <f t="shared" si="15"/>
        <v>222626079.05497506</v>
      </c>
      <c r="G151">
        <f t="shared" si="16"/>
        <v>230313293.81879744</v>
      </c>
      <c r="H151">
        <f t="shared" si="17"/>
        <v>396274343.77646029</v>
      </c>
      <c r="I151">
        <f t="shared" si="27"/>
        <v>284552845.52845502</v>
      </c>
      <c r="J151">
        <f t="shared" si="22"/>
        <v>8455284.5528455209</v>
      </c>
      <c r="K151">
        <f t="shared" si="22"/>
        <v>71060762.10092698</v>
      </c>
      <c r="L151">
        <f t="shared" si="23"/>
        <v>0</v>
      </c>
      <c r="M151">
        <f t="shared" si="23"/>
        <v>48103607.770582803</v>
      </c>
      <c r="N151">
        <f t="shared" si="24"/>
        <v>9898.2423681776163</v>
      </c>
      <c r="O151">
        <f t="shared" si="24"/>
        <v>1983640.081799591</v>
      </c>
      <c r="P151">
        <f t="shared" si="25"/>
        <v>33742.331288343557</v>
      </c>
      <c r="Q151">
        <f t="shared" si="25"/>
        <v>243710.69182389919</v>
      </c>
      <c r="R151">
        <f t="shared" si="26"/>
        <v>187106.91823899359</v>
      </c>
      <c r="S151">
        <f t="shared" si="26"/>
        <v>6887.5326939843053</v>
      </c>
      <c r="T151">
        <f t="shared" si="19"/>
        <v>319093.28683522227</v>
      </c>
      <c r="U151">
        <f t="shared" si="20"/>
        <v>5550.0495540138754</v>
      </c>
      <c r="V151">
        <f t="shared" si="21"/>
        <v>7333994.0535183353</v>
      </c>
    </row>
    <row r="152" spans="1:30" x14ac:dyDescent="0.2">
      <c r="D152" s="23" t="s">
        <v>254</v>
      </c>
      <c r="E152">
        <f t="shared" si="15"/>
        <v>176899696.04863212</v>
      </c>
      <c r="G152">
        <f t="shared" si="16"/>
        <v>92847317.744154006</v>
      </c>
      <c r="H152">
        <f t="shared" si="17"/>
        <v>14099037.138927089</v>
      </c>
      <c r="I152">
        <f t="shared" si="27"/>
        <v>8339889.8505114093</v>
      </c>
      <c r="J152">
        <f t="shared" si="22"/>
        <v>0</v>
      </c>
      <c r="K152">
        <f t="shared" si="22"/>
        <v>12147505.422993485</v>
      </c>
      <c r="L152">
        <f t="shared" si="23"/>
        <v>0</v>
      </c>
      <c r="M152">
        <f t="shared" si="23"/>
        <v>18101933.216168717</v>
      </c>
      <c r="N152">
        <f t="shared" si="24"/>
        <v>0</v>
      </c>
      <c r="O152">
        <f t="shared" si="24"/>
        <v>963096.30963096232</v>
      </c>
      <c r="P152">
        <f t="shared" si="25"/>
        <v>0</v>
      </c>
      <c r="Q152">
        <f t="shared" si="25"/>
        <v>12628255.722178381</v>
      </c>
      <c r="R152">
        <f t="shared" si="26"/>
        <v>315.70639305445957</v>
      </c>
      <c r="S152">
        <f t="shared" si="26"/>
        <v>1532416.5029469565</v>
      </c>
      <c r="T152">
        <f t="shared" si="19"/>
        <v>98.231827111984387</v>
      </c>
      <c r="U152">
        <f t="shared" si="20"/>
        <v>388967.46817538905</v>
      </c>
      <c r="V152">
        <f t="shared" si="21"/>
        <v>141.44271570014146</v>
      </c>
    </row>
    <row r="153" spans="1:30" x14ac:dyDescent="0.2">
      <c r="D153" s="23" t="s">
        <v>255</v>
      </c>
      <c r="E153">
        <f t="shared" si="15"/>
        <v>25157232.704402521</v>
      </c>
      <c r="G153">
        <f t="shared" si="16"/>
        <v>176274.94456762739</v>
      </c>
      <c r="H153">
        <f t="shared" si="17"/>
        <v>9534368.0709534306</v>
      </c>
      <c r="I153">
        <f t="shared" si="27"/>
        <v>673896.20449264196</v>
      </c>
      <c r="J153">
        <f t="shared" si="22"/>
        <v>31758326.878388874</v>
      </c>
      <c r="K153">
        <f t="shared" si="22"/>
        <v>1024590.1639344272</v>
      </c>
      <c r="L153">
        <f t="shared" si="23"/>
        <v>48360655.737704962</v>
      </c>
      <c r="M153">
        <f t="shared" si="23"/>
        <v>7419354.8387096794</v>
      </c>
      <c r="N153">
        <f t="shared" si="24"/>
        <v>47311827.956989259</v>
      </c>
      <c r="O153">
        <f t="shared" si="24"/>
        <v>664556.96202531573</v>
      </c>
      <c r="P153">
        <f t="shared" si="25"/>
        <v>13080168.776371293</v>
      </c>
      <c r="Q153">
        <f t="shared" si="25"/>
        <v>6521.7391304347857</v>
      </c>
      <c r="R153">
        <f t="shared" si="26"/>
        <v>12648221.343873523</v>
      </c>
      <c r="S153">
        <f t="shared" si="26"/>
        <v>75.018754688672189</v>
      </c>
      <c r="T153">
        <f t="shared" si="19"/>
        <v>555138.7846961742</v>
      </c>
      <c r="U153">
        <f>U116/M80</f>
        <v>123.00123001230023</v>
      </c>
      <c r="V153">
        <f t="shared" si="21"/>
        <v>9225092.2509225179</v>
      </c>
    </row>
    <row r="154" spans="1:30" x14ac:dyDescent="0.2">
      <c r="C154" s="26"/>
      <c r="D154" s="23" t="s">
        <v>256</v>
      </c>
      <c r="E154">
        <f t="shared" si="15"/>
        <v>183631361.76066029</v>
      </c>
      <c r="G154">
        <f t="shared" si="16"/>
        <v>85039370.07874015</v>
      </c>
      <c r="H154">
        <f t="shared" si="17"/>
        <v>177952755.9055118</v>
      </c>
      <c r="I154">
        <f t="shared" si="27"/>
        <v>187866927.59295499</v>
      </c>
      <c r="J154">
        <f t="shared" si="22"/>
        <v>189171.55903457274</v>
      </c>
      <c r="K154">
        <f t="shared" si="22"/>
        <v>64781021.897810265</v>
      </c>
      <c r="L154">
        <f t="shared" si="23"/>
        <v>1824.8175182481766</v>
      </c>
      <c r="M154">
        <f t="shared" si="23"/>
        <v>26901669.758812588</v>
      </c>
      <c r="N154">
        <f t="shared" si="24"/>
        <v>435992.57884972123</v>
      </c>
      <c r="O154">
        <f t="shared" si="24"/>
        <v>5451127.8195488695</v>
      </c>
      <c r="P154">
        <f t="shared" si="25"/>
        <v>9116541.3533834536</v>
      </c>
      <c r="Q154">
        <f t="shared" si="25"/>
        <v>2185215.2721364745</v>
      </c>
      <c r="R154">
        <f t="shared" si="26"/>
        <v>8042242.0796100739</v>
      </c>
      <c r="S154">
        <f t="shared" si="26"/>
        <v>8309.0379008746422</v>
      </c>
      <c r="T154">
        <f t="shared" si="19"/>
        <v>1020408.1632653071</v>
      </c>
      <c r="U154">
        <f t="shared" si="20"/>
        <v>594.05940594059416</v>
      </c>
      <c r="V154">
        <f t="shared" si="21"/>
        <v>6732673.267326734</v>
      </c>
    </row>
    <row r="159" spans="1:30" x14ac:dyDescent="0.2">
      <c r="A159" t="s">
        <v>269</v>
      </c>
      <c r="E159" t="s">
        <v>348</v>
      </c>
      <c r="F159" t="s">
        <v>218</v>
      </c>
      <c r="G159" t="s">
        <v>0</v>
      </c>
      <c r="H159" t="s">
        <v>1</v>
      </c>
      <c r="I159" t="s">
        <v>222</v>
      </c>
      <c r="J159" t="s">
        <v>2</v>
      </c>
      <c r="K159" t="s">
        <v>225</v>
      </c>
      <c r="L159" t="s">
        <v>3</v>
      </c>
      <c r="M159" t="s">
        <v>228</v>
      </c>
    </row>
    <row r="160" spans="1:30" x14ac:dyDescent="0.2">
      <c r="D160" s="17" t="s">
        <v>5</v>
      </c>
      <c r="E160" s="24"/>
      <c r="F160" s="28">
        <f>H123/H123</f>
        <v>1</v>
      </c>
      <c r="G160" s="28">
        <f>J123/H123</f>
        <v>15.763411951606995</v>
      </c>
      <c r="H160" s="28">
        <f>L123/H123</f>
        <v>3.3569464259868096</v>
      </c>
      <c r="I160" s="28">
        <f>N123/H123</f>
        <v>14.020642739854571</v>
      </c>
      <c r="J160" s="28">
        <f>P123/H123</f>
        <v>1.8082770956988397</v>
      </c>
      <c r="K160" s="28">
        <f>R123/H123</f>
        <v>0.65627495226523269</v>
      </c>
      <c r="L160" s="28">
        <f>T123/H123</f>
        <v>2.9964280492135424</v>
      </c>
      <c r="M160" s="28">
        <f>V123/H123</f>
        <v>0.32978787574143004</v>
      </c>
    </row>
    <row r="161" spans="1:13" x14ac:dyDescent="0.2">
      <c r="D161" s="17" t="s">
        <v>6</v>
      </c>
      <c r="E161" s="24"/>
      <c r="F161" s="28">
        <f t="shared" ref="F161:F166" si="28">H124/H124</f>
        <v>1</v>
      </c>
      <c r="G161" s="28">
        <f>J124/H124</f>
        <v>4.3878032663079383</v>
      </c>
      <c r="H161" s="28">
        <f t="shared" ref="H161:H166" si="29">L124/H124</f>
        <v>3.2273743559832733</v>
      </c>
      <c r="I161" s="28">
        <f t="shared" ref="I161:I166" si="30">N124/H124</f>
        <v>6.115416582429174</v>
      </c>
      <c r="J161" s="28">
        <f t="shared" ref="J161:J166" si="31">P124/H124</f>
        <v>2.4110384894698558</v>
      </c>
      <c r="K161" s="28">
        <f t="shared" ref="K161:K166" si="32">R124/H124</f>
        <v>3.7296623159017122</v>
      </c>
      <c r="L161" s="28">
        <f t="shared" ref="L161:L166" si="33">T124/H124</f>
        <v>2.8425889799280313</v>
      </c>
      <c r="M161" s="28">
        <f>V124/H124</f>
        <v>8.3295154569452485</v>
      </c>
    </row>
    <row r="162" spans="1:13" x14ac:dyDescent="0.2">
      <c r="A162" s="25" t="s">
        <v>265</v>
      </c>
      <c r="C162" s="25"/>
      <c r="D162" s="17" t="s">
        <v>7</v>
      </c>
      <c r="E162" s="24"/>
      <c r="F162" s="28"/>
      <c r="G162" s="28"/>
      <c r="H162" s="28"/>
      <c r="I162" s="28"/>
      <c r="J162" s="28"/>
      <c r="K162" s="28"/>
      <c r="L162" s="28"/>
      <c r="M162" s="28"/>
    </row>
    <row r="163" spans="1:13" x14ac:dyDescent="0.2">
      <c r="D163" s="17" t="s">
        <v>8</v>
      </c>
      <c r="E163" s="24"/>
      <c r="F163" s="28">
        <f t="shared" si="28"/>
        <v>1</v>
      </c>
      <c r="G163" s="28">
        <f t="shared" ref="G163:G166" si="34">J126/H126</f>
        <v>1.2543658216362268</v>
      </c>
      <c r="H163" s="28">
        <f t="shared" si="29"/>
        <v>0.67129870213189169</v>
      </c>
      <c r="I163" s="28">
        <f t="shared" si="30"/>
        <v>1.3981410854027185</v>
      </c>
      <c r="J163" s="28">
        <f t="shared" si="31"/>
        <v>0.1831527136134018</v>
      </c>
      <c r="K163" s="28">
        <f t="shared" si="32"/>
        <v>0.35322964346519381</v>
      </c>
      <c r="L163" s="28">
        <f t="shared" si="33"/>
        <v>7.8366170643167948E-2</v>
      </c>
      <c r="M163" s="28">
        <f t="shared" ref="M163:M166" si="35">V126/H126</f>
        <v>4.1036013108664449E-2</v>
      </c>
    </row>
    <row r="164" spans="1:13" x14ac:dyDescent="0.2">
      <c r="D164" s="17" t="s">
        <v>9</v>
      </c>
      <c r="E164" s="24"/>
      <c r="F164" s="28">
        <f t="shared" si="28"/>
        <v>1</v>
      </c>
      <c r="G164" s="28">
        <f t="shared" si="34"/>
        <v>0</v>
      </c>
      <c r="H164" s="28">
        <f t="shared" si="29"/>
        <v>0</v>
      </c>
      <c r="I164" s="28">
        <f t="shared" si="30"/>
        <v>0</v>
      </c>
      <c r="J164" s="28">
        <f t="shared" si="31"/>
        <v>4.8024948024948068E-5</v>
      </c>
      <c r="K164" s="28">
        <f t="shared" si="32"/>
        <v>2.4389140271493263E-5</v>
      </c>
      <c r="L164" s="28">
        <f t="shared" si="33"/>
        <v>7.6134424106880176E-5</v>
      </c>
      <c r="M164" s="28">
        <f t="shared" si="35"/>
        <v>7.8165195460277596E-5</v>
      </c>
    </row>
    <row r="165" spans="1:13" x14ac:dyDescent="0.2">
      <c r="D165" s="17" t="s">
        <v>10</v>
      </c>
      <c r="E165" s="24"/>
      <c r="F165" s="28">
        <f t="shared" si="28"/>
        <v>1</v>
      </c>
      <c r="G165" s="28">
        <f t="shared" si="34"/>
        <v>10.296501096386702</v>
      </c>
      <c r="H165" s="28">
        <f t="shared" si="29"/>
        <v>0.68382352941176539</v>
      </c>
      <c r="I165" s="28">
        <f t="shared" si="30"/>
        <v>0.31351689612015043</v>
      </c>
      <c r="J165" s="28">
        <f t="shared" si="31"/>
        <v>2.0777706523640201E-2</v>
      </c>
      <c r="K165" s="28">
        <f t="shared" si="32"/>
        <v>7.1476137624861297E-2</v>
      </c>
      <c r="L165" s="28">
        <f t="shared" si="33"/>
        <v>0.11776183644189389</v>
      </c>
      <c r="M165" s="28">
        <f t="shared" si="35"/>
        <v>1.7539585870889185</v>
      </c>
    </row>
    <row r="166" spans="1:13" x14ac:dyDescent="0.2">
      <c r="D166" s="17" t="s">
        <v>11</v>
      </c>
      <c r="E166" s="24"/>
      <c r="F166" s="28">
        <f t="shared" si="28"/>
        <v>1</v>
      </c>
      <c r="G166" s="28">
        <f t="shared" si="34"/>
        <v>136.47895949374475</v>
      </c>
      <c r="H166" s="28">
        <f t="shared" si="29"/>
        <v>4.262925479093159</v>
      </c>
      <c r="I166" s="28">
        <f t="shared" si="30"/>
        <v>2.9660029562646715</v>
      </c>
      <c r="J166" s="28">
        <f t="shared" si="31"/>
        <v>0.49585991584091227</v>
      </c>
      <c r="K166" s="28">
        <f t="shared" si="32"/>
        <v>0.89231820282516527</v>
      </c>
      <c r="L166" s="28">
        <f t="shared" si="33"/>
        <v>0.20120467509673295</v>
      </c>
      <c r="M166" s="28">
        <f t="shared" si="35"/>
        <v>1.4860880503144662</v>
      </c>
    </row>
    <row r="167" spans="1:13" x14ac:dyDescent="0.2">
      <c r="A167" s="10"/>
      <c r="B167" s="10"/>
      <c r="C167" s="27"/>
      <c r="D167" s="18" t="s">
        <v>12</v>
      </c>
      <c r="E167" s="29"/>
      <c r="F167" s="30"/>
      <c r="G167" s="30"/>
      <c r="H167" s="30"/>
      <c r="I167" s="30"/>
      <c r="J167" s="30"/>
      <c r="K167" s="30"/>
      <c r="L167" s="30"/>
      <c r="M167" s="30"/>
    </row>
    <row r="168" spans="1:13" x14ac:dyDescent="0.2">
      <c r="C168" s="25"/>
      <c r="D168" s="19" t="s">
        <v>233</v>
      </c>
      <c r="E168" s="24"/>
      <c r="F168" s="28"/>
      <c r="G168" s="28"/>
      <c r="H168" s="28"/>
      <c r="I168" s="28"/>
      <c r="J168" s="28"/>
      <c r="K168" s="28"/>
      <c r="L168" s="28"/>
      <c r="M168" s="28"/>
    </row>
    <row r="169" spans="1:13" x14ac:dyDescent="0.2">
      <c r="D169" s="19" t="s">
        <v>234</v>
      </c>
      <c r="E169" s="24"/>
      <c r="F169" s="28">
        <f t="shared" ref="F169:F191" si="36">H132/H132</f>
        <v>1</v>
      </c>
      <c r="G169" s="28">
        <f t="shared" ref="G169:G191" si="37">J132/H132</f>
        <v>0.45155209089635406</v>
      </c>
      <c r="H169" s="28">
        <f t="shared" ref="H169:H191" si="38">L132/H132</f>
        <v>0.48263065436978547</v>
      </c>
      <c r="I169" s="28">
        <f t="shared" ref="I169:I191" si="39">N132/H132</f>
        <v>2.3205236724789816E-2</v>
      </c>
      <c r="J169" s="28">
        <f t="shared" ref="J169:J191" si="40">P132/H132</f>
        <v>5.367206743045673E-3</v>
      </c>
      <c r="K169" s="28">
        <f t="shared" ref="K169:K191" si="41">R132/H132</f>
        <v>2.2194558194558223</v>
      </c>
      <c r="L169" s="28">
        <f t="shared" ref="L169:L191" si="42">T132/H132</f>
        <v>1.7469587316330647E-3</v>
      </c>
      <c r="M169" s="28">
        <f t="shared" ref="M169:M191" si="43">V132/H132</f>
        <v>3.7525193455018096E-3</v>
      </c>
    </row>
    <row r="170" spans="1:13" x14ac:dyDescent="0.2">
      <c r="D170" s="19" t="s">
        <v>235</v>
      </c>
      <c r="E170" s="24"/>
      <c r="F170" s="28">
        <f t="shared" si="36"/>
        <v>1</v>
      </c>
      <c r="G170" s="28">
        <f t="shared" si="37"/>
        <v>1.6672473867595794</v>
      </c>
      <c r="H170" s="28">
        <f t="shared" si="38"/>
        <v>5.2944147784673027E-3</v>
      </c>
      <c r="I170" s="28">
        <f t="shared" si="39"/>
        <v>1.9938607700427753E-3</v>
      </c>
      <c r="J170" s="28">
        <f t="shared" si="40"/>
        <v>6.1487137667729115E-4</v>
      </c>
      <c r="K170" s="28">
        <f t="shared" si="41"/>
        <v>1.1716379940852869E-3</v>
      </c>
      <c r="L170" s="28">
        <f t="shared" si="42"/>
        <v>2.230964245126317E-3</v>
      </c>
      <c r="M170" s="28">
        <f t="shared" si="43"/>
        <v>4.9418011756682057E-3</v>
      </c>
    </row>
    <row r="171" spans="1:13" x14ac:dyDescent="0.2">
      <c r="D171" s="19" t="s">
        <v>236</v>
      </c>
      <c r="E171" s="24"/>
      <c r="F171" s="28">
        <f t="shared" si="36"/>
        <v>1</v>
      </c>
      <c r="G171" s="28">
        <f t="shared" si="37"/>
        <v>2.6056722572017579</v>
      </c>
      <c r="H171" s="28">
        <f t="shared" si="38"/>
        <v>5.8700441219850456E-2</v>
      </c>
      <c r="I171" s="28">
        <f t="shared" si="39"/>
        <v>1.2246346131048143E-2</v>
      </c>
      <c r="J171" s="28">
        <f t="shared" si="40"/>
        <v>2.5812936275223389E-3</v>
      </c>
      <c r="K171" s="28">
        <f t="shared" si="41"/>
        <v>2.1335749720222452E-2</v>
      </c>
      <c r="L171" s="28">
        <f t="shared" si="42"/>
        <v>1.246072200441567E-2</v>
      </c>
      <c r="M171" s="28">
        <f t="shared" si="43"/>
        <v>1.1682872784150132E-2</v>
      </c>
    </row>
    <row r="172" spans="1:13" x14ac:dyDescent="0.2">
      <c r="C172" s="25"/>
      <c r="D172" s="19" t="s">
        <v>237</v>
      </c>
      <c r="E172" s="24"/>
      <c r="F172" s="28"/>
      <c r="G172" s="28"/>
      <c r="H172" s="28"/>
      <c r="I172" s="28"/>
      <c r="J172" s="28"/>
      <c r="K172" s="28"/>
      <c r="L172" s="28"/>
      <c r="M172" s="28"/>
    </row>
    <row r="173" spans="1:13" x14ac:dyDescent="0.2">
      <c r="C173" s="25"/>
      <c r="D173" s="19" t="s">
        <v>238</v>
      </c>
      <c r="E173" s="24"/>
      <c r="F173" s="28"/>
      <c r="G173" s="28"/>
      <c r="H173" s="28"/>
      <c r="I173" s="28"/>
      <c r="J173" s="28"/>
      <c r="K173" s="28"/>
      <c r="L173" s="28"/>
      <c r="M173" s="28"/>
    </row>
    <row r="174" spans="1:13" x14ac:dyDescent="0.2">
      <c r="D174" s="19" t="s">
        <v>239</v>
      </c>
      <c r="E174" s="24"/>
      <c r="F174" s="28">
        <f t="shared" si="36"/>
        <v>1</v>
      </c>
      <c r="G174" s="28">
        <f t="shared" si="37"/>
        <v>2.4988069673109057</v>
      </c>
      <c r="H174" s="28">
        <f t="shared" si="38"/>
        <v>0.14449451410658304</v>
      </c>
      <c r="I174" s="28">
        <f t="shared" si="39"/>
        <v>5.5050505050505023E-3</v>
      </c>
      <c r="J174" s="28">
        <f t="shared" si="40"/>
        <v>4.5562072336265927E-2</v>
      </c>
      <c r="K174" s="28">
        <f t="shared" si="41"/>
        <v>0.48697087607593453</v>
      </c>
      <c r="L174" s="28">
        <f t="shared" si="42"/>
        <v>1.5472027972027959E-3</v>
      </c>
      <c r="M174" s="28">
        <f t="shared" si="43"/>
        <v>1.110780816488308E-2</v>
      </c>
    </row>
    <row r="175" spans="1:13" x14ac:dyDescent="0.2">
      <c r="A175" s="10"/>
      <c r="B175" s="10"/>
      <c r="C175" s="10"/>
      <c r="D175" s="20" t="s">
        <v>240</v>
      </c>
      <c r="E175" s="29"/>
      <c r="F175" s="30">
        <f t="shared" si="36"/>
        <v>1</v>
      </c>
      <c r="G175" s="30">
        <f t="shared" si="37"/>
        <v>3.5776397515527962E-2</v>
      </c>
      <c r="H175" s="30">
        <f t="shared" si="38"/>
        <v>0.21050772626931571</v>
      </c>
      <c r="I175" s="30">
        <f t="shared" si="39"/>
        <v>0.13743157894736852</v>
      </c>
      <c r="J175" s="30">
        <f t="shared" si="40"/>
        <v>4.4474576271186506E-3</v>
      </c>
      <c r="K175" s="30">
        <f t="shared" si="41"/>
        <v>7.7866666666666622E-4</v>
      </c>
      <c r="L175" s="30">
        <f t="shared" si="42"/>
        <v>2.837942857142861E-3</v>
      </c>
      <c r="M175" s="30">
        <f t="shared" si="43"/>
        <v>6.751648351648357E-3</v>
      </c>
    </row>
    <row r="176" spans="1:13" x14ac:dyDescent="0.2">
      <c r="D176" s="21" t="s">
        <v>241</v>
      </c>
      <c r="E176" s="24"/>
      <c r="F176" s="28">
        <f t="shared" si="36"/>
        <v>1</v>
      </c>
      <c r="G176" s="28">
        <f t="shared" si="37"/>
        <v>7.993138157072581E-2</v>
      </c>
      <c r="H176" s="28">
        <f t="shared" si="38"/>
        <v>5.4190998816405952E-6</v>
      </c>
      <c r="I176" s="28">
        <f t="shared" si="39"/>
        <v>5.7946251336081799E-2</v>
      </c>
      <c r="J176" s="28">
        <f t="shared" si="40"/>
        <v>0.4762976174143686</v>
      </c>
      <c r="K176" s="28">
        <f t="shared" si="41"/>
        <v>0.48658686541694901</v>
      </c>
      <c r="L176" s="28">
        <f t="shared" si="42"/>
        <v>4.4482258218971199E-2</v>
      </c>
      <c r="M176" s="28">
        <f t="shared" si="43"/>
        <v>0.12708290444960726</v>
      </c>
    </row>
    <row r="177" spans="1:13" x14ac:dyDescent="0.2">
      <c r="D177" s="21" t="s">
        <v>242</v>
      </c>
      <c r="E177" s="24"/>
      <c r="F177" s="28">
        <f t="shared" si="36"/>
        <v>1</v>
      </c>
      <c r="G177" s="28">
        <f t="shared" si="37"/>
        <v>6.0575433738588771</v>
      </c>
      <c r="H177" s="28">
        <f t="shared" si="38"/>
        <v>4.8493592284317604</v>
      </c>
      <c r="I177" s="28">
        <f t="shared" si="39"/>
        <v>0.90126233889962115</v>
      </c>
      <c r="J177" s="28">
        <f t="shared" si="40"/>
        <v>1.9161803713527852</v>
      </c>
      <c r="K177" s="28">
        <f t="shared" si="41"/>
        <v>1.2093523969722466</v>
      </c>
      <c r="L177" s="28">
        <f t="shared" si="42"/>
        <v>0.14465283195506318</v>
      </c>
      <c r="M177" s="28">
        <f t="shared" si="43"/>
        <v>0.24395814913056293</v>
      </c>
    </row>
    <row r="178" spans="1:13" x14ac:dyDescent="0.2">
      <c r="D178" s="21" t="s">
        <v>243</v>
      </c>
      <c r="E178" s="24"/>
      <c r="F178" s="28">
        <f t="shared" si="36"/>
        <v>1</v>
      </c>
      <c r="G178" s="28">
        <f t="shared" si="37"/>
        <v>2.2654791427246499</v>
      </c>
      <c r="H178" s="28">
        <f t="shared" si="38"/>
        <v>2.4713875374945662</v>
      </c>
      <c r="I178" s="28">
        <f t="shared" si="39"/>
        <v>1.7465798334219387</v>
      </c>
      <c r="J178" s="28">
        <f t="shared" si="40"/>
        <v>6.7930133745893947E-2</v>
      </c>
      <c r="K178" s="28">
        <f t="shared" si="41"/>
        <v>0.68184596237401518</v>
      </c>
      <c r="L178" s="28">
        <f t="shared" si="42"/>
        <v>0.12089466089466092</v>
      </c>
      <c r="M178" s="28">
        <f t="shared" si="43"/>
        <v>8.538545912938119E-3</v>
      </c>
    </row>
    <row r="179" spans="1:13" x14ac:dyDescent="0.2">
      <c r="D179" s="21" t="s">
        <v>244</v>
      </c>
      <c r="E179" s="24"/>
      <c r="F179" s="28">
        <f t="shared" si="36"/>
        <v>1</v>
      </c>
      <c r="G179" s="28">
        <f t="shared" si="37"/>
        <v>3.2552391964156726</v>
      </c>
      <c r="H179" s="28">
        <f t="shared" si="38"/>
        <v>4.3337680970392647</v>
      </c>
      <c r="I179" s="28">
        <f t="shared" si="39"/>
        <v>2.3195646945647002</v>
      </c>
      <c r="J179" s="28">
        <f t="shared" si="40"/>
        <v>1.1584415584415595</v>
      </c>
      <c r="K179" s="28">
        <f t="shared" si="41"/>
        <v>0.23709234261139692</v>
      </c>
      <c r="L179" s="28">
        <f t="shared" si="42"/>
        <v>2.2874727529170443E-3</v>
      </c>
      <c r="M179" s="28">
        <f t="shared" si="43"/>
        <v>1.3679970436068035E-2</v>
      </c>
    </row>
    <row r="180" spans="1:13" x14ac:dyDescent="0.2">
      <c r="D180" s="21" t="s">
        <v>245</v>
      </c>
      <c r="E180" s="24"/>
      <c r="F180" s="28">
        <f t="shared" si="36"/>
        <v>1</v>
      </c>
      <c r="G180" s="28">
        <f t="shared" si="37"/>
        <v>0.9194660614974044</v>
      </c>
      <c r="H180" s="28">
        <f t="shared" si="38"/>
        <v>0.66134053959240025</v>
      </c>
      <c r="I180" s="28">
        <f t="shared" si="39"/>
        <v>0.20586360038694929</v>
      </c>
      <c r="J180" s="28">
        <f t="shared" si="40"/>
        <v>2.8802093620383148E-2</v>
      </c>
      <c r="K180" s="28">
        <f t="shared" si="41"/>
        <v>0.33865592239086184</v>
      </c>
      <c r="L180" s="28">
        <f t="shared" si="42"/>
        <v>0.54821428571428488</v>
      </c>
      <c r="M180" s="28">
        <f t="shared" si="43"/>
        <v>0.80851869014519584</v>
      </c>
    </row>
    <row r="181" spans="1:13" x14ac:dyDescent="0.2">
      <c r="D181" s="21" t="s">
        <v>246</v>
      </c>
      <c r="E181" s="24"/>
      <c r="F181" s="28">
        <f t="shared" si="36"/>
        <v>1</v>
      </c>
      <c r="G181" s="28">
        <f t="shared" si="37"/>
        <v>3.1025456044522284</v>
      </c>
      <c r="H181" s="28">
        <f t="shared" si="38"/>
        <v>1.2106806605957701</v>
      </c>
      <c r="I181" s="28">
        <f t="shared" si="39"/>
        <v>1.2520175995858898</v>
      </c>
      <c r="J181" s="28">
        <f t="shared" si="40"/>
        <v>3.4721925514491159E-2</v>
      </c>
      <c r="K181" s="28">
        <f t="shared" si="41"/>
        <v>0.38282853156037061</v>
      </c>
      <c r="L181" s="28">
        <f t="shared" si="42"/>
        <v>0.36557157722610323</v>
      </c>
      <c r="M181" s="28">
        <f t="shared" si="43"/>
        <v>1.1051010391632516</v>
      </c>
    </row>
    <row r="182" spans="1:13" x14ac:dyDescent="0.2">
      <c r="D182" s="21" t="s">
        <v>247</v>
      </c>
      <c r="E182" s="24"/>
      <c r="F182" s="28">
        <f t="shared" si="36"/>
        <v>1</v>
      </c>
      <c r="G182" s="28">
        <f t="shared" si="37"/>
        <v>1.5285220912230542</v>
      </c>
      <c r="H182" s="28">
        <f t="shared" si="38"/>
        <v>10.107551143200965</v>
      </c>
      <c r="I182" s="28">
        <f t="shared" si="39"/>
        <v>2.7870062753783655E-6</v>
      </c>
      <c r="J182" s="28">
        <f t="shared" si="40"/>
        <v>0</v>
      </c>
      <c r="K182" s="28">
        <f t="shared" si="41"/>
        <v>1.5907074739410047E-4</v>
      </c>
      <c r="L182" s="28">
        <f t="shared" si="42"/>
        <v>6.8641478500633485E-2</v>
      </c>
      <c r="M182" s="28">
        <f t="shared" si="43"/>
        <v>7.2030763239875331</v>
      </c>
    </row>
    <row r="183" spans="1:13" x14ac:dyDescent="0.2">
      <c r="A183" s="10"/>
      <c r="B183" s="10"/>
      <c r="C183" s="10"/>
      <c r="D183" s="22" t="s">
        <v>248</v>
      </c>
      <c r="E183" s="29"/>
      <c r="F183" s="30">
        <f t="shared" si="36"/>
        <v>1</v>
      </c>
      <c r="G183" s="30">
        <f t="shared" si="37"/>
        <v>2.4463352739214814</v>
      </c>
      <c r="H183" s="30">
        <f t="shared" si="38"/>
        <v>2.4442795299938171</v>
      </c>
      <c r="I183" s="30">
        <f t="shared" si="39"/>
        <v>1.2153303076147255</v>
      </c>
      <c r="J183" s="30">
        <f t="shared" si="40"/>
        <v>1.11489256638663</v>
      </c>
      <c r="K183" s="30">
        <f t="shared" si="41"/>
        <v>0.73187397190940162</v>
      </c>
      <c r="L183" s="30">
        <f t="shared" si="42"/>
        <v>0.25770709621641275</v>
      </c>
      <c r="M183" s="30">
        <f t="shared" si="43"/>
        <v>0.75687547012348055</v>
      </c>
    </row>
    <row r="184" spans="1:13" x14ac:dyDescent="0.2">
      <c r="C184" s="25"/>
      <c r="D184" s="23" t="s">
        <v>249</v>
      </c>
      <c r="E184" s="24"/>
      <c r="F184" s="28"/>
      <c r="G184" s="28"/>
      <c r="H184" s="28"/>
      <c r="I184" s="28"/>
      <c r="J184" s="28"/>
      <c r="K184" s="28"/>
      <c r="L184" s="28"/>
      <c r="M184" s="28"/>
    </row>
    <row r="185" spans="1:13" x14ac:dyDescent="0.2">
      <c r="D185" s="23" t="s">
        <v>250</v>
      </c>
      <c r="E185" s="24"/>
      <c r="F185" s="28">
        <f>H148/H148</f>
        <v>1</v>
      </c>
      <c r="G185" s="28">
        <f t="shared" si="37"/>
        <v>3.5285424796693968E-6</v>
      </c>
      <c r="H185" s="28">
        <f t="shared" si="38"/>
        <v>2.2410133920978477E-5</v>
      </c>
      <c r="I185" s="28">
        <f t="shared" si="39"/>
        <v>3.4386030001604362E-4</v>
      </c>
      <c r="J185" s="28">
        <f t="shared" si="40"/>
        <v>1.2107933579335776E-4</v>
      </c>
      <c r="K185" s="28">
        <f t="shared" si="41"/>
        <v>6.7199671996719871E-4</v>
      </c>
      <c r="L185" s="28">
        <f t="shared" si="42"/>
        <v>7.6430870691685643E-4</v>
      </c>
      <c r="M185" s="28">
        <f t="shared" si="43"/>
        <v>2.4875380332750684E-5</v>
      </c>
    </row>
    <row r="186" spans="1:13" x14ac:dyDescent="0.2">
      <c r="D186" s="23" t="s">
        <v>251</v>
      </c>
      <c r="E186" s="24"/>
      <c r="F186" s="28">
        <f t="shared" si="36"/>
        <v>1</v>
      </c>
      <c r="G186" s="28">
        <f t="shared" si="37"/>
        <v>2.8517425779089085E-5</v>
      </c>
      <c r="H186" s="28">
        <f t="shared" si="38"/>
        <v>0</v>
      </c>
      <c r="I186" s="28">
        <f t="shared" si="39"/>
        <v>0</v>
      </c>
      <c r="J186" s="28">
        <f t="shared" si="40"/>
        <v>0</v>
      </c>
      <c r="K186" s="28">
        <f t="shared" si="41"/>
        <v>0</v>
      </c>
      <c r="L186" s="28">
        <f t="shared" si="42"/>
        <v>1.934914796186472E-6</v>
      </c>
      <c r="M186" s="28">
        <f t="shared" si="43"/>
        <v>2.3431818181818176E-8</v>
      </c>
    </row>
    <row r="187" spans="1:13" x14ac:dyDescent="0.2">
      <c r="D187" s="23" t="s">
        <v>252</v>
      </c>
      <c r="E187" s="24"/>
      <c r="F187" s="28">
        <f t="shared" si="36"/>
        <v>1</v>
      </c>
      <c r="G187" s="28">
        <f t="shared" si="37"/>
        <v>6.3280785246876807E-6</v>
      </c>
      <c r="H187" s="28">
        <f t="shared" si="38"/>
        <v>0</v>
      </c>
      <c r="I187" s="28">
        <f t="shared" si="39"/>
        <v>0</v>
      </c>
      <c r="J187" s="28">
        <f t="shared" si="40"/>
        <v>0</v>
      </c>
      <c r="K187" s="28">
        <f t="shared" si="41"/>
        <v>0</v>
      </c>
      <c r="L187" s="28">
        <f t="shared" si="42"/>
        <v>4.4085954660367163E-7</v>
      </c>
      <c r="M187" s="28">
        <f t="shared" si="43"/>
        <v>5.0654761904761871E-9</v>
      </c>
    </row>
    <row r="188" spans="1:13" x14ac:dyDescent="0.2">
      <c r="D188" s="23" t="s">
        <v>253</v>
      </c>
      <c r="E188" s="24"/>
      <c r="F188" s="28">
        <f t="shared" si="36"/>
        <v>1</v>
      </c>
      <c r="G188" s="28">
        <f t="shared" si="37"/>
        <v>2.1336946702800362E-2</v>
      </c>
      <c r="H188" s="28">
        <f t="shared" si="38"/>
        <v>0</v>
      </c>
      <c r="I188" s="28">
        <f t="shared" si="39"/>
        <v>2.4978256916277295E-5</v>
      </c>
      <c r="J188" s="28">
        <f t="shared" si="40"/>
        <v>8.5148917204132E-5</v>
      </c>
      <c r="K188" s="28">
        <f t="shared" si="41"/>
        <v>4.7216510777831544E-4</v>
      </c>
      <c r="L188" s="28">
        <f t="shared" si="42"/>
        <v>8.0523327297520899E-4</v>
      </c>
      <c r="M188" s="28">
        <f t="shared" si="43"/>
        <v>1.8507365335908466E-2</v>
      </c>
    </row>
    <row r="189" spans="1:13" x14ac:dyDescent="0.2">
      <c r="D189" s="23" t="s">
        <v>254</v>
      </c>
      <c r="E189" s="24"/>
      <c r="F189" s="28">
        <f t="shared" si="36"/>
        <v>1</v>
      </c>
      <c r="G189" s="28">
        <f t="shared" si="37"/>
        <v>0</v>
      </c>
      <c r="H189" s="28">
        <f t="shared" si="38"/>
        <v>0</v>
      </c>
      <c r="I189" s="28">
        <f t="shared" si="39"/>
        <v>0</v>
      </c>
      <c r="J189" s="28">
        <f t="shared" si="40"/>
        <v>0</v>
      </c>
      <c r="K189" s="28">
        <f t="shared" si="41"/>
        <v>2.2392053439082171E-5</v>
      </c>
      <c r="L189" s="28">
        <f t="shared" si="42"/>
        <v>6.9672720302841649E-6</v>
      </c>
      <c r="M189" s="28">
        <f t="shared" si="43"/>
        <v>1.0032083347707601E-5</v>
      </c>
    </row>
    <row r="190" spans="1:13" x14ac:dyDescent="0.2">
      <c r="D190" s="23" t="s">
        <v>255</v>
      </c>
      <c r="E190" s="24"/>
      <c r="F190" s="28">
        <f t="shared" si="36"/>
        <v>1</v>
      </c>
      <c r="G190" s="28">
        <f t="shared" si="37"/>
        <v>3.3309314935240444</v>
      </c>
      <c r="H190" s="28">
        <f t="shared" si="38"/>
        <v>5.0722455203965007</v>
      </c>
      <c r="I190" s="28">
        <f t="shared" si="39"/>
        <v>4.9622405601400397</v>
      </c>
      <c r="J190" s="28">
        <f t="shared" si="40"/>
        <v>1.3718967716612691</v>
      </c>
      <c r="K190" s="28">
        <f t="shared" si="41"/>
        <v>1.3265925176946425</v>
      </c>
      <c r="L190" s="28">
        <f t="shared" si="42"/>
        <v>5.8225021371622027E-2</v>
      </c>
      <c r="M190" s="28">
        <f t="shared" si="43"/>
        <v>0.96756200120140889</v>
      </c>
    </row>
    <row r="191" spans="1:13" x14ac:dyDescent="0.2">
      <c r="D191" s="23" t="s">
        <v>256</v>
      </c>
      <c r="E191" s="24"/>
      <c r="F191" s="28">
        <f t="shared" si="36"/>
        <v>1</v>
      </c>
      <c r="G191" s="28">
        <f t="shared" si="37"/>
        <v>1.0630437166987052E-3</v>
      </c>
      <c r="H191" s="28">
        <f t="shared" si="38"/>
        <v>1.0254505522899046E-5</v>
      </c>
      <c r="I191" s="28">
        <f t="shared" si="39"/>
        <v>2.4500467926510884E-3</v>
      </c>
      <c r="J191" s="28">
        <f t="shared" si="40"/>
        <v>5.1230121764588438E-2</v>
      </c>
      <c r="K191" s="28">
        <f t="shared" si="41"/>
        <v>4.5193130270375199E-2</v>
      </c>
      <c r="L191" s="28">
        <f t="shared" si="42"/>
        <v>5.7341520679068149E-3</v>
      </c>
      <c r="M191" s="28">
        <f t="shared" si="43"/>
        <v>3.7834048891614833E-2</v>
      </c>
    </row>
    <row r="198" spans="1:24" x14ac:dyDescent="0.2">
      <c r="A198" t="s">
        <v>270</v>
      </c>
      <c r="E198" t="s">
        <v>348</v>
      </c>
      <c r="F198" t="s">
        <v>218</v>
      </c>
      <c r="G198" t="s">
        <v>0</v>
      </c>
      <c r="H198" t="s">
        <v>1</v>
      </c>
      <c r="I198" t="s">
        <v>222</v>
      </c>
      <c r="J198" t="s">
        <v>2</v>
      </c>
      <c r="K198" t="s">
        <v>225</v>
      </c>
      <c r="L198" t="s">
        <v>3</v>
      </c>
      <c r="M198" t="s">
        <v>228</v>
      </c>
      <c r="O198" t="s">
        <v>736</v>
      </c>
      <c r="P198" t="s">
        <v>348</v>
      </c>
      <c r="Q198" t="s">
        <v>218</v>
      </c>
      <c r="R198" t="s">
        <v>0</v>
      </c>
      <c r="S198" t="s">
        <v>1</v>
      </c>
      <c r="T198" t="s">
        <v>222</v>
      </c>
      <c r="U198" t="s">
        <v>2</v>
      </c>
      <c r="V198" t="s">
        <v>225</v>
      </c>
      <c r="W198" t="s">
        <v>3</v>
      </c>
      <c r="X198" t="s">
        <v>228</v>
      </c>
    </row>
    <row r="199" spans="1:24" x14ac:dyDescent="0.2">
      <c r="C199" s="16" t="s">
        <v>123</v>
      </c>
      <c r="D199" s="31" t="s">
        <v>5</v>
      </c>
      <c r="E199" s="2"/>
      <c r="F199" s="32">
        <f>H123/(G123+H123)</f>
        <v>2.8340080971659923E-2</v>
      </c>
      <c r="G199" s="32">
        <f>J123/(I123+J123)</f>
        <v>0.39726027397260272</v>
      </c>
      <c r="H199" s="32">
        <f>L123/(K123+L123)</f>
        <v>0.34272300469483569</v>
      </c>
      <c r="I199" s="32">
        <f>N123/(M123+N123)</f>
        <v>0.7350427350427351</v>
      </c>
      <c r="J199" s="32">
        <f>P123/(O123+P123)</f>
        <v>0.98087297694948494</v>
      </c>
      <c r="K199" s="32">
        <f>R123/(Q123+R123)</f>
        <v>0.99991597344760941</v>
      </c>
      <c r="L199" s="32">
        <f>T123/(S123+T123)</f>
        <v>0.99995349053532401</v>
      </c>
      <c r="M199" s="33">
        <f>V123/(U123+V123)</f>
        <v>0.99991526141852394</v>
      </c>
      <c r="O199" s="16" t="s">
        <v>123</v>
      </c>
      <c r="P199" s="31" t="s">
        <v>5</v>
      </c>
      <c r="Q199" s="65">
        <f>H123/G123</f>
        <v>2.9166666666666671E-2</v>
      </c>
      <c r="R199" s="65">
        <f t="shared" ref="R199:R230" si="44">J123/I123</f>
        <v>0.65909090909090895</v>
      </c>
      <c r="S199">
        <f>L123/K123</f>
        <v>0.52142857142857146</v>
      </c>
      <c r="T199" s="65">
        <f t="shared" ref="T199:T230" si="45">L123/K123</f>
        <v>0.52142857142857146</v>
      </c>
      <c r="U199">
        <f>P123/O123</f>
        <v>51.282051282051277</v>
      </c>
      <c r="V199" s="65">
        <f>R123/Q123</f>
        <v>11900</v>
      </c>
      <c r="W199" s="65">
        <f>T123/S123</f>
        <v>21500</v>
      </c>
      <c r="X199" s="65">
        <f>V123/U123</f>
        <v>11800</v>
      </c>
    </row>
    <row r="200" spans="1:24" x14ac:dyDescent="0.2">
      <c r="D200" s="17" t="s">
        <v>6</v>
      </c>
      <c r="F200" s="34">
        <f t="shared" ref="F200:F230" si="46">H124/(G124+H124)</f>
        <v>0.18714555765595467</v>
      </c>
      <c r="G200" s="34">
        <f t="shared" ref="G200:G230" si="47">J124/(I124+J124)</f>
        <v>0.36363636363636365</v>
      </c>
      <c r="H200" s="34">
        <f t="shared" ref="H200:H230" si="48">L124/(K124+L124)</f>
        <v>0.39285714285714285</v>
      </c>
      <c r="I200" s="34">
        <f t="shared" ref="I200:I230" si="49">N124/(M124+N124)</f>
        <v>0.50409836065573776</v>
      </c>
      <c r="J200" s="34">
        <f t="shared" ref="J200:J230" si="50">P124/(O124+P124)</f>
        <v>0.68893528183716068</v>
      </c>
      <c r="K200" s="34">
        <f t="shared" ref="K200:K230" si="51">R124/(Q124+R124)</f>
        <v>0.92913385826771655</v>
      </c>
      <c r="L200" s="34">
        <f t="shared" ref="L200:L230" si="52">T124/(S124+T124)</f>
        <v>0.978207033184745</v>
      </c>
      <c r="M200" s="28">
        <f t="shared" ref="M200:M230" si="53">V124/(U124+V124)</f>
        <v>0.99601593625498008</v>
      </c>
      <c r="P200" s="17" t="s">
        <v>6</v>
      </c>
      <c r="Q200" s="65">
        <f t="shared" ref="Q200:Q230" si="54">H124/G124</f>
        <v>0.23023255813953489</v>
      </c>
      <c r="R200" s="65">
        <f t="shared" si="44"/>
        <v>0.57142857142857151</v>
      </c>
      <c r="S200">
        <f t="shared" ref="S200:S230" si="55">L124/K124</f>
        <v>0.64705882352941169</v>
      </c>
      <c r="T200" s="65">
        <f t="shared" si="45"/>
        <v>0.64705882352941169</v>
      </c>
      <c r="U200">
        <f t="shared" ref="U200:U230" si="56">P124/O124</f>
        <v>2.2147651006711411</v>
      </c>
      <c r="V200" s="65">
        <f t="shared" ref="V200:V230" si="57">R124/Q124</f>
        <v>13.111111111111111</v>
      </c>
      <c r="W200" s="65">
        <f t="shared" ref="W200:W230" si="58">T124/S124</f>
        <v>44.886363636363633</v>
      </c>
      <c r="X200" s="65">
        <f t="shared" ref="X200:X230" si="59">V124/U124</f>
        <v>249.99999999999997</v>
      </c>
    </row>
    <row r="201" spans="1:24" x14ac:dyDescent="0.2">
      <c r="D201" s="17" t="s">
        <v>7</v>
      </c>
      <c r="F201" s="34">
        <f t="shared" si="46"/>
        <v>4.6242560728042872E-6</v>
      </c>
      <c r="G201" s="34">
        <f t="shared" si="47"/>
        <v>2.4691358024691362E-3</v>
      </c>
      <c r="H201" s="34">
        <f t="shared" si="48"/>
        <v>0.23046875</v>
      </c>
      <c r="I201" s="34">
        <f t="shared" si="49"/>
        <v>0.57512953367875641</v>
      </c>
      <c r="J201" s="34">
        <f t="shared" si="50"/>
        <v>0.78821656050955413</v>
      </c>
      <c r="K201" s="34">
        <f t="shared" si="51"/>
        <v>0.86411149825783984</v>
      </c>
      <c r="L201" s="34">
        <f t="shared" si="52"/>
        <v>0.79136690647482011</v>
      </c>
      <c r="M201" s="28">
        <f t="shared" si="53"/>
        <v>0.93592964824120606</v>
      </c>
      <c r="P201" s="17" t="s">
        <v>7</v>
      </c>
      <c r="Q201" s="65">
        <f t="shared" si="54"/>
        <v>4.6242774566473986E-6</v>
      </c>
      <c r="R201" s="65">
        <f t="shared" si="44"/>
        <v>2.4752475247524753E-3</v>
      </c>
      <c r="S201">
        <f t="shared" si="55"/>
        <v>0.29949238578680204</v>
      </c>
      <c r="T201" s="65">
        <f t="shared" si="45"/>
        <v>0.29949238578680204</v>
      </c>
      <c r="U201">
        <f t="shared" si="56"/>
        <v>3.7218045112781954</v>
      </c>
      <c r="V201" s="65">
        <f t="shared" si="57"/>
        <v>6.3589743589743586</v>
      </c>
      <c r="W201" s="65">
        <f t="shared" si="58"/>
        <v>3.7931034482758625</v>
      </c>
      <c r="X201" s="65">
        <f t="shared" si="59"/>
        <v>14.607843137254905</v>
      </c>
    </row>
    <row r="202" spans="1:24" x14ac:dyDescent="0.2">
      <c r="D202" s="17" t="s">
        <v>8</v>
      </c>
      <c r="F202" s="34">
        <f t="shared" si="46"/>
        <v>0.195837275307474</v>
      </c>
      <c r="G202" s="34">
        <f t="shared" si="47"/>
        <v>0.75107296137339064</v>
      </c>
      <c r="H202" s="34">
        <f t="shared" si="48"/>
        <v>0.92731829573934843</v>
      </c>
      <c r="I202" s="34">
        <f t="shared" si="49"/>
        <v>0.98870056497175141</v>
      </c>
      <c r="J202" s="34">
        <f t="shared" si="50"/>
        <v>0.99137139709932076</v>
      </c>
      <c r="K202" s="34">
        <f t="shared" si="51"/>
        <v>0.99837955318675076</v>
      </c>
      <c r="L202" s="34">
        <f t="shared" si="52"/>
        <v>0.9771986970684039</v>
      </c>
      <c r="M202" s="28">
        <f t="shared" si="53"/>
        <v>0.95447870778267241</v>
      </c>
      <c r="P202" s="17" t="s">
        <v>8</v>
      </c>
      <c r="Q202" s="65">
        <f t="shared" si="54"/>
        <v>0.24352941176470588</v>
      </c>
      <c r="R202" s="65">
        <f t="shared" si="44"/>
        <v>3.0172413793103448</v>
      </c>
      <c r="S202">
        <f t="shared" si="55"/>
        <v>12.758620689655173</v>
      </c>
      <c r="T202" s="65">
        <f t="shared" si="45"/>
        <v>12.758620689655173</v>
      </c>
      <c r="U202">
        <f t="shared" si="56"/>
        <v>114.8936170212766</v>
      </c>
      <c r="V202" s="65">
        <f t="shared" si="57"/>
        <v>616.11374407582946</v>
      </c>
      <c r="W202" s="65">
        <f t="shared" si="58"/>
        <v>42.857142857142861</v>
      </c>
      <c r="X202" s="65">
        <f t="shared" si="59"/>
        <v>20.967741935483872</v>
      </c>
    </row>
    <row r="203" spans="1:24" x14ac:dyDescent="0.2">
      <c r="D203" s="17" t="s">
        <v>9</v>
      </c>
      <c r="F203" s="34">
        <f t="shared" si="46"/>
        <v>0.14942528735632182</v>
      </c>
      <c r="G203" s="34">
        <f t="shared" si="47"/>
        <v>0</v>
      </c>
      <c r="H203" s="34">
        <f t="shared" si="48"/>
        <v>0</v>
      </c>
      <c r="I203" s="34">
        <f t="shared" si="49"/>
        <v>0</v>
      </c>
      <c r="J203" s="34">
        <f t="shared" si="50"/>
        <v>7.3081607795371494E-3</v>
      </c>
      <c r="K203" s="34">
        <f t="shared" si="51"/>
        <v>0.58333333333333337</v>
      </c>
      <c r="L203" s="34">
        <f t="shared" si="52"/>
        <v>0.79999999999999993</v>
      </c>
      <c r="M203" s="28">
        <f t="shared" si="53"/>
        <v>0.95833333333333326</v>
      </c>
      <c r="P203" s="17" t="s">
        <v>9</v>
      </c>
      <c r="Q203" s="65">
        <f t="shared" si="54"/>
        <v>0.17567567567567566</v>
      </c>
      <c r="R203" s="65">
        <f t="shared" si="44"/>
        <v>0</v>
      </c>
      <c r="S203">
        <f t="shared" si="55"/>
        <v>0</v>
      </c>
      <c r="T203" s="65">
        <f t="shared" si="45"/>
        <v>0</v>
      </c>
      <c r="U203">
        <f t="shared" si="56"/>
        <v>7.3619631901840482E-3</v>
      </c>
      <c r="V203" s="65">
        <f t="shared" si="57"/>
        <v>1.4000000000000001</v>
      </c>
      <c r="W203" s="65">
        <f t="shared" si="58"/>
        <v>4</v>
      </c>
      <c r="X203" s="65">
        <f t="shared" si="59"/>
        <v>23</v>
      </c>
    </row>
    <row r="204" spans="1:24" x14ac:dyDescent="0.2">
      <c r="D204" s="17" t="s">
        <v>10</v>
      </c>
      <c r="F204" s="34">
        <f t="shared" si="46"/>
        <v>1.5017667844522969E-2</v>
      </c>
      <c r="G204" s="34">
        <f t="shared" si="47"/>
        <v>0.50847457627118653</v>
      </c>
      <c r="H204" s="34">
        <f t="shared" si="48"/>
        <v>0.91176470588235292</v>
      </c>
      <c r="I204" s="34">
        <f t="shared" si="49"/>
        <v>0.94190637337845451</v>
      </c>
      <c r="J204" s="34">
        <f t="shared" si="50"/>
        <v>0.99397590361445787</v>
      </c>
      <c r="K204" s="34">
        <f t="shared" si="51"/>
        <v>0.99752168525402729</v>
      </c>
      <c r="L204" s="34">
        <f t="shared" si="52"/>
        <v>0.99912357581069233</v>
      </c>
      <c r="M204" s="28">
        <f t="shared" si="53"/>
        <v>0.99951494127849716</v>
      </c>
      <c r="P204" s="17" t="s">
        <v>10</v>
      </c>
      <c r="Q204" s="65">
        <f t="shared" si="54"/>
        <v>1.5246636771300448E-2</v>
      </c>
      <c r="R204" s="65">
        <f t="shared" si="44"/>
        <v>1.0344827586206897</v>
      </c>
      <c r="S204">
        <f t="shared" si="55"/>
        <v>10.333333333333334</v>
      </c>
      <c r="T204" s="65">
        <f t="shared" si="45"/>
        <v>10.333333333333334</v>
      </c>
      <c r="U204">
        <f t="shared" si="56"/>
        <v>165</v>
      </c>
      <c r="V204" s="65">
        <f t="shared" si="57"/>
        <v>402.5</v>
      </c>
      <c r="W204" s="65">
        <f t="shared" si="58"/>
        <v>1140</v>
      </c>
      <c r="X204" s="65">
        <f t="shared" si="59"/>
        <v>2060.6060606060605</v>
      </c>
    </row>
    <row r="205" spans="1:24" x14ac:dyDescent="0.2">
      <c r="D205" s="17" t="s">
        <v>11</v>
      </c>
      <c r="F205" s="34">
        <f t="shared" si="46"/>
        <v>8.3425153470801199E-3</v>
      </c>
      <c r="G205" s="34">
        <f t="shared" si="47"/>
        <v>0.30821917808219179</v>
      </c>
      <c r="H205" s="34">
        <f t="shared" si="48"/>
        <v>5.3978853644963833E-2</v>
      </c>
      <c r="I205" s="34">
        <f t="shared" si="49"/>
        <v>7.9074252651880422E-2</v>
      </c>
      <c r="J205" s="34">
        <f t="shared" si="50"/>
        <v>0.67710843373493979</v>
      </c>
      <c r="K205" s="34">
        <f t="shared" si="51"/>
        <v>0.93028322440087152</v>
      </c>
      <c r="L205" s="34">
        <f t="shared" si="52"/>
        <v>0.94911937377690803</v>
      </c>
      <c r="M205" s="28">
        <f t="shared" si="53"/>
        <v>0.99213973799126642</v>
      </c>
      <c r="P205" s="17" t="s">
        <v>11</v>
      </c>
      <c r="Q205" s="65">
        <f t="shared" si="54"/>
        <v>8.4126984126984116E-3</v>
      </c>
      <c r="R205" s="65">
        <f t="shared" si="44"/>
        <v>0.44554455445544561</v>
      </c>
      <c r="S205">
        <f t="shared" si="55"/>
        <v>5.7058823529411766E-2</v>
      </c>
      <c r="T205" s="65">
        <f t="shared" si="45"/>
        <v>5.7058823529411766E-2</v>
      </c>
      <c r="U205">
        <f t="shared" si="56"/>
        <v>2.0970149253731343</v>
      </c>
      <c r="V205" s="65">
        <f t="shared" si="57"/>
        <v>13.34375</v>
      </c>
      <c r="W205" s="65">
        <f t="shared" si="58"/>
        <v>18.653846153846157</v>
      </c>
      <c r="X205" s="65">
        <f t="shared" si="59"/>
        <v>126.22222222222223</v>
      </c>
    </row>
    <row r="206" spans="1:24" x14ac:dyDescent="0.2">
      <c r="D206" s="17" t="s">
        <v>12</v>
      </c>
      <c r="F206" s="34">
        <f t="shared" si="46"/>
        <v>2.9585790063375721E-7</v>
      </c>
      <c r="G206" s="34">
        <f t="shared" si="47"/>
        <v>0</v>
      </c>
      <c r="H206" s="34">
        <f t="shared" si="48"/>
        <v>0</v>
      </c>
      <c r="I206" s="34">
        <f t="shared" si="49"/>
        <v>0</v>
      </c>
      <c r="J206" s="34">
        <f t="shared" si="50"/>
        <v>0</v>
      </c>
      <c r="K206" s="34">
        <f t="shared" si="51"/>
        <v>0</v>
      </c>
      <c r="L206" s="34">
        <f t="shared" si="52"/>
        <v>2.6308866087871609E-4</v>
      </c>
      <c r="M206" s="28">
        <f t="shared" si="53"/>
        <v>2.6217228464419474E-2</v>
      </c>
      <c r="P206" s="17" t="s">
        <v>12</v>
      </c>
      <c r="Q206" s="65">
        <f t="shared" si="54"/>
        <v>2.9585798816568045E-7</v>
      </c>
      <c r="R206" s="65">
        <f t="shared" si="44"/>
        <v>0</v>
      </c>
      <c r="S206">
        <f t="shared" si="55"/>
        <v>0</v>
      </c>
      <c r="T206" s="65">
        <f t="shared" si="45"/>
        <v>0</v>
      </c>
      <c r="U206">
        <f t="shared" si="56"/>
        <v>0</v>
      </c>
      <c r="V206" s="65">
        <f t="shared" si="57"/>
        <v>0</v>
      </c>
      <c r="W206" s="65">
        <f t="shared" si="58"/>
        <v>2.631578947368421E-4</v>
      </c>
      <c r="X206" s="65">
        <f t="shared" si="59"/>
        <v>2.6923076923076921E-2</v>
      </c>
    </row>
    <row r="207" spans="1:24" x14ac:dyDescent="0.2">
      <c r="C207" s="16" t="s">
        <v>109</v>
      </c>
      <c r="D207" s="35" t="s">
        <v>233</v>
      </c>
      <c r="E207" s="2"/>
      <c r="F207" s="32">
        <f t="shared" si="46"/>
        <v>3.225702396696881E-5</v>
      </c>
      <c r="G207" s="32">
        <f t="shared" si="47"/>
        <v>6.939625260235947E-4</v>
      </c>
      <c r="H207" s="32">
        <f t="shared" si="48"/>
        <v>9.3240093240093223E-3</v>
      </c>
      <c r="I207" s="32">
        <f t="shared" si="49"/>
        <v>1.8832391713747645E-3</v>
      </c>
      <c r="J207" s="32">
        <f t="shared" si="50"/>
        <v>0.92647058823529416</v>
      </c>
      <c r="K207" s="32">
        <f t="shared" si="51"/>
        <v>0.19999999999999998</v>
      </c>
      <c r="L207" s="32">
        <f t="shared" si="52"/>
        <v>3.5714285714285719E-2</v>
      </c>
      <c r="M207" s="33">
        <f t="shared" si="53"/>
        <v>0.70000000000000007</v>
      </c>
      <c r="O207" s="16" t="s">
        <v>109</v>
      </c>
      <c r="P207" s="35" t="s">
        <v>233</v>
      </c>
      <c r="Q207" s="65">
        <f>H131/G131</f>
        <v>3.2258064516129034E-5</v>
      </c>
      <c r="R207" s="65">
        <f t="shared" si="44"/>
        <v>6.9444444444444447E-4</v>
      </c>
      <c r="S207">
        <f t="shared" si="55"/>
        <v>9.4117647058823521E-3</v>
      </c>
      <c r="T207" s="65">
        <f t="shared" si="45"/>
        <v>9.4117647058823521E-3</v>
      </c>
      <c r="U207">
        <f t="shared" si="56"/>
        <v>12.6</v>
      </c>
      <c r="V207" s="65">
        <f t="shared" si="57"/>
        <v>0.25</v>
      </c>
      <c r="W207" s="65">
        <f t="shared" si="58"/>
        <v>3.7037037037037042E-2</v>
      </c>
      <c r="X207" s="65">
        <f t="shared" si="59"/>
        <v>2.333333333333333</v>
      </c>
    </row>
    <row r="208" spans="1:24" x14ac:dyDescent="0.2">
      <c r="D208" s="19" t="s">
        <v>234</v>
      </c>
      <c r="F208" s="34">
        <f t="shared" si="46"/>
        <v>0.57558139534883723</v>
      </c>
      <c r="G208" s="34">
        <f t="shared" si="47"/>
        <v>0.92764378478664189</v>
      </c>
      <c r="H208" s="34">
        <f t="shared" si="48"/>
        <v>0.97011422312627138</v>
      </c>
      <c r="I208" s="34">
        <f t="shared" si="49"/>
        <v>0.99783229535835938</v>
      </c>
      <c r="J208" s="34">
        <f t="shared" si="50"/>
        <v>1</v>
      </c>
      <c r="K208" s="34">
        <f t="shared" si="51"/>
        <v>1</v>
      </c>
      <c r="L208" s="34">
        <f t="shared" si="52"/>
        <v>0.99947671376242808</v>
      </c>
      <c r="M208" s="28">
        <f t="shared" si="53"/>
        <v>0.99977683552778396</v>
      </c>
      <c r="P208" s="19" t="s">
        <v>234</v>
      </c>
      <c r="Q208" s="65">
        <f t="shared" si="54"/>
        <v>1.3561643835616437</v>
      </c>
      <c r="R208" s="65">
        <f t="shared" si="44"/>
        <v>12.820512820512821</v>
      </c>
      <c r="S208">
        <f t="shared" si="55"/>
        <v>32.460732984293195</v>
      </c>
      <c r="T208" s="65">
        <f t="shared" si="45"/>
        <v>32.460732984293195</v>
      </c>
      <c r="U208" t="e">
        <f t="shared" si="56"/>
        <v>#DIV/0!</v>
      </c>
      <c r="V208" s="65" t="e">
        <f t="shared" si="57"/>
        <v>#DIV/0!</v>
      </c>
      <c r="W208" s="65">
        <f t="shared" si="58"/>
        <v>1910</v>
      </c>
      <c r="X208" s="65">
        <f t="shared" si="59"/>
        <v>4480</v>
      </c>
    </row>
    <row r="209" spans="3:24" x14ac:dyDescent="0.2">
      <c r="D209" s="19" t="s">
        <v>235</v>
      </c>
      <c r="F209" s="34">
        <f t="shared" si="46"/>
        <v>0.24848484848484848</v>
      </c>
      <c r="G209" s="34">
        <f t="shared" si="47"/>
        <v>0.8595641646489105</v>
      </c>
      <c r="H209" s="34">
        <f t="shared" si="48"/>
        <v>0.99309153713298781</v>
      </c>
      <c r="I209" s="34">
        <f t="shared" si="49"/>
        <v>0.98814229249011853</v>
      </c>
      <c r="J209" s="34">
        <f t="shared" si="50"/>
        <v>1</v>
      </c>
      <c r="K209" s="34">
        <f t="shared" si="51"/>
        <v>1</v>
      </c>
      <c r="L209" s="34">
        <f t="shared" si="52"/>
        <v>0.99378881987577639</v>
      </c>
      <c r="M209" s="28">
        <f t="shared" si="53"/>
        <v>0.99968563344860106</v>
      </c>
      <c r="P209" s="19" t="s">
        <v>235</v>
      </c>
      <c r="Q209" s="65">
        <f t="shared" si="54"/>
        <v>0.33064516129032256</v>
      </c>
      <c r="R209" s="65">
        <f t="shared" si="44"/>
        <v>6.1206896551724146</v>
      </c>
      <c r="S209">
        <f t="shared" si="55"/>
        <v>143.74999999999997</v>
      </c>
      <c r="T209" s="65">
        <f t="shared" si="45"/>
        <v>143.74999999999997</v>
      </c>
      <c r="U209" t="e">
        <f t="shared" si="56"/>
        <v>#DIV/0!</v>
      </c>
      <c r="V209" s="65" t="e">
        <f t="shared" si="57"/>
        <v>#DIV/0!</v>
      </c>
      <c r="W209" s="65">
        <f t="shared" si="58"/>
        <v>160</v>
      </c>
      <c r="X209" s="65">
        <f t="shared" si="59"/>
        <v>3180</v>
      </c>
    </row>
    <row r="210" spans="3:24" x14ac:dyDescent="0.2">
      <c r="D210" s="19" t="s">
        <v>236</v>
      </c>
      <c r="F210" s="34">
        <f t="shared" si="46"/>
        <v>0.52290076335877866</v>
      </c>
      <c r="G210" s="34">
        <f t="shared" si="47"/>
        <v>0.96549258001072769</v>
      </c>
      <c r="H210" s="34">
        <f t="shared" si="48"/>
        <v>0.99907493061979646</v>
      </c>
      <c r="I210" s="34">
        <f t="shared" si="49"/>
        <v>1</v>
      </c>
      <c r="J210" s="34">
        <f t="shared" si="50"/>
        <v>1</v>
      </c>
      <c r="K210" s="34">
        <f t="shared" si="51"/>
        <v>1</v>
      </c>
      <c r="L210" s="34">
        <f t="shared" si="52"/>
        <v>0.99959530554431397</v>
      </c>
      <c r="M210" s="28">
        <f t="shared" si="53"/>
        <v>0.99951714147754711</v>
      </c>
      <c r="P210" s="19" t="s">
        <v>236</v>
      </c>
      <c r="Q210" s="65">
        <f t="shared" si="54"/>
        <v>1.0959999999999999</v>
      </c>
      <c r="R210" s="65">
        <f t="shared" si="44"/>
        <v>27.979274611398964</v>
      </c>
      <c r="S210">
        <f t="shared" si="55"/>
        <v>1080</v>
      </c>
      <c r="T210" s="65">
        <f t="shared" si="45"/>
        <v>1080</v>
      </c>
      <c r="U210" t="e">
        <f t="shared" si="56"/>
        <v>#DIV/0!</v>
      </c>
      <c r="V210" s="65" t="e">
        <f t="shared" si="57"/>
        <v>#DIV/0!</v>
      </c>
      <c r="W210" s="65">
        <f>T134/S134</f>
        <v>2470</v>
      </c>
      <c r="X210" s="65">
        <f t="shared" si="59"/>
        <v>2070</v>
      </c>
    </row>
    <row r="211" spans="3:24" x14ac:dyDescent="0.2">
      <c r="D211" s="19" t="s">
        <v>237</v>
      </c>
      <c r="F211" s="34">
        <f t="shared" si="46"/>
        <v>2.9761895904197649E-7</v>
      </c>
      <c r="G211" s="34">
        <f t="shared" si="47"/>
        <v>0</v>
      </c>
      <c r="H211" s="34">
        <f t="shared" si="48"/>
        <v>2.8570612268220908E-5</v>
      </c>
      <c r="I211" s="34">
        <f t="shared" si="49"/>
        <v>6.3875088715400997E-3</v>
      </c>
      <c r="J211" s="34">
        <f t="shared" si="50"/>
        <v>0.33025404157043881</v>
      </c>
      <c r="K211" s="34">
        <f t="shared" si="51"/>
        <v>0.91883614088820831</v>
      </c>
      <c r="L211" s="34">
        <f t="shared" si="52"/>
        <v>0.99145626115786778</v>
      </c>
      <c r="M211" s="28">
        <f t="shared" si="53"/>
        <v>0.99982146045349041</v>
      </c>
      <c r="P211" s="19" t="s">
        <v>237</v>
      </c>
      <c r="Q211" s="65">
        <f t="shared" si="54"/>
        <v>2.976190476190476E-7</v>
      </c>
      <c r="R211" s="65">
        <f t="shared" si="44"/>
        <v>0</v>
      </c>
      <c r="S211">
        <f t="shared" si="55"/>
        <v>2.8571428571428571E-5</v>
      </c>
      <c r="T211" s="65">
        <f t="shared" si="45"/>
        <v>2.8571428571428571E-5</v>
      </c>
      <c r="U211">
        <f t="shared" si="56"/>
        <v>0.49310344827586206</v>
      </c>
      <c r="V211" s="65">
        <f t="shared" si="57"/>
        <v>11.320754716981131</v>
      </c>
      <c r="W211" s="65">
        <f t="shared" si="58"/>
        <v>116.04477611940298</v>
      </c>
      <c r="X211" s="65">
        <f t="shared" si="59"/>
        <v>5600</v>
      </c>
    </row>
    <row r="212" spans="3:24" x14ac:dyDescent="0.2">
      <c r="D212" s="19" t="s">
        <v>238</v>
      </c>
      <c r="F212" s="34">
        <f t="shared" si="46"/>
        <v>7.9365016376971131E-7</v>
      </c>
      <c r="G212" s="34">
        <f t="shared" si="47"/>
        <v>0</v>
      </c>
      <c r="H212" s="34">
        <f t="shared" si="48"/>
        <v>0</v>
      </c>
      <c r="I212" s="34">
        <f t="shared" si="49"/>
        <v>2.6879487331632354E-2</v>
      </c>
      <c r="J212" s="34">
        <f t="shared" si="50"/>
        <v>0.9899287644313437</v>
      </c>
      <c r="K212" s="34">
        <f t="shared" si="51"/>
        <v>0.97042513863216262</v>
      </c>
      <c r="L212" s="34">
        <f t="shared" si="52"/>
        <v>0.99705415816904608</v>
      </c>
      <c r="M212" s="28">
        <f t="shared" si="53"/>
        <v>0.99997049267398674</v>
      </c>
      <c r="P212" s="19" t="s">
        <v>238</v>
      </c>
      <c r="Q212" s="65">
        <f t="shared" si="54"/>
        <v>7.9365079365079366E-7</v>
      </c>
      <c r="R212" s="65">
        <f t="shared" si="44"/>
        <v>0</v>
      </c>
      <c r="S212">
        <f t="shared" si="55"/>
        <v>0</v>
      </c>
      <c r="T212" s="65">
        <f t="shared" si="45"/>
        <v>0</v>
      </c>
      <c r="U212">
        <f t="shared" si="56"/>
        <v>98.292682926829272</v>
      </c>
      <c r="V212" s="65">
        <f t="shared" si="57"/>
        <v>32.8125</v>
      </c>
      <c r="W212" s="65">
        <f t="shared" si="58"/>
        <v>338.46153846153851</v>
      </c>
      <c r="X212" s="65">
        <f t="shared" si="59"/>
        <v>33888.888888888891</v>
      </c>
    </row>
    <row r="213" spans="3:24" x14ac:dyDescent="0.2">
      <c r="D213" s="19" t="s">
        <v>239</v>
      </c>
      <c r="F213" s="34">
        <f t="shared" si="46"/>
        <v>0.65217391304347827</v>
      </c>
      <c r="G213" s="34">
        <f t="shared" si="47"/>
        <v>0.96875426388320374</v>
      </c>
      <c r="H213" s="34">
        <f t="shared" si="48"/>
        <v>0.94667087409277373</v>
      </c>
      <c r="I213" s="34">
        <f t="shared" si="49"/>
        <v>0.97321428571428559</v>
      </c>
      <c r="J213" s="34">
        <f t="shared" si="50"/>
        <v>1</v>
      </c>
      <c r="K213" s="34">
        <f t="shared" si="51"/>
        <v>0.99999857143061233</v>
      </c>
      <c r="L213" s="34">
        <f t="shared" si="52"/>
        <v>0.99965289829920168</v>
      </c>
      <c r="M213" s="28">
        <f t="shared" si="53"/>
        <v>0.9999521553992633</v>
      </c>
      <c r="P213" s="19" t="s">
        <v>239</v>
      </c>
      <c r="Q213" s="65">
        <f t="shared" si="54"/>
        <v>1.875</v>
      </c>
      <c r="R213" s="65">
        <f t="shared" si="44"/>
        <v>31.004366812227072</v>
      </c>
      <c r="S213">
        <f t="shared" si="55"/>
        <v>17.751479289940828</v>
      </c>
      <c r="T213" s="65">
        <f t="shared" si="45"/>
        <v>17.751479289940828</v>
      </c>
      <c r="U213" t="e">
        <f t="shared" si="56"/>
        <v>#DIV/0!</v>
      </c>
      <c r="V213" s="65">
        <f t="shared" si="57"/>
        <v>700000</v>
      </c>
      <c r="W213" s="65">
        <f>T137/S137</f>
        <v>2880</v>
      </c>
      <c r="X213" s="65">
        <f t="shared" si="59"/>
        <v>20900</v>
      </c>
    </row>
    <row r="214" spans="3:24" x14ac:dyDescent="0.2">
      <c r="D214" s="19" t="s">
        <v>240</v>
      </c>
      <c r="F214" s="34">
        <f t="shared" si="46"/>
        <v>0.29595015576323985</v>
      </c>
      <c r="G214" s="34">
        <f t="shared" si="47"/>
        <v>5.6285178236397749E-3</v>
      </c>
      <c r="H214" s="34">
        <f t="shared" si="48"/>
        <v>0.89597113650030058</v>
      </c>
      <c r="I214" s="34">
        <f t="shared" si="49"/>
        <v>5.629139072847681E-2</v>
      </c>
      <c r="J214" s="34">
        <f t="shared" si="50"/>
        <v>0.40196078431372551</v>
      </c>
      <c r="K214" s="34">
        <f t="shared" si="51"/>
        <v>0.99050203527815461</v>
      </c>
      <c r="L214" s="34">
        <f t="shared" si="52"/>
        <v>0.99794238683127567</v>
      </c>
      <c r="M214" s="28">
        <f t="shared" si="53"/>
        <v>0.99979171006040402</v>
      </c>
      <c r="P214" s="19" t="s">
        <v>240</v>
      </c>
      <c r="Q214" s="65">
        <f t="shared" si="54"/>
        <v>0.42035398230088494</v>
      </c>
      <c r="R214" s="65">
        <f t="shared" si="44"/>
        <v>5.6603773584905665E-3</v>
      </c>
      <c r="S214">
        <f t="shared" si="55"/>
        <v>8.6127167630057802</v>
      </c>
      <c r="T214" s="65">
        <f t="shared" si="45"/>
        <v>8.6127167630057802</v>
      </c>
      <c r="U214">
        <f t="shared" si="56"/>
        <v>0.67213114754098358</v>
      </c>
      <c r="V214" s="65">
        <f t="shared" si="57"/>
        <v>104.28571428571429</v>
      </c>
      <c r="W214" s="65">
        <f t="shared" si="58"/>
        <v>485</v>
      </c>
      <c r="X214" s="65">
        <f t="shared" si="59"/>
        <v>4800.0000000000009</v>
      </c>
    </row>
    <row r="215" spans="3:24" x14ac:dyDescent="0.2">
      <c r="C215" s="16" t="s">
        <v>260</v>
      </c>
      <c r="D215" s="36" t="s">
        <v>241</v>
      </c>
      <c r="E215" s="2"/>
      <c r="F215" s="32">
        <f t="shared" si="46"/>
        <v>7.866761162296243E-2</v>
      </c>
      <c r="G215" s="32">
        <f t="shared" si="47"/>
        <v>9.6747162337167663E-3</v>
      </c>
      <c r="H215" s="32">
        <f t="shared" si="48"/>
        <v>1.3888869598792225E-6</v>
      </c>
      <c r="I215" s="32">
        <f t="shared" si="49"/>
        <v>2.0335460887635447E-2</v>
      </c>
      <c r="J215" s="32">
        <f t="shared" si="50"/>
        <v>0.1394658753709199</v>
      </c>
      <c r="K215" s="32">
        <f t="shared" si="51"/>
        <v>0.16535433070866143</v>
      </c>
      <c r="L215" s="32">
        <f t="shared" si="52"/>
        <v>6.3408958696916803E-2</v>
      </c>
      <c r="M215" s="33">
        <f t="shared" si="53"/>
        <v>0.54418604651162783</v>
      </c>
      <c r="O215" s="16" t="s">
        <v>260</v>
      </c>
      <c r="P215" s="36" t="s">
        <v>241</v>
      </c>
      <c r="Q215" s="65">
        <f t="shared" si="54"/>
        <v>8.5384615384615378E-2</v>
      </c>
      <c r="R215" s="65">
        <f t="shared" si="44"/>
        <v>9.7692307692307696E-3</v>
      </c>
      <c r="S215">
        <f t="shared" si="55"/>
        <v>1.388888888888889E-6</v>
      </c>
      <c r="T215" s="65">
        <f t="shared" si="45"/>
        <v>1.388888888888889E-6</v>
      </c>
      <c r="U215">
        <f t="shared" si="56"/>
        <v>0.1620689655172414</v>
      </c>
      <c r="V215" s="65">
        <f t="shared" si="57"/>
        <v>0.19811320754716985</v>
      </c>
      <c r="W215" s="65">
        <f t="shared" si="58"/>
        <v>6.7701863354037273E-2</v>
      </c>
      <c r="X215" s="65">
        <f t="shared" si="59"/>
        <v>1.1938775510204083</v>
      </c>
    </row>
    <row r="216" spans="3:24" x14ac:dyDescent="0.2">
      <c r="D216" s="21" t="s">
        <v>242</v>
      </c>
      <c r="F216" s="34">
        <f t="shared" si="46"/>
        <v>9.0342679127725839E-2</v>
      </c>
      <c r="G216" s="34">
        <f t="shared" si="47"/>
        <v>0.95422308188265637</v>
      </c>
      <c r="H216" s="34">
        <f t="shared" si="48"/>
        <v>0.64026402640264024</v>
      </c>
      <c r="I216" s="34">
        <f t="shared" si="49"/>
        <v>0.53731343283582089</v>
      </c>
      <c r="J216" s="34">
        <f t="shared" si="50"/>
        <v>0.89935760171306212</v>
      </c>
      <c r="K216" s="34">
        <f t="shared" si="51"/>
        <v>0.98191214470284238</v>
      </c>
      <c r="L216" s="34">
        <f t="shared" si="52"/>
        <v>0.99841069318228115</v>
      </c>
      <c r="M216" s="28">
        <f t="shared" si="53"/>
        <v>0.99998571448979301</v>
      </c>
      <c r="P216" s="21" t="s">
        <v>242</v>
      </c>
      <c r="Q216" s="65">
        <f t="shared" si="54"/>
        <v>9.9315068493150679E-2</v>
      </c>
      <c r="R216" s="65">
        <f t="shared" si="44"/>
        <v>20.845070422535208</v>
      </c>
      <c r="S216">
        <f t="shared" si="55"/>
        <v>1.7798165137614679</v>
      </c>
      <c r="T216" s="65">
        <f t="shared" si="45"/>
        <v>1.7798165137614679</v>
      </c>
      <c r="U216">
        <f t="shared" si="56"/>
        <v>8.9361702127659566</v>
      </c>
      <c r="V216" s="65">
        <f t="shared" si="57"/>
        <v>54.285714285714278</v>
      </c>
      <c r="W216" s="65">
        <f t="shared" si="58"/>
        <v>628.20512820512818</v>
      </c>
      <c r="X216" s="65">
        <f t="shared" si="59"/>
        <v>70000</v>
      </c>
    </row>
    <row r="217" spans="3:24" x14ac:dyDescent="0.2">
      <c r="D217" s="21" t="s">
        <v>243</v>
      </c>
      <c r="F217" s="34">
        <f t="shared" si="46"/>
        <v>0.30275229357798167</v>
      </c>
      <c r="G217" s="34">
        <f t="shared" si="47"/>
        <v>0.93820044828690363</v>
      </c>
      <c r="H217" s="34">
        <f t="shared" si="48"/>
        <v>0.98350048527984468</v>
      </c>
      <c r="I217" s="34">
        <f t="shared" si="49"/>
        <v>0.97867479055597861</v>
      </c>
      <c r="J217" s="34">
        <f t="shared" si="50"/>
        <v>0.9878704514192822</v>
      </c>
      <c r="K217" s="34">
        <f t="shared" si="51"/>
        <v>0.8519701810436634</v>
      </c>
      <c r="L217" s="34">
        <f t="shared" si="52"/>
        <v>0.99884640274612424</v>
      </c>
      <c r="M217" s="28">
        <f t="shared" si="53"/>
        <v>0.98308515252277007</v>
      </c>
      <c r="P217" s="21" t="s">
        <v>243</v>
      </c>
      <c r="Q217" s="65">
        <f t="shared" si="54"/>
        <v>0.43421052631578955</v>
      </c>
      <c r="R217" s="65">
        <f t="shared" si="44"/>
        <v>15.181347150259066</v>
      </c>
      <c r="S217">
        <f t="shared" si="55"/>
        <v>59.607843137254903</v>
      </c>
      <c r="T217" s="65">
        <f t="shared" si="45"/>
        <v>59.607843137254903</v>
      </c>
      <c r="U217">
        <f t="shared" si="56"/>
        <v>81.44329896907216</v>
      </c>
      <c r="V217" s="65">
        <f t="shared" si="57"/>
        <v>5.7553956834532372</v>
      </c>
      <c r="W217" s="65">
        <f t="shared" si="58"/>
        <v>865.85365853658527</v>
      </c>
      <c r="X217" s="65">
        <f t="shared" si="59"/>
        <v>58.119658119658119</v>
      </c>
    </row>
    <row r="218" spans="3:24" x14ac:dyDescent="0.2">
      <c r="D218" s="21" t="s">
        <v>244</v>
      </c>
      <c r="F218" s="34">
        <f t="shared" si="46"/>
        <v>0.34375000000000006</v>
      </c>
      <c r="G218" s="34">
        <f t="shared" si="47"/>
        <v>0.72142857142857142</v>
      </c>
      <c r="H218" s="34">
        <f t="shared" si="48"/>
        <v>0.73762376237623761</v>
      </c>
      <c r="I218" s="34">
        <f t="shared" si="49"/>
        <v>0.64312267657992561</v>
      </c>
      <c r="J218" s="34">
        <f t="shared" si="50"/>
        <v>0.55757575757575761</v>
      </c>
      <c r="K218" s="34">
        <f t="shared" si="51"/>
        <v>0.22879177377892029</v>
      </c>
      <c r="L218" s="34">
        <f t="shared" si="52"/>
        <v>0.17777777777777778</v>
      </c>
      <c r="M218" s="28">
        <f t="shared" si="53"/>
        <v>0.99819603126879131</v>
      </c>
      <c r="P218" s="21" t="s">
        <v>244</v>
      </c>
      <c r="Q218" s="65">
        <f t="shared" si="54"/>
        <v>0.52380952380952384</v>
      </c>
      <c r="R218" s="65">
        <f t="shared" si="44"/>
        <v>2.5897435897435899</v>
      </c>
      <c r="S218">
        <f t="shared" si="55"/>
        <v>2.8113207547169807</v>
      </c>
      <c r="T218" s="65">
        <f t="shared" si="45"/>
        <v>2.8113207547169807</v>
      </c>
      <c r="U218">
        <f t="shared" si="56"/>
        <v>1.2602739726027397</v>
      </c>
      <c r="V218" s="65">
        <f t="shared" si="57"/>
        <v>0.29666666666666663</v>
      </c>
      <c r="W218" s="65">
        <f t="shared" si="58"/>
        <v>0.21621621621621623</v>
      </c>
      <c r="X218" s="65">
        <f t="shared" si="59"/>
        <v>553.33333333333337</v>
      </c>
    </row>
    <row r="219" spans="3:24" x14ac:dyDescent="0.2">
      <c r="D219" s="21" t="s">
        <v>245</v>
      </c>
      <c r="F219" s="34">
        <f t="shared" si="46"/>
        <v>0.49700598802395207</v>
      </c>
      <c r="G219" s="34">
        <f t="shared" si="47"/>
        <v>0.95839177185600755</v>
      </c>
      <c r="H219" s="34">
        <f t="shared" si="48"/>
        <v>0.77976190476190477</v>
      </c>
      <c r="I219" s="34">
        <f t="shared" si="49"/>
        <v>0.81333333333333335</v>
      </c>
      <c r="J219" s="34">
        <f t="shared" si="50"/>
        <v>0.62913907284768211</v>
      </c>
      <c r="K219" s="34">
        <f t="shared" si="51"/>
        <v>0.99086437104708369</v>
      </c>
      <c r="L219" s="34">
        <f t="shared" si="52"/>
        <v>0.99951830443159928</v>
      </c>
      <c r="M219" s="28">
        <f t="shared" si="53"/>
        <v>0.99987098438911104</v>
      </c>
      <c r="P219" s="21" t="s">
        <v>245</v>
      </c>
      <c r="Q219" s="65">
        <f t="shared" si="54"/>
        <v>0.98809523809523825</v>
      </c>
      <c r="R219" s="65">
        <f t="shared" si="44"/>
        <v>23.033707865168541</v>
      </c>
      <c r="S219">
        <f t="shared" si="55"/>
        <v>3.5405405405405403</v>
      </c>
      <c r="T219" s="65">
        <f t="shared" si="45"/>
        <v>3.5405405405405403</v>
      </c>
      <c r="U219">
        <f t="shared" si="56"/>
        <v>1.6964285714285716</v>
      </c>
      <c r="V219" s="65">
        <f t="shared" si="57"/>
        <v>108.46153846153845</v>
      </c>
      <c r="W219" s="65">
        <f t="shared" si="58"/>
        <v>2075</v>
      </c>
      <c r="X219" s="65">
        <f t="shared" si="59"/>
        <v>7750</v>
      </c>
    </row>
    <row r="220" spans="3:24" x14ac:dyDescent="0.2">
      <c r="D220" s="21" t="s">
        <v>246</v>
      </c>
      <c r="F220" s="34">
        <f t="shared" si="46"/>
        <v>0.27433628318584069</v>
      </c>
      <c r="G220" s="34">
        <f t="shared" si="47"/>
        <v>0.72572402044293016</v>
      </c>
      <c r="H220" s="34">
        <f t="shared" si="48"/>
        <v>0.96605744125326365</v>
      </c>
      <c r="I220" s="34">
        <f t="shared" si="49"/>
        <v>0.7993630573248407</v>
      </c>
      <c r="J220" s="34">
        <f t="shared" si="50"/>
        <v>1.9118869492934332E-2</v>
      </c>
      <c r="K220" s="34">
        <f t="shared" si="51"/>
        <v>0.48529411764705882</v>
      </c>
      <c r="L220" s="34">
        <f t="shared" si="52"/>
        <v>0.77436582109479313</v>
      </c>
      <c r="M220" s="28">
        <f t="shared" si="53"/>
        <v>0.76237623762376228</v>
      </c>
      <c r="P220" s="21" t="s">
        <v>246</v>
      </c>
      <c r="Q220" s="65">
        <f t="shared" si="54"/>
        <v>0.37804878048780483</v>
      </c>
      <c r="R220" s="65">
        <f t="shared" si="44"/>
        <v>2.6459627329192545</v>
      </c>
      <c r="S220">
        <f t="shared" si="55"/>
        <v>28.461538461538463</v>
      </c>
      <c r="T220" s="65">
        <f t="shared" si="45"/>
        <v>28.461538461538463</v>
      </c>
      <c r="U220">
        <f t="shared" si="56"/>
        <v>1.9491525423728815E-2</v>
      </c>
      <c r="V220" s="65">
        <f t="shared" si="57"/>
        <v>0.94285714285714284</v>
      </c>
      <c r="W220" s="65">
        <f t="shared" si="58"/>
        <v>3.4319526627218937</v>
      </c>
      <c r="X220" s="65">
        <f t="shared" si="59"/>
        <v>3.2083333333333335</v>
      </c>
    </row>
    <row r="221" spans="3:24" x14ac:dyDescent="0.2">
      <c r="D221" s="21" t="s">
        <v>247</v>
      </c>
      <c r="F221" s="34">
        <f t="shared" si="46"/>
        <v>0.11726384364820847</v>
      </c>
      <c r="G221" s="34">
        <f t="shared" si="47"/>
        <v>0.18579234972677594</v>
      </c>
      <c r="H221" s="34">
        <f t="shared" si="48"/>
        <v>0.7139037433155081</v>
      </c>
      <c r="I221" s="34">
        <f t="shared" si="49"/>
        <v>5.1020382132458101E-7</v>
      </c>
      <c r="J221" s="34">
        <f t="shared" si="50"/>
        <v>0</v>
      </c>
      <c r="K221" s="34">
        <f t="shared" si="51"/>
        <v>1.3883138076332903E-3</v>
      </c>
      <c r="L221" s="34">
        <f t="shared" si="52"/>
        <v>0.41077441077441079</v>
      </c>
      <c r="M221" s="28">
        <f t="shared" si="53"/>
        <v>0.98949919224555727</v>
      </c>
      <c r="P221" s="21" t="s">
        <v>247</v>
      </c>
      <c r="Q221" s="65">
        <f t="shared" si="54"/>
        <v>0.13284132841328414</v>
      </c>
      <c r="R221" s="65">
        <f t="shared" si="44"/>
        <v>0.22818791946308722</v>
      </c>
      <c r="S221">
        <f t="shared" si="55"/>
        <v>2.4953271028037385</v>
      </c>
      <c r="T221" s="65">
        <f t="shared" si="45"/>
        <v>2.4953271028037385</v>
      </c>
      <c r="U221">
        <f t="shared" si="56"/>
        <v>0</v>
      </c>
      <c r="V221" s="65">
        <f t="shared" si="57"/>
        <v>1.3902439024390243E-3</v>
      </c>
      <c r="W221" s="65">
        <f t="shared" si="58"/>
        <v>0.69714285714285718</v>
      </c>
      <c r="X221" s="65">
        <f t="shared" si="59"/>
        <v>94.230769230769241</v>
      </c>
    </row>
    <row r="222" spans="3:24" x14ac:dyDescent="0.2">
      <c r="D222" s="21" t="s">
        <v>248</v>
      </c>
      <c r="F222" s="34">
        <f t="shared" si="46"/>
        <v>0.41061452513966484</v>
      </c>
      <c r="G222" s="34">
        <f t="shared" si="47"/>
        <v>0.9107142857142857</v>
      </c>
      <c r="H222" s="34">
        <f t="shared" si="48"/>
        <v>0.9887459807073955</v>
      </c>
      <c r="I222" s="34">
        <f t="shared" si="49"/>
        <v>0.99638049534344619</v>
      </c>
      <c r="J222" s="34">
        <f t="shared" si="50"/>
        <v>0.99956760277857326</v>
      </c>
      <c r="K222" s="34">
        <f t="shared" si="51"/>
        <v>0.9995161072813955</v>
      </c>
      <c r="L222" s="34">
        <f t="shared" si="52"/>
        <v>0.99844921717332658</v>
      </c>
      <c r="M222" s="28">
        <f t="shared" si="53"/>
        <v>0.99981821487002365</v>
      </c>
      <c r="P222" s="21" t="s">
        <v>248</v>
      </c>
      <c r="Q222" s="65">
        <f t="shared" si="54"/>
        <v>0.69668246445497639</v>
      </c>
      <c r="R222" s="65">
        <f t="shared" si="44"/>
        <v>10.199999999999999</v>
      </c>
      <c r="S222">
        <f t="shared" si="55"/>
        <v>87.857142857142861</v>
      </c>
      <c r="T222" s="65">
        <f t="shared" si="45"/>
        <v>87.857142857142861</v>
      </c>
      <c r="U222">
        <f t="shared" si="56"/>
        <v>2311.6883116883118</v>
      </c>
      <c r="V222" s="65">
        <f t="shared" si="57"/>
        <v>2065.5737704918033</v>
      </c>
      <c r="W222" s="65">
        <f t="shared" si="58"/>
        <v>643.83561643835628</v>
      </c>
      <c r="X222" s="65">
        <f t="shared" si="59"/>
        <v>5500.0000000000009</v>
      </c>
    </row>
    <row r="223" spans="3:24" x14ac:dyDescent="0.2">
      <c r="C223" s="16" t="s">
        <v>108</v>
      </c>
      <c r="D223" s="37" t="s">
        <v>249</v>
      </c>
      <c r="E223" s="37"/>
      <c r="F223" s="38">
        <f t="shared" si="46"/>
        <v>5.8823494809708932E-7</v>
      </c>
      <c r="G223" s="38">
        <f t="shared" si="47"/>
        <v>2.3255273133182948E-5</v>
      </c>
      <c r="H223" s="38">
        <f t="shared" si="48"/>
        <v>7.1423469752160548E-5</v>
      </c>
      <c r="I223" s="38">
        <f t="shared" si="49"/>
        <v>0</v>
      </c>
      <c r="J223" s="38">
        <f t="shared" si="50"/>
        <v>0.33333333333333331</v>
      </c>
      <c r="K223" s="38">
        <f t="shared" si="51"/>
        <v>0.6428571428571429</v>
      </c>
      <c r="L223" s="38">
        <f>T147/(S147+T147)</f>
        <v>1</v>
      </c>
      <c r="M223" s="39">
        <f t="shared" si="53"/>
        <v>0.97619047619047616</v>
      </c>
      <c r="N223" s="40" t="s">
        <v>271</v>
      </c>
      <c r="O223" s="16" t="s">
        <v>108</v>
      </c>
      <c r="P223" s="37" t="s">
        <v>249</v>
      </c>
      <c r="Q223" s="65">
        <f t="shared" si="54"/>
        <v>5.8823529411764701E-7</v>
      </c>
      <c r="R223" s="65">
        <f t="shared" si="44"/>
        <v>2.3255813953488371E-5</v>
      </c>
      <c r="S223">
        <f t="shared" si="55"/>
        <v>7.142857142857142E-5</v>
      </c>
      <c r="T223" s="65">
        <f t="shared" si="45"/>
        <v>7.142857142857142E-5</v>
      </c>
      <c r="U223">
        <f t="shared" si="56"/>
        <v>0.5</v>
      </c>
      <c r="V223" s="65">
        <f t="shared" si="57"/>
        <v>1.7999999999999998</v>
      </c>
      <c r="W223" s="65" t="e">
        <f t="shared" si="58"/>
        <v>#DIV/0!</v>
      </c>
      <c r="X223" s="65">
        <f t="shared" si="59"/>
        <v>41</v>
      </c>
    </row>
    <row r="224" spans="3:24" x14ac:dyDescent="0.2">
      <c r="D224" s="23" t="s">
        <v>250</v>
      </c>
      <c r="F224" s="34">
        <f>H148/(G148+H148)</f>
        <v>0.4201550387596899</v>
      </c>
      <c r="G224" s="34">
        <f t="shared" si="47"/>
        <v>2.0576089349610394E-6</v>
      </c>
      <c r="H224" s="34">
        <f t="shared" si="48"/>
        <v>1.3701735336799474E-5</v>
      </c>
      <c r="I224" s="34">
        <f t="shared" si="49"/>
        <v>2.1073989306175656E-4</v>
      </c>
      <c r="J224" s="34">
        <f t="shared" si="50"/>
        <v>1.0193135651220021E-4</v>
      </c>
      <c r="K224" s="34">
        <f t="shared" si="51"/>
        <v>2.4366710821109093E-3</v>
      </c>
      <c r="L224" s="34">
        <f t="shared" si="52"/>
        <v>1.4535599901453563E-2</v>
      </c>
      <c r="M224" s="28">
        <f t="shared" si="53"/>
        <v>1.824252228685506E-3</v>
      </c>
      <c r="P224" s="23" t="s">
        <v>250</v>
      </c>
      <c r="Q224" s="65">
        <f t="shared" si="54"/>
        <v>0.72459893048128343</v>
      </c>
      <c r="R224" s="65">
        <f t="shared" si="44"/>
        <v>2.05761316872428E-6</v>
      </c>
      <c r="S224">
        <f t="shared" si="55"/>
        <v>1.3701923076923077E-5</v>
      </c>
      <c r="T224" s="65">
        <f t="shared" si="45"/>
        <v>1.3701923076923077E-5</v>
      </c>
      <c r="U224">
        <f t="shared" si="56"/>
        <v>1.0194174757281553E-4</v>
      </c>
      <c r="V224" s="65">
        <f t="shared" si="57"/>
        <v>2.4426229508196719E-3</v>
      </c>
      <c r="W224" s="65">
        <f t="shared" si="58"/>
        <v>1.4750000000000001E-2</v>
      </c>
      <c r="X224" s="65">
        <f t="shared" si="59"/>
        <v>1.8275862068965517E-3</v>
      </c>
    </row>
    <row r="225" spans="3:24" x14ac:dyDescent="0.2">
      <c r="D225" s="23" t="s">
        <v>251</v>
      </c>
      <c r="F225" s="34">
        <f t="shared" si="46"/>
        <v>0.12154696132596683</v>
      </c>
      <c r="G225" s="34">
        <f t="shared" si="47"/>
        <v>4.8582759921814148E-6</v>
      </c>
      <c r="H225" s="34">
        <f t="shared" si="48"/>
        <v>0</v>
      </c>
      <c r="I225" s="34">
        <f t="shared" si="49"/>
        <v>0</v>
      </c>
      <c r="J225" s="34">
        <f t="shared" si="50"/>
        <v>0</v>
      </c>
      <c r="K225" s="34">
        <f t="shared" si="51"/>
        <v>0</v>
      </c>
      <c r="L225" s="34">
        <f t="shared" si="52"/>
        <v>2.8571428571428571E-2</v>
      </c>
      <c r="M225" s="28">
        <f t="shared" si="53"/>
        <v>4.7324969768749578E-3</v>
      </c>
      <c r="P225" s="23" t="s">
        <v>251</v>
      </c>
      <c r="Q225" s="65">
        <f t="shared" si="54"/>
        <v>0.13836477987421383</v>
      </c>
      <c r="R225" s="65">
        <f t="shared" si="44"/>
        <v>4.858299595141701E-6</v>
      </c>
      <c r="S225">
        <f t="shared" si="55"/>
        <v>0</v>
      </c>
      <c r="T225" s="65">
        <f t="shared" si="45"/>
        <v>0</v>
      </c>
      <c r="U225">
        <f t="shared" si="56"/>
        <v>0</v>
      </c>
      <c r="V225" s="65">
        <f t="shared" si="57"/>
        <v>0</v>
      </c>
      <c r="W225" s="65">
        <f t="shared" si="58"/>
        <v>2.9411764705882349E-2</v>
      </c>
      <c r="X225" s="65">
        <f t="shared" si="59"/>
        <v>4.7549999999999979E-3</v>
      </c>
    </row>
    <row r="226" spans="3:24" x14ac:dyDescent="0.2">
      <c r="D226" s="23" t="s">
        <v>252</v>
      </c>
      <c r="F226" s="34">
        <f t="shared" si="46"/>
        <v>0.38095238095238099</v>
      </c>
      <c r="G226" s="34">
        <f t="shared" si="47"/>
        <v>5.0359458621431393E-6</v>
      </c>
      <c r="H226" s="34">
        <f t="shared" si="48"/>
        <v>0</v>
      </c>
      <c r="I226" s="34">
        <f t="shared" si="49"/>
        <v>0</v>
      </c>
      <c r="J226" s="34">
        <f t="shared" si="50"/>
        <v>0</v>
      </c>
      <c r="K226" s="34" t="e">
        <f t="shared" si="51"/>
        <v>#DIV/0!</v>
      </c>
      <c r="L226" s="34">
        <f t="shared" si="52"/>
        <v>0.33333333333333331</v>
      </c>
      <c r="M226" s="28">
        <f t="shared" si="53"/>
        <v>5.2918473719810637E-3</v>
      </c>
      <c r="P226" s="23" t="s">
        <v>252</v>
      </c>
      <c r="Q226" s="65">
        <f t="shared" si="54"/>
        <v>0.61538461538461553</v>
      </c>
      <c r="R226" s="65">
        <f t="shared" si="44"/>
        <v>5.0359712230215825E-6</v>
      </c>
      <c r="S226">
        <f t="shared" si="55"/>
        <v>0</v>
      </c>
      <c r="T226" s="65">
        <f t="shared" si="45"/>
        <v>0</v>
      </c>
      <c r="U226">
        <f t="shared" si="56"/>
        <v>0</v>
      </c>
      <c r="V226" s="65" t="e">
        <f t="shared" si="57"/>
        <v>#DIV/0!</v>
      </c>
      <c r="W226" s="65">
        <f t="shared" si="58"/>
        <v>0.5</v>
      </c>
      <c r="X226" s="65">
        <f t="shared" si="59"/>
        <v>5.3200000000000027E-3</v>
      </c>
    </row>
    <row r="227" spans="3:24" x14ac:dyDescent="0.2">
      <c r="D227" s="23" t="s">
        <v>253</v>
      </c>
      <c r="F227" s="34">
        <f t="shared" si="46"/>
        <v>0.63243243243243241</v>
      </c>
      <c r="G227" s="34">
        <f t="shared" si="47"/>
        <v>2.8856825749167592E-2</v>
      </c>
      <c r="H227" s="34">
        <f t="shared" si="48"/>
        <v>0</v>
      </c>
      <c r="I227" s="34">
        <f t="shared" si="49"/>
        <v>2.0572689850357717E-4</v>
      </c>
      <c r="J227" s="34">
        <f t="shared" si="50"/>
        <v>1.6725798276735936E-2</v>
      </c>
      <c r="K227" s="34">
        <f t="shared" si="51"/>
        <v>0.43430656934306572</v>
      </c>
      <c r="L227" s="34">
        <f t="shared" si="52"/>
        <v>0.97887135597753416</v>
      </c>
      <c r="M227" s="28">
        <f t="shared" si="53"/>
        <v>0.99924381549097985</v>
      </c>
      <c r="P227" s="23" t="s">
        <v>253</v>
      </c>
      <c r="Q227" s="65">
        <f t="shared" si="54"/>
        <v>1.7205882352941175</v>
      </c>
      <c r="R227" s="65">
        <f t="shared" si="44"/>
        <v>2.9714285714285714E-2</v>
      </c>
      <c r="S227">
        <f t="shared" si="55"/>
        <v>0</v>
      </c>
      <c r="T227" s="65">
        <f t="shared" si="45"/>
        <v>0</v>
      </c>
      <c r="U227">
        <f t="shared" si="56"/>
        <v>1.7010309278350514E-2</v>
      </c>
      <c r="V227" s="65">
        <f t="shared" si="57"/>
        <v>0.76774193548387104</v>
      </c>
      <c r="W227" s="65">
        <f t="shared" si="58"/>
        <v>46.329113924050638</v>
      </c>
      <c r="X227" s="65">
        <f t="shared" si="59"/>
        <v>1321.4285714285713</v>
      </c>
    </row>
    <row r="228" spans="3:24" x14ac:dyDescent="0.2">
      <c r="D228" s="23" t="s">
        <v>254</v>
      </c>
      <c r="F228" s="34">
        <f t="shared" si="46"/>
        <v>0.13183279742765272</v>
      </c>
      <c r="G228" s="34">
        <f t="shared" si="47"/>
        <v>0</v>
      </c>
      <c r="H228" s="34">
        <f t="shared" si="48"/>
        <v>0</v>
      </c>
      <c r="I228" s="34">
        <f t="shared" si="49"/>
        <v>0</v>
      </c>
      <c r="J228" s="34">
        <f t="shared" si="50"/>
        <v>0</v>
      </c>
      <c r="K228" s="34">
        <f t="shared" si="51"/>
        <v>2.4999375015624615E-5</v>
      </c>
      <c r="L228" s="34">
        <f t="shared" si="52"/>
        <v>6.4098455227229022E-5</v>
      </c>
      <c r="M228" s="28">
        <f t="shared" si="53"/>
        <v>3.6350418029807341E-4</v>
      </c>
      <c r="P228" s="23" t="s">
        <v>254</v>
      </c>
      <c r="Q228" s="65">
        <f t="shared" si="54"/>
        <v>0.15185185185185185</v>
      </c>
      <c r="R228" s="65">
        <f t="shared" si="44"/>
        <v>0</v>
      </c>
      <c r="S228">
        <f t="shared" si="55"/>
        <v>0</v>
      </c>
      <c r="T228" s="65">
        <f t="shared" si="45"/>
        <v>0</v>
      </c>
      <c r="U228">
        <f t="shared" si="56"/>
        <v>0</v>
      </c>
      <c r="V228" s="65">
        <f t="shared" si="57"/>
        <v>2.5000000000000005E-5</v>
      </c>
      <c r="W228" s="65">
        <f t="shared" si="58"/>
        <v>6.4102564102564103E-5</v>
      </c>
      <c r="X228" s="65">
        <f t="shared" si="59"/>
        <v>3.6363636363636361E-4</v>
      </c>
    </row>
    <row r="229" spans="3:24" x14ac:dyDescent="0.2">
      <c r="D229" s="23" t="s">
        <v>255</v>
      </c>
      <c r="F229" s="34">
        <f t="shared" si="46"/>
        <v>0.98184724283594005</v>
      </c>
      <c r="G229" s="34">
        <f t="shared" si="47"/>
        <v>0.97922139957009791</v>
      </c>
      <c r="H229" s="34">
        <f t="shared" si="48"/>
        <v>0.97925311203319509</v>
      </c>
      <c r="I229" s="34">
        <f t="shared" si="49"/>
        <v>0.86444007858546168</v>
      </c>
      <c r="J229" s="34">
        <f t="shared" si="50"/>
        <v>0.95165003837298534</v>
      </c>
      <c r="K229" s="34">
        <f t="shared" si="51"/>
        <v>0.9994846407321224</v>
      </c>
      <c r="L229" s="34">
        <f t="shared" si="52"/>
        <v>0.9998648831239022</v>
      </c>
      <c r="M229" s="28">
        <f t="shared" si="53"/>
        <v>0.99998666684444204</v>
      </c>
      <c r="P229" s="23" t="s">
        <v>255</v>
      </c>
      <c r="Q229" s="65">
        <f t="shared" si="54"/>
        <v>54.088050314465406</v>
      </c>
      <c r="R229" s="65">
        <f t="shared" si="44"/>
        <v>47.126436781609193</v>
      </c>
      <c r="S229">
        <f t="shared" si="55"/>
        <v>47.199999999999996</v>
      </c>
      <c r="T229" s="65">
        <f t="shared" si="45"/>
        <v>47.199999999999996</v>
      </c>
      <c r="U229">
        <f t="shared" si="56"/>
        <v>19.68253968253968</v>
      </c>
      <c r="V229" s="65">
        <f t="shared" si="57"/>
        <v>1939.3939393939393</v>
      </c>
      <c r="W229" s="65">
        <f t="shared" si="58"/>
        <v>7400</v>
      </c>
      <c r="X229" s="65">
        <f t="shared" si="59"/>
        <v>75000</v>
      </c>
    </row>
    <row r="230" spans="3:24" x14ac:dyDescent="0.2">
      <c r="D230" s="23" t="s">
        <v>256</v>
      </c>
      <c r="F230" s="34">
        <f t="shared" si="46"/>
        <v>0.67664670658682635</v>
      </c>
      <c r="G230" s="34">
        <f t="shared" si="47"/>
        <v>1.0059315272815568E-3</v>
      </c>
      <c r="H230" s="34">
        <f t="shared" si="48"/>
        <v>2.8168220613503847E-5</v>
      </c>
      <c r="I230" s="34">
        <f t="shared" si="49"/>
        <v>1.5948422124194096E-2</v>
      </c>
      <c r="J230" s="34">
        <f t="shared" si="50"/>
        <v>0.62580645161290316</v>
      </c>
      <c r="K230" s="34">
        <f t="shared" si="51"/>
        <v>0.78633836378077848</v>
      </c>
      <c r="L230" s="34">
        <f t="shared" si="52"/>
        <v>0.99192291341930006</v>
      </c>
      <c r="M230" s="28">
        <f t="shared" si="53"/>
        <v>0.99991177249066254</v>
      </c>
      <c r="P230" s="23" t="s">
        <v>256</v>
      </c>
      <c r="Q230" s="65">
        <f t="shared" si="54"/>
        <v>2.0925925925925926</v>
      </c>
      <c r="R230" s="65">
        <f t="shared" si="44"/>
        <v>1.0069444444444444E-3</v>
      </c>
      <c r="S230">
        <f t="shared" si="55"/>
        <v>2.8169014084507043E-5</v>
      </c>
      <c r="T230" s="65">
        <f t="shared" si="45"/>
        <v>2.8169014084507043E-5</v>
      </c>
      <c r="U230">
        <f t="shared" si="56"/>
        <v>1.6724137931034482</v>
      </c>
      <c r="V230" s="65">
        <f t="shared" si="57"/>
        <v>3.6802973977695168</v>
      </c>
      <c r="W230" s="65">
        <f t="shared" si="58"/>
        <v>122.80701754385967</v>
      </c>
      <c r="X230" s="65">
        <f t="shared" si="59"/>
        <v>11333.333333333334</v>
      </c>
    </row>
    <row r="236" spans="3:24" ht="17" thickBot="1" x14ac:dyDescent="0.25"/>
    <row r="237" spans="3:24" x14ac:dyDescent="0.2">
      <c r="C237" s="55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7"/>
    </row>
    <row r="238" spans="3:24" x14ac:dyDescent="0.2">
      <c r="C238" s="58"/>
      <c r="D238" s="45" t="s">
        <v>423</v>
      </c>
      <c r="E238" s="52" t="s">
        <v>1</v>
      </c>
      <c r="H238" s="45" t="s">
        <v>423</v>
      </c>
      <c r="I238" s="52" t="s">
        <v>1</v>
      </c>
      <c r="L238" s="45" t="s">
        <v>423</v>
      </c>
      <c r="M238" s="52" t="s">
        <v>1</v>
      </c>
      <c r="N238" s="59"/>
    </row>
    <row r="239" spans="3:24" x14ac:dyDescent="0.2">
      <c r="C239" s="58"/>
      <c r="D239" s="47"/>
      <c r="E239" s="48"/>
      <c r="H239" s="47"/>
      <c r="I239" s="48"/>
      <c r="L239" s="47"/>
      <c r="M239" s="48"/>
      <c r="N239" s="59"/>
    </row>
    <row r="240" spans="3:24" x14ac:dyDescent="0.2">
      <c r="C240" s="58"/>
      <c r="D240" s="47" t="s">
        <v>562</v>
      </c>
      <c r="E240" s="48" t="s">
        <v>260</v>
      </c>
      <c r="H240" s="47" t="s">
        <v>579</v>
      </c>
      <c r="I240" s="48" t="s">
        <v>108</v>
      </c>
      <c r="L240" s="47" t="s">
        <v>584</v>
      </c>
      <c r="M240" s="48" t="s">
        <v>123</v>
      </c>
      <c r="N240" s="59"/>
    </row>
    <row r="241" spans="3:14" x14ac:dyDescent="0.2">
      <c r="C241" s="58"/>
      <c r="D241" s="47" t="s">
        <v>560</v>
      </c>
      <c r="E241" s="48" t="s">
        <v>561</v>
      </c>
      <c r="H241" s="47" t="s">
        <v>560</v>
      </c>
      <c r="I241" s="48" t="s">
        <v>561</v>
      </c>
      <c r="L241" s="47" t="s">
        <v>560</v>
      </c>
      <c r="M241" s="48" t="s">
        <v>561</v>
      </c>
      <c r="N241" s="59"/>
    </row>
    <row r="242" spans="3:14" x14ac:dyDescent="0.2">
      <c r="C242" s="58"/>
      <c r="D242" s="47" t="s">
        <v>559</v>
      </c>
      <c r="E242" s="48" t="s">
        <v>109</v>
      </c>
      <c r="H242" s="47" t="s">
        <v>559</v>
      </c>
      <c r="I242" s="48" t="s">
        <v>109</v>
      </c>
      <c r="L242" s="47" t="s">
        <v>559</v>
      </c>
      <c r="M242" s="48" t="s">
        <v>109</v>
      </c>
      <c r="N242" s="59"/>
    </row>
    <row r="243" spans="3:14" x14ac:dyDescent="0.2">
      <c r="C243" s="58"/>
      <c r="D243" s="47"/>
      <c r="E243" s="48"/>
      <c r="H243" s="47"/>
      <c r="I243" s="48"/>
      <c r="L243" s="47"/>
      <c r="M243" s="48"/>
      <c r="N243" s="59"/>
    </row>
    <row r="244" spans="3:14" x14ac:dyDescent="0.2">
      <c r="C244" s="58"/>
      <c r="D244" s="47" t="s">
        <v>564</v>
      </c>
      <c r="E244" s="48"/>
      <c r="H244" s="47" t="s">
        <v>564</v>
      </c>
      <c r="I244" s="48"/>
      <c r="L244" s="47" t="s">
        <v>564</v>
      </c>
      <c r="M244" s="48"/>
      <c r="N244" s="59"/>
    </row>
    <row r="245" spans="3:14" x14ac:dyDescent="0.2">
      <c r="C245" s="58"/>
      <c r="D245" s="47" t="s">
        <v>428</v>
      </c>
      <c r="E245" s="48">
        <v>9.3200000000000005E-2</v>
      </c>
      <c r="H245" s="47" t="s">
        <v>428</v>
      </c>
      <c r="I245" s="48">
        <v>1.26E-2</v>
      </c>
      <c r="L245" s="47" t="s">
        <v>428</v>
      </c>
      <c r="M245" s="48">
        <v>1.7299999999999999E-2</v>
      </c>
      <c r="N245" s="59"/>
    </row>
    <row r="246" spans="3:14" x14ac:dyDescent="0.2">
      <c r="C246" s="58"/>
      <c r="D246" s="47" t="s">
        <v>565</v>
      </c>
      <c r="E246" s="48" t="s">
        <v>566</v>
      </c>
      <c r="H246" s="47" t="s">
        <v>565</v>
      </c>
      <c r="I246" s="48" t="s">
        <v>566</v>
      </c>
      <c r="L246" s="47" t="s">
        <v>565</v>
      </c>
      <c r="M246" s="48" t="s">
        <v>566</v>
      </c>
      <c r="N246" s="59"/>
    </row>
    <row r="247" spans="3:14" x14ac:dyDescent="0.2">
      <c r="C247" s="58"/>
      <c r="D247" s="47" t="s">
        <v>429</v>
      </c>
      <c r="E247" s="48" t="s">
        <v>323</v>
      </c>
      <c r="H247" s="47" t="s">
        <v>429</v>
      </c>
      <c r="I247" s="48" t="s">
        <v>321</v>
      </c>
      <c r="L247" s="47" t="s">
        <v>429</v>
      </c>
      <c r="M247" s="48" t="s">
        <v>321</v>
      </c>
      <c r="N247" s="59"/>
    </row>
    <row r="248" spans="3:14" x14ac:dyDescent="0.2">
      <c r="C248" s="58"/>
      <c r="D248" s="47" t="s">
        <v>567</v>
      </c>
      <c r="E248" s="48" t="s">
        <v>413</v>
      </c>
      <c r="H248" s="47" t="s">
        <v>567</v>
      </c>
      <c r="I248" s="48" t="s">
        <v>406</v>
      </c>
      <c r="L248" s="47" t="s">
        <v>567</v>
      </c>
      <c r="M248" s="48" t="s">
        <v>406</v>
      </c>
      <c r="N248" s="59"/>
    </row>
    <row r="249" spans="3:14" x14ac:dyDescent="0.2">
      <c r="C249" s="58"/>
      <c r="D249" s="47" t="s">
        <v>568</v>
      </c>
      <c r="E249" s="48" t="s">
        <v>569</v>
      </c>
      <c r="H249" s="47" t="s">
        <v>568</v>
      </c>
      <c r="I249" s="48" t="s">
        <v>569</v>
      </c>
      <c r="L249" s="47" t="s">
        <v>568</v>
      </c>
      <c r="M249" s="48" t="s">
        <v>569</v>
      </c>
      <c r="N249" s="59"/>
    </row>
    <row r="250" spans="3:14" x14ac:dyDescent="0.2">
      <c r="C250" s="58"/>
      <c r="D250" s="47" t="s">
        <v>570</v>
      </c>
      <c r="E250" s="48" t="s">
        <v>571</v>
      </c>
      <c r="H250" s="47" t="s">
        <v>580</v>
      </c>
      <c r="I250" s="48" t="s">
        <v>581</v>
      </c>
      <c r="L250" s="47" t="s">
        <v>585</v>
      </c>
      <c r="M250" s="48" t="s">
        <v>586</v>
      </c>
      <c r="N250" s="59"/>
    </row>
    <row r="251" spans="3:14" x14ac:dyDescent="0.2">
      <c r="C251" s="58"/>
      <c r="D251" s="47" t="s">
        <v>563</v>
      </c>
      <c r="E251" s="48">
        <v>8</v>
      </c>
      <c r="H251" s="47" t="s">
        <v>563</v>
      </c>
      <c r="I251" s="48">
        <v>3</v>
      </c>
      <c r="L251" s="47" t="s">
        <v>563</v>
      </c>
      <c r="M251" s="48">
        <v>2</v>
      </c>
      <c r="N251" s="59"/>
    </row>
    <row r="252" spans="3:14" x14ac:dyDescent="0.2">
      <c r="C252" s="58"/>
      <c r="D252" s="47"/>
      <c r="E252" s="48"/>
      <c r="H252" s="47"/>
      <c r="I252" s="48"/>
      <c r="L252" s="47"/>
      <c r="M252" s="48"/>
      <c r="N252" s="59"/>
    </row>
    <row r="253" spans="3:14" x14ac:dyDescent="0.2">
      <c r="C253" s="58"/>
      <c r="D253" s="47" t="s">
        <v>572</v>
      </c>
      <c r="E253" s="48"/>
      <c r="H253" s="47" t="s">
        <v>572</v>
      </c>
      <c r="I253" s="48"/>
      <c r="L253" s="47" t="s">
        <v>572</v>
      </c>
      <c r="M253" s="48"/>
      <c r="N253" s="59"/>
    </row>
    <row r="254" spans="3:14" x14ac:dyDescent="0.2">
      <c r="C254" s="58"/>
      <c r="D254" s="47" t="s">
        <v>573</v>
      </c>
      <c r="E254" s="48" t="s">
        <v>574</v>
      </c>
      <c r="H254" s="47" t="s">
        <v>573</v>
      </c>
      <c r="I254" s="48" t="s">
        <v>574</v>
      </c>
      <c r="L254" s="47" t="s">
        <v>573</v>
      </c>
      <c r="M254" s="48" t="s">
        <v>574</v>
      </c>
      <c r="N254" s="59"/>
    </row>
    <row r="255" spans="3:14" x14ac:dyDescent="0.2">
      <c r="C255" s="58"/>
      <c r="D255" s="47" t="s">
        <v>575</v>
      </c>
      <c r="E255" s="48" t="s">
        <v>576</v>
      </c>
      <c r="H255" s="47" t="s">
        <v>582</v>
      </c>
      <c r="I255" s="48" t="s">
        <v>583</v>
      </c>
      <c r="L255" s="47" t="s">
        <v>587</v>
      </c>
      <c r="M255" s="48" t="s">
        <v>588</v>
      </c>
      <c r="N255" s="59"/>
    </row>
    <row r="256" spans="3:14" x14ac:dyDescent="0.2">
      <c r="C256" s="58"/>
      <c r="D256" s="47" t="s">
        <v>577</v>
      </c>
      <c r="E256" s="48">
        <v>-21.14</v>
      </c>
      <c r="H256" s="47" t="s">
        <v>577</v>
      </c>
      <c r="I256" s="48">
        <v>-97.01</v>
      </c>
      <c r="L256" s="47" t="s">
        <v>577</v>
      </c>
      <c r="M256" s="48">
        <v>-60.23</v>
      </c>
      <c r="N256" s="59"/>
    </row>
    <row r="257" spans="3:14" x14ac:dyDescent="0.2">
      <c r="C257" s="58"/>
      <c r="D257" s="49" t="s">
        <v>578</v>
      </c>
      <c r="E257" s="51">
        <v>-19.97</v>
      </c>
      <c r="H257" s="49" t="s">
        <v>578</v>
      </c>
      <c r="I257" s="51">
        <v>-97.01</v>
      </c>
      <c r="L257" s="49" t="s">
        <v>578</v>
      </c>
      <c r="M257" s="51">
        <v>-60.21</v>
      </c>
      <c r="N257" s="59"/>
    </row>
    <row r="258" spans="3:14" x14ac:dyDescent="0.2">
      <c r="C258" s="58"/>
      <c r="N258" s="59"/>
    </row>
    <row r="259" spans="3:14" x14ac:dyDescent="0.2">
      <c r="C259" s="58"/>
      <c r="D259" s="45" t="s">
        <v>423</v>
      </c>
      <c r="E259" s="52" t="s">
        <v>2</v>
      </c>
      <c r="H259" s="45" t="s">
        <v>423</v>
      </c>
      <c r="I259" s="52" t="s">
        <v>2</v>
      </c>
      <c r="L259" s="45" t="s">
        <v>423</v>
      </c>
      <c r="M259" s="52" t="s">
        <v>2</v>
      </c>
      <c r="N259" s="59"/>
    </row>
    <row r="260" spans="3:14" x14ac:dyDescent="0.2">
      <c r="C260" s="58"/>
      <c r="D260" s="47"/>
      <c r="E260" s="48"/>
      <c r="H260" s="47"/>
      <c r="I260" s="48"/>
      <c r="L260" s="47"/>
      <c r="M260" s="48"/>
      <c r="N260" s="59"/>
    </row>
    <row r="261" spans="3:14" x14ac:dyDescent="0.2">
      <c r="C261" s="58"/>
      <c r="D261" s="47" t="s">
        <v>562</v>
      </c>
      <c r="E261" s="48" t="s">
        <v>260</v>
      </c>
      <c r="H261" s="47" t="s">
        <v>579</v>
      </c>
      <c r="I261" s="48" t="s">
        <v>108</v>
      </c>
      <c r="L261" s="47" t="s">
        <v>584</v>
      </c>
      <c r="M261" s="48" t="s">
        <v>123</v>
      </c>
      <c r="N261" s="59"/>
    </row>
    <row r="262" spans="3:14" x14ac:dyDescent="0.2">
      <c r="C262" s="58"/>
      <c r="D262" s="47" t="s">
        <v>560</v>
      </c>
      <c r="E262" s="48" t="s">
        <v>561</v>
      </c>
      <c r="H262" s="47" t="s">
        <v>560</v>
      </c>
      <c r="I262" s="48" t="s">
        <v>561</v>
      </c>
      <c r="L262" s="47" t="s">
        <v>560</v>
      </c>
      <c r="M262" s="48" t="s">
        <v>561</v>
      </c>
      <c r="N262" s="59"/>
    </row>
    <row r="263" spans="3:14" x14ac:dyDescent="0.2">
      <c r="C263" s="58"/>
      <c r="D263" s="47" t="s">
        <v>559</v>
      </c>
      <c r="E263" s="48" t="s">
        <v>109</v>
      </c>
      <c r="H263" s="47" t="s">
        <v>559</v>
      </c>
      <c r="I263" s="48" t="s">
        <v>109</v>
      </c>
      <c r="L263" s="47" t="s">
        <v>559</v>
      </c>
      <c r="M263" s="48" t="s">
        <v>109</v>
      </c>
      <c r="N263" s="59"/>
    </row>
    <row r="264" spans="3:14" x14ac:dyDescent="0.2">
      <c r="C264" s="58"/>
      <c r="D264" s="47"/>
      <c r="E264" s="48"/>
      <c r="H264" s="47"/>
      <c r="I264" s="48"/>
      <c r="L264" s="47"/>
      <c r="M264" s="48"/>
      <c r="N264" s="59"/>
    </row>
    <row r="265" spans="3:14" x14ac:dyDescent="0.2">
      <c r="C265" s="58"/>
      <c r="D265" s="47" t="s">
        <v>564</v>
      </c>
      <c r="E265" s="48"/>
      <c r="H265" s="47" t="s">
        <v>564</v>
      </c>
      <c r="I265" s="48"/>
      <c r="L265" s="47" t="s">
        <v>564</v>
      </c>
      <c r="M265" s="48"/>
      <c r="N265" s="59"/>
    </row>
    <row r="266" spans="3:14" x14ac:dyDescent="0.2">
      <c r="C266" s="58"/>
      <c r="D266" s="47" t="s">
        <v>428</v>
      </c>
      <c r="E266" s="48">
        <v>2.4899999999999999E-2</v>
      </c>
      <c r="H266" s="47" t="s">
        <v>428</v>
      </c>
      <c r="I266" s="48">
        <v>8.8000000000000005E-3</v>
      </c>
      <c r="L266" s="47" t="s">
        <v>428</v>
      </c>
      <c r="M266" s="48">
        <v>6.4899999999999999E-2</v>
      </c>
      <c r="N266" s="59"/>
    </row>
    <row r="267" spans="3:14" x14ac:dyDescent="0.2">
      <c r="C267" s="58"/>
      <c r="D267" s="47" t="s">
        <v>565</v>
      </c>
      <c r="E267" s="48" t="s">
        <v>566</v>
      </c>
      <c r="H267" s="47" t="s">
        <v>565</v>
      </c>
      <c r="I267" s="48" t="s">
        <v>566</v>
      </c>
      <c r="L267" s="47" t="s">
        <v>565</v>
      </c>
      <c r="M267" s="48" t="s">
        <v>566</v>
      </c>
      <c r="N267" s="59"/>
    </row>
    <row r="268" spans="3:14" x14ac:dyDescent="0.2">
      <c r="C268" s="58"/>
      <c r="D268" s="47" t="s">
        <v>429</v>
      </c>
      <c r="E268" s="48" t="s">
        <v>321</v>
      </c>
      <c r="H268" s="47" t="s">
        <v>429</v>
      </c>
      <c r="I268" s="48" t="s">
        <v>502</v>
      </c>
      <c r="L268" s="47" t="s">
        <v>429</v>
      </c>
      <c r="M268" s="48" t="s">
        <v>323</v>
      </c>
      <c r="N268" s="59"/>
    </row>
    <row r="269" spans="3:14" x14ac:dyDescent="0.2">
      <c r="C269" s="58"/>
      <c r="D269" s="47" t="s">
        <v>567</v>
      </c>
      <c r="E269" s="48" t="s">
        <v>406</v>
      </c>
      <c r="H269" s="47" t="s">
        <v>567</v>
      </c>
      <c r="I269" s="48" t="s">
        <v>406</v>
      </c>
      <c r="L269" s="47" t="s">
        <v>567</v>
      </c>
      <c r="M269" s="48" t="s">
        <v>413</v>
      </c>
      <c r="N269" s="59"/>
    </row>
    <row r="270" spans="3:14" x14ac:dyDescent="0.2">
      <c r="C270" s="58"/>
      <c r="D270" s="47" t="s">
        <v>568</v>
      </c>
      <c r="E270" s="48" t="s">
        <v>569</v>
      </c>
      <c r="H270" s="47" t="s">
        <v>568</v>
      </c>
      <c r="I270" s="48" t="s">
        <v>569</v>
      </c>
      <c r="L270" s="47" t="s">
        <v>568</v>
      </c>
      <c r="M270" s="48" t="s">
        <v>569</v>
      </c>
      <c r="N270" s="59"/>
    </row>
    <row r="271" spans="3:14" x14ac:dyDescent="0.2">
      <c r="C271" s="58"/>
      <c r="D271" s="47" t="s">
        <v>570</v>
      </c>
      <c r="E271" s="48" t="s">
        <v>589</v>
      </c>
      <c r="H271" s="47" t="s">
        <v>580</v>
      </c>
      <c r="I271" s="48" t="s">
        <v>592</v>
      </c>
      <c r="L271" s="47" t="s">
        <v>585</v>
      </c>
      <c r="M271" s="48" t="s">
        <v>594</v>
      </c>
      <c r="N271" s="59"/>
    </row>
    <row r="272" spans="3:14" x14ac:dyDescent="0.2">
      <c r="C272" s="58"/>
      <c r="D272" s="47" t="s">
        <v>563</v>
      </c>
      <c r="E272" s="48">
        <v>5</v>
      </c>
      <c r="H272" s="47" t="s">
        <v>563</v>
      </c>
      <c r="I272" s="48">
        <v>2</v>
      </c>
      <c r="L272" s="47" t="s">
        <v>563</v>
      </c>
      <c r="M272" s="48">
        <v>5</v>
      </c>
      <c r="N272" s="59"/>
    </row>
    <row r="273" spans="3:14" x14ac:dyDescent="0.2">
      <c r="C273" s="58"/>
      <c r="D273" s="47"/>
      <c r="E273" s="48"/>
      <c r="H273" s="47"/>
      <c r="I273" s="48"/>
      <c r="L273" s="47"/>
      <c r="M273" s="48"/>
      <c r="N273" s="59"/>
    </row>
    <row r="274" spans="3:14" x14ac:dyDescent="0.2">
      <c r="C274" s="58"/>
      <c r="D274" s="47" t="s">
        <v>572</v>
      </c>
      <c r="E274" s="48"/>
      <c r="H274" s="47" t="s">
        <v>572</v>
      </c>
      <c r="I274" s="48"/>
      <c r="L274" s="47" t="s">
        <v>572</v>
      </c>
      <c r="M274" s="48"/>
      <c r="N274" s="59"/>
    </row>
    <row r="275" spans="3:14" x14ac:dyDescent="0.2">
      <c r="C275" s="58"/>
      <c r="D275" s="47" t="s">
        <v>573</v>
      </c>
      <c r="E275" s="48" t="s">
        <v>590</v>
      </c>
      <c r="H275" s="47" t="s">
        <v>573</v>
      </c>
      <c r="I275" s="48" t="s">
        <v>590</v>
      </c>
      <c r="L275" s="47" t="s">
        <v>573</v>
      </c>
      <c r="M275" s="48" t="s">
        <v>590</v>
      </c>
      <c r="N275" s="59"/>
    </row>
    <row r="276" spans="3:14" x14ac:dyDescent="0.2">
      <c r="C276" s="58"/>
      <c r="D276" s="47" t="s">
        <v>575</v>
      </c>
      <c r="E276" s="48" t="s">
        <v>591</v>
      </c>
      <c r="H276" s="47" t="s">
        <v>582</v>
      </c>
      <c r="I276" s="48" t="s">
        <v>593</v>
      </c>
      <c r="L276" s="47" t="s">
        <v>587</v>
      </c>
      <c r="M276" s="48" t="s">
        <v>595</v>
      </c>
      <c r="N276" s="59"/>
    </row>
    <row r="277" spans="3:14" x14ac:dyDescent="0.2">
      <c r="C277" s="58"/>
      <c r="D277" s="47" t="s">
        <v>577</v>
      </c>
      <c r="E277" s="48">
        <v>-40.67</v>
      </c>
      <c r="H277" s="47" t="s">
        <v>577</v>
      </c>
      <c r="I277" s="48">
        <v>-99.99</v>
      </c>
      <c r="L277" s="47" t="s">
        <v>577</v>
      </c>
      <c r="M277" s="48">
        <v>-16.510000000000002</v>
      </c>
      <c r="N277" s="59"/>
    </row>
    <row r="278" spans="3:14" x14ac:dyDescent="0.2">
      <c r="C278" s="58"/>
      <c r="D278" s="49" t="s">
        <v>578</v>
      </c>
      <c r="E278" s="51">
        <v>-37.090000000000003</v>
      </c>
      <c r="H278" s="49" t="s">
        <v>578</v>
      </c>
      <c r="I278" s="51">
        <v>-98.33</v>
      </c>
      <c r="L278" s="49" t="s">
        <v>578</v>
      </c>
      <c r="M278" s="51">
        <v>-1.91</v>
      </c>
      <c r="N278" s="59"/>
    </row>
    <row r="279" spans="3:14" x14ac:dyDescent="0.2">
      <c r="C279" s="58"/>
      <c r="N279" s="59"/>
    </row>
    <row r="280" spans="3:14" x14ac:dyDescent="0.2">
      <c r="C280" s="58"/>
      <c r="D280" s="45" t="s">
        <v>423</v>
      </c>
      <c r="E280" s="52" t="s">
        <v>3</v>
      </c>
      <c r="H280" s="45" t="s">
        <v>423</v>
      </c>
      <c r="I280" s="52" t="s">
        <v>3</v>
      </c>
      <c r="L280" s="45" t="s">
        <v>423</v>
      </c>
      <c r="M280" s="52" t="s">
        <v>3</v>
      </c>
      <c r="N280" s="59"/>
    </row>
    <row r="281" spans="3:14" x14ac:dyDescent="0.2">
      <c r="C281" s="58"/>
      <c r="D281" s="47"/>
      <c r="E281" s="48"/>
      <c r="H281" s="47"/>
      <c r="I281" s="48"/>
      <c r="L281" s="47"/>
      <c r="M281" s="48"/>
      <c r="N281" s="59"/>
    </row>
    <row r="282" spans="3:14" x14ac:dyDescent="0.2">
      <c r="C282" s="58"/>
      <c r="D282" s="47" t="s">
        <v>562</v>
      </c>
      <c r="E282" s="48" t="s">
        <v>260</v>
      </c>
      <c r="H282" s="47" t="s">
        <v>579</v>
      </c>
      <c r="I282" s="48" t="s">
        <v>108</v>
      </c>
      <c r="L282" s="47" t="s">
        <v>584</v>
      </c>
      <c r="M282" s="48" t="s">
        <v>123</v>
      </c>
      <c r="N282" s="59"/>
    </row>
    <row r="283" spans="3:14" x14ac:dyDescent="0.2">
      <c r="C283" s="58"/>
      <c r="D283" s="47" t="s">
        <v>560</v>
      </c>
      <c r="E283" s="48" t="s">
        <v>561</v>
      </c>
      <c r="H283" s="47" t="s">
        <v>560</v>
      </c>
      <c r="I283" s="48" t="s">
        <v>561</v>
      </c>
      <c r="L283" s="47" t="s">
        <v>560</v>
      </c>
      <c r="M283" s="48" t="s">
        <v>561</v>
      </c>
      <c r="N283" s="59"/>
    </row>
    <row r="284" spans="3:14" x14ac:dyDescent="0.2">
      <c r="C284" s="58"/>
      <c r="D284" s="47" t="s">
        <v>559</v>
      </c>
      <c r="E284" s="48" t="s">
        <v>109</v>
      </c>
      <c r="H284" s="47" t="s">
        <v>559</v>
      </c>
      <c r="I284" s="48" t="s">
        <v>109</v>
      </c>
      <c r="L284" s="47" t="s">
        <v>559</v>
      </c>
      <c r="M284" s="48" t="s">
        <v>109</v>
      </c>
      <c r="N284" s="59"/>
    </row>
    <row r="285" spans="3:14" x14ac:dyDescent="0.2">
      <c r="C285" s="58"/>
      <c r="D285" s="47"/>
      <c r="E285" s="48"/>
      <c r="H285" s="47"/>
      <c r="I285" s="48"/>
      <c r="L285" s="47"/>
      <c r="M285" s="48"/>
      <c r="N285" s="59"/>
    </row>
    <row r="286" spans="3:14" x14ac:dyDescent="0.2">
      <c r="C286" s="58"/>
      <c r="D286" s="47" t="s">
        <v>564</v>
      </c>
      <c r="E286" s="48"/>
      <c r="H286" s="47" t="s">
        <v>564</v>
      </c>
      <c r="I286" s="48"/>
      <c r="L286" s="47" t="s">
        <v>564</v>
      </c>
      <c r="M286" s="48"/>
      <c r="N286" s="59"/>
    </row>
    <row r="287" spans="3:14" x14ac:dyDescent="0.2">
      <c r="C287" s="58"/>
      <c r="D287" s="47" t="s">
        <v>428</v>
      </c>
      <c r="E287" s="48">
        <v>8.2400000000000001E-2</v>
      </c>
      <c r="H287" s="47" t="s">
        <v>428</v>
      </c>
      <c r="I287" s="48">
        <v>1.77E-2</v>
      </c>
      <c r="L287" s="47" t="s">
        <v>428</v>
      </c>
      <c r="M287" s="48">
        <v>9.0899999999999995E-2</v>
      </c>
      <c r="N287" s="59"/>
    </row>
    <row r="288" spans="3:14" x14ac:dyDescent="0.2">
      <c r="C288" s="58"/>
      <c r="D288" s="47" t="s">
        <v>565</v>
      </c>
      <c r="E288" s="48" t="s">
        <v>566</v>
      </c>
      <c r="H288" s="47" t="s">
        <v>565</v>
      </c>
      <c r="I288" s="48" t="s">
        <v>566</v>
      </c>
      <c r="L288" s="47" t="s">
        <v>565</v>
      </c>
      <c r="M288" s="48" t="s">
        <v>566</v>
      </c>
      <c r="N288" s="59"/>
    </row>
    <row r="289" spans="3:14" x14ac:dyDescent="0.2">
      <c r="C289" s="58"/>
      <c r="D289" s="47" t="s">
        <v>429</v>
      </c>
      <c r="E289" s="48" t="s">
        <v>323</v>
      </c>
      <c r="H289" s="47" t="s">
        <v>429</v>
      </c>
      <c r="I289" s="48" t="s">
        <v>321</v>
      </c>
      <c r="L289" s="47" t="s">
        <v>429</v>
      </c>
      <c r="M289" s="48" t="s">
        <v>323</v>
      </c>
      <c r="N289" s="59"/>
    </row>
    <row r="290" spans="3:14" x14ac:dyDescent="0.2">
      <c r="C290" s="58"/>
      <c r="D290" s="47" t="s">
        <v>567</v>
      </c>
      <c r="E290" s="48" t="s">
        <v>413</v>
      </c>
      <c r="H290" s="47" t="s">
        <v>567</v>
      </c>
      <c r="I290" s="48" t="s">
        <v>406</v>
      </c>
      <c r="L290" s="47" t="s">
        <v>567</v>
      </c>
      <c r="M290" s="48" t="s">
        <v>413</v>
      </c>
      <c r="N290" s="59"/>
    </row>
    <row r="291" spans="3:14" x14ac:dyDescent="0.2">
      <c r="C291" s="58"/>
      <c r="D291" s="47" t="s">
        <v>568</v>
      </c>
      <c r="E291" s="48" t="s">
        <v>569</v>
      </c>
      <c r="H291" s="47" t="s">
        <v>568</v>
      </c>
      <c r="I291" s="48" t="s">
        <v>569</v>
      </c>
      <c r="L291" s="47" t="s">
        <v>568</v>
      </c>
      <c r="M291" s="48" t="s">
        <v>569</v>
      </c>
      <c r="N291" s="59"/>
    </row>
    <row r="292" spans="3:14" x14ac:dyDescent="0.2">
      <c r="C292" s="58"/>
      <c r="D292" s="47" t="s">
        <v>570</v>
      </c>
      <c r="E292" s="48" t="s">
        <v>571</v>
      </c>
      <c r="H292" s="47" t="s">
        <v>580</v>
      </c>
      <c r="I292" s="48" t="s">
        <v>597</v>
      </c>
      <c r="L292" s="47" t="s">
        <v>585</v>
      </c>
      <c r="M292" s="48" t="s">
        <v>599</v>
      </c>
      <c r="N292" s="59"/>
    </row>
    <row r="293" spans="3:14" x14ac:dyDescent="0.2">
      <c r="C293" s="58"/>
      <c r="D293" s="47" t="s">
        <v>563</v>
      </c>
      <c r="E293" s="48">
        <v>8</v>
      </c>
      <c r="H293" s="47" t="s">
        <v>563</v>
      </c>
      <c r="I293" s="48">
        <v>3.5</v>
      </c>
      <c r="L293" s="47" t="s">
        <v>563</v>
      </c>
      <c r="M293" s="48">
        <v>5.5</v>
      </c>
      <c r="N293" s="59"/>
    </row>
    <row r="294" spans="3:14" x14ac:dyDescent="0.2">
      <c r="C294" s="58"/>
      <c r="D294" s="47"/>
      <c r="E294" s="48"/>
      <c r="H294" s="47"/>
      <c r="I294" s="48"/>
      <c r="L294" s="47"/>
      <c r="M294" s="48"/>
      <c r="N294" s="59"/>
    </row>
    <row r="295" spans="3:14" x14ac:dyDescent="0.2">
      <c r="C295" s="58"/>
      <c r="D295" s="47" t="s">
        <v>572</v>
      </c>
      <c r="E295" s="48"/>
      <c r="H295" s="47" t="s">
        <v>572</v>
      </c>
      <c r="I295" s="48"/>
      <c r="L295" s="47" t="s">
        <v>572</v>
      </c>
      <c r="M295" s="48"/>
      <c r="N295" s="59"/>
    </row>
    <row r="296" spans="3:14" x14ac:dyDescent="0.2">
      <c r="C296" s="58"/>
      <c r="D296" s="47" t="s">
        <v>573</v>
      </c>
      <c r="E296" s="48" t="s">
        <v>590</v>
      </c>
      <c r="H296" s="47" t="s">
        <v>573</v>
      </c>
      <c r="I296" s="48" t="s">
        <v>590</v>
      </c>
      <c r="L296" s="47" t="s">
        <v>573</v>
      </c>
      <c r="M296" s="48" t="s">
        <v>590</v>
      </c>
      <c r="N296" s="59"/>
    </row>
    <row r="297" spans="3:14" x14ac:dyDescent="0.2">
      <c r="C297" s="58"/>
      <c r="D297" s="47" t="s">
        <v>575</v>
      </c>
      <c r="E297" s="48" t="s">
        <v>596</v>
      </c>
      <c r="H297" s="47" t="s">
        <v>582</v>
      </c>
      <c r="I297" s="48" t="s">
        <v>598</v>
      </c>
      <c r="L297" s="47" t="s">
        <v>587</v>
      </c>
      <c r="M297" s="48" t="s">
        <v>600</v>
      </c>
      <c r="N297" s="59"/>
    </row>
    <row r="298" spans="3:14" x14ac:dyDescent="0.2">
      <c r="C298" s="58"/>
      <c r="D298" s="47" t="s">
        <v>577</v>
      </c>
      <c r="E298" s="48">
        <v>-11.36</v>
      </c>
      <c r="H298" s="47" t="s">
        <v>577</v>
      </c>
      <c r="I298" s="48">
        <v>-98.55</v>
      </c>
      <c r="L298" s="47" t="s">
        <v>577</v>
      </c>
      <c r="M298" s="48">
        <v>-2.23</v>
      </c>
      <c r="N298" s="59"/>
    </row>
    <row r="299" spans="3:14" x14ac:dyDescent="0.2">
      <c r="C299" s="58"/>
      <c r="D299" s="49" t="s">
        <v>578</v>
      </c>
      <c r="E299" s="51">
        <v>-11.05</v>
      </c>
      <c r="H299" s="49" t="s">
        <v>578</v>
      </c>
      <c r="I299" s="51">
        <v>-98.55</v>
      </c>
      <c r="L299" s="49" t="s">
        <v>578</v>
      </c>
      <c r="M299" s="51">
        <v>-2.1800000000000002</v>
      </c>
      <c r="N299" s="59"/>
    </row>
    <row r="300" spans="3:14" ht="17" thickBot="1" x14ac:dyDescent="0.25">
      <c r="C300" s="60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2"/>
    </row>
  </sheetData>
  <mergeCells count="18">
    <mergeCell ref="O121:P121"/>
    <mergeCell ref="Q121:R121"/>
    <mergeCell ref="E84:F84"/>
    <mergeCell ref="G84:H84"/>
    <mergeCell ref="I84:J84"/>
    <mergeCell ref="K84:L84"/>
    <mergeCell ref="M84:N84"/>
    <mergeCell ref="O84:P84"/>
    <mergeCell ref="E121:F121"/>
    <mergeCell ref="G121:H121"/>
    <mergeCell ref="I121:J121"/>
    <mergeCell ref="K121:L121"/>
    <mergeCell ref="M121:N121"/>
    <mergeCell ref="S121:T121"/>
    <mergeCell ref="U121:V121"/>
    <mergeCell ref="Q84:R84"/>
    <mergeCell ref="S84:T84"/>
    <mergeCell ref="U84:V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5C91-23C7-F746-8A6E-DDA0F9D5F386}">
  <dimension ref="A2:V79"/>
  <sheetViews>
    <sheetView topLeftCell="A73" workbookViewId="0">
      <selection activeCell="C12" sqref="C12"/>
    </sheetView>
  </sheetViews>
  <sheetFormatPr baseColWidth="10" defaultRowHeight="16" x14ac:dyDescent="0.2"/>
  <cols>
    <col min="2" max="2" width="26" customWidth="1"/>
    <col min="3" max="3" width="20.5" customWidth="1"/>
    <col min="16" max="16" width="20.33203125" customWidth="1"/>
  </cols>
  <sheetData>
    <row r="2" spans="1:8" s="19" customFormat="1" ht="24" x14ac:dyDescent="0.3">
      <c r="A2" s="42" t="s">
        <v>350</v>
      </c>
    </row>
    <row r="4" spans="1:8" x14ac:dyDescent="0.2">
      <c r="A4" t="s">
        <v>388</v>
      </c>
    </row>
    <row r="7" spans="1:8" x14ac:dyDescent="0.2">
      <c r="A7" t="s">
        <v>343</v>
      </c>
      <c r="E7" t="s">
        <v>324</v>
      </c>
    </row>
    <row r="8" spans="1:8" x14ac:dyDescent="0.2">
      <c r="A8" t="s">
        <v>344</v>
      </c>
      <c r="D8" t="s">
        <v>82</v>
      </c>
      <c r="E8" t="s">
        <v>83</v>
      </c>
      <c r="F8" t="s">
        <v>84</v>
      </c>
      <c r="G8" t="s">
        <v>146</v>
      </c>
      <c r="H8" t="s">
        <v>99</v>
      </c>
    </row>
    <row r="9" spans="1:8" x14ac:dyDescent="0.2">
      <c r="A9" t="s">
        <v>346</v>
      </c>
      <c r="C9" t="s">
        <v>390</v>
      </c>
      <c r="D9">
        <v>0.8</v>
      </c>
      <c r="E9">
        <v>0.8</v>
      </c>
      <c r="F9">
        <v>0.9</v>
      </c>
      <c r="G9">
        <f>AVERAGE(D9:F9)</f>
        <v>0.83333333333333337</v>
      </c>
      <c r="H9">
        <f>STDEV(D9:F9)/SQRT(3)</f>
        <v>3.3333333333333333E-2</v>
      </c>
    </row>
    <row r="10" spans="1:8" x14ac:dyDescent="0.2">
      <c r="C10" t="s">
        <v>391</v>
      </c>
      <c r="D10">
        <v>0.02</v>
      </c>
      <c r="E10">
        <v>0.02</v>
      </c>
      <c r="F10">
        <v>0.02</v>
      </c>
      <c r="G10">
        <f>AVERAGE(D10:F10)</f>
        <v>0.02</v>
      </c>
      <c r="H10">
        <f>STDEV(D10:F10)/SQRT(3)</f>
        <v>0</v>
      </c>
    </row>
    <row r="12" spans="1:8" x14ac:dyDescent="0.2">
      <c r="C12" t="s">
        <v>392</v>
      </c>
      <c r="D12">
        <v>0.9</v>
      </c>
      <c r="E12">
        <v>1</v>
      </c>
      <c r="F12">
        <v>0.9</v>
      </c>
      <c r="G12">
        <f>AVERAGE(D12:F12)</f>
        <v>0.93333333333333324</v>
      </c>
      <c r="H12">
        <f>STDEV(D12:F12)/SQRT(3)</f>
        <v>3.3333333333333333E-2</v>
      </c>
    </row>
    <row r="13" spans="1:8" x14ac:dyDescent="0.2">
      <c r="C13" t="s">
        <v>393</v>
      </c>
      <c r="D13">
        <v>0.8</v>
      </c>
      <c r="E13">
        <v>0.9</v>
      </c>
      <c r="F13">
        <v>0.9</v>
      </c>
      <c r="G13">
        <f t="shared" ref="G13" si="0">AVERAGE(D13:F13)</f>
        <v>0.8666666666666667</v>
      </c>
      <c r="H13">
        <f>STDEV(D13:F13)/SQRT(3)</f>
        <v>3.3333333333333326E-2</v>
      </c>
    </row>
    <row r="18" spans="1:13" s="19" customFormat="1" ht="24" x14ac:dyDescent="0.3">
      <c r="A18" s="42" t="s">
        <v>389</v>
      </c>
    </row>
    <row r="20" spans="1:13" x14ac:dyDescent="0.2">
      <c r="A20" t="s">
        <v>351</v>
      </c>
    </row>
    <row r="23" spans="1:13" x14ac:dyDescent="0.2">
      <c r="A23" t="s">
        <v>57</v>
      </c>
      <c r="D23" t="s">
        <v>55</v>
      </c>
      <c r="H23" t="s">
        <v>104</v>
      </c>
    </row>
    <row r="24" spans="1:13" x14ac:dyDescent="0.2">
      <c r="C24" t="s">
        <v>60</v>
      </c>
      <c r="D24" t="s">
        <v>61</v>
      </c>
      <c r="E24" t="s">
        <v>62</v>
      </c>
      <c r="G24" t="s">
        <v>60</v>
      </c>
      <c r="H24" t="s">
        <v>61</v>
      </c>
      <c r="I24" t="s">
        <v>62</v>
      </c>
      <c r="K24" t="s">
        <v>352</v>
      </c>
      <c r="L24" t="s">
        <v>353</v>
      </c>
      <c r="M24" t="s">
        <v>354</v>
      </c>
    </row>
    <row r="25" spans="1:13" x14ac:dyDescent="0.2">
      <c r="B25" t="s">
        <v>355</v>
      </c>
      <c r="C25">
        <f>10^5</f>
        <v>100000</v>
      </c>
      <c r="D25">
        <v>33</v>
      </c>
      <c r="E25">
        <f>(C25*D25)/0.004</f>
        <v>825000000</v>
      </c>
      <c r="G25">
        <f>10^4</f>
        <v>10000</v>
      </c>
      <c r="H25">
        <v>24</v>
      </c>
      <c r="I25">
        <f>(G25*H25)/0.004</f>
        <v>60000000</v>
      </c>
      <c r="K25">
        <f>E25-I25</f>
        <v>765000000</v>
      </c>
      <c r="L25">
        <f>I25</f>
        <v>60000000</v>
      </c>
      <c r="M25">
        <f>K25/L25</f>
        <v>12.75</v>
      </c>
    </row>
    <row r="26" spans="1:13" x14ac:dyDescent="0.2">
      <c r="B26" t="s">
        <v>356</v>
      </c>
      <c r="C26">
        <f t="shared" ref="C26:C48" si="1">10^5</f>
        <v>100000</v>
      </c>
      <c r="D26">
        <v>28</v>
      </c>
      <c r="E26">
        <f t="shared" ref="E26:E48" si="2">(C26*D26)/0.004</f>
        <v>700000000</v>
      </c>
      <c r="G26">
        <f t="shared" ref="G26:G48" si="3">10^4</f>
        <v>10000</v>
      </c>
      <c r="H26">
        <v>23</v>
      </c>
      <c r="I26">
        <f t="shared" ref="I26:I48" si="4">(G26*H26)/0.004</f>
        <v>57500000</v>
      </c>
      <c r="K26">
        <f t="shared" ref="K26:K48" si="5">E26-I26</f>
        <v>642500000</v>
      </c>
      <c r="L26">
        <f t="shared" ref="L26:L48" si="6">I26</f>
        <v>57500000</v>
      </c>
      <c r="M26">
        <f t="shared" ref="M26:M48" si="7">K26/L26</f>
        <v>11.173913043478262</v>
      </c>
    </row>
    <row r="27" spans="1:13" x14ac:dyDescent="0.2">
      <c r="B27" t="s">
        <v>357</v>
      </c>
      <c r="C27">
        <f t="shared" si="1"/>
        <v>100000</v>
      </c>
      <c r="D27">
        <v>29</v>
      </c>
      <c r="E27">
        <f t="shared" si="2"/>
        <v>725000000</v>
      </c>
      <c r="G27">
        <f t="shared" si="3"/>
        <v>10000</v>
      </c>
      <c r="H27">
        <v>28</v>
      </c>
      <c r="I27">
        <f t="shared" si="4"/>
        <v>70000000</v>
      </c>
      <c r="K27">
        <f t="shared" si="5"/>
        <v>655000000</v>
      </c>
      <c r="L27">
        <f t="shared" si="6"/>
        <v>70000000</v>
      </c>
      <c r="M27">
        <f t="shared" si="7"/>
        <v>9.3571428571428577</v>
      </c>
    </row>
    <row r="28" spans="1:13" x14ac:dyDescent="0.2">
      <c r="B28" t="s">
        <v>358</v>
      </c>
      <c r="C28">
        <f t="shared" si="1"/>
        <v>100000</v>
      </c>
      <c r="D28">
        <v>37</v>
      </c>
      <c r="E28">
        <f t="shared" si="2"/>
        <v>925000000</v>
      </c>
      <c r="G28">
        <f t="shared" si="3"/>
        <v>10000</v>
      </c>
      <c r="H28">
        <v>27</v>
      </c>
      <c r="I28">
        <f t="shared" si="4"/>
        <v>67500000</v>
      </c>
      <c r="K28">
        <f t="shared" si="5"/>
        <v>857500000</v>
      </c>
      <c r="L28">
        <f t="shared" si="6"/>
        <v>67500000</v>
      </c>
      <c r="M28">
        <f t="shared" si="7"/>
        <v>12.703703703703704</v>
      </c>
    </row>
    <row r="29" spans="1:13" x14ac:dyDescent="0.2">
      <c r="B29" t="s">
        <v>359</v>
      </c>
      <c r="C29">
        <f t="shared" si="1"/>
        <v>100000</v>
      </c>
      <c r="D29">
        <v>30</v>
      </c>
      <c r="E29">
        <f t="shared" si="2"/>
        <v>750000000</v>
      </c>
      <c r="G29">
        <f t="shared" si="3"/>
        <v>10000</v>
      </c>
      <c r="H29">
        <v>29</v>
      </c>
      <c r="I29">
        <f t="shared" si="4"/>
        <v>72500000</v>
      </c>
      <c r="K29">
        <f t="shared" si="5"/>
        <v>677500000</v>
      </c>
      <c r="L29">
        <f t="shared" si="6"/>
        <v>72500000</v>
      </c>
      <c r="M29">
        <f t="shared" si="7"/>
        <v>9.3448275862068968</v>
      </c>
    </row>
    <row r="30" spans="1:13" x14ac:dyDescent="0.2">
      <c r="B30" t="s">
        <v>360</v>
      </c>
      <c r="C30">
        <f t="shared" si="1"/>
        <v>100000</v>
      </c>
      <c r="D30">
        <v>34</v>
      </c>
      <c r="E30">
        <f t="shared" si="2"/>
        <v>850000000</v>
      </c>
      <c r="G30">
        <f t="shared" si="3"/>
        <v>10000</v>
      </c>
      <c r="H30">
        <v>30</v>
      </c>
      <c r="I30">
        <f t="shared" si="4"/>
        <v>75000000</v>
      </c>
      <c r="K30">
        <f t="shared" si="5"/>
        <v>775000000</v>
      </c>
      <c r="L30">
        <f t="shared" si="6"/>
        <v>75000000</v>
      </c>
      <c r="M30">
        <f t="shared" si="7"/>
        <v>10.333333333333334</v>
      </c>
    </row>
    <row r="31" spans="1:13" x14ac:dyDescent="0.2">
      <c r="B31" t="s">
        <v>361</v>
      </c>
      <c r="C31">
        <f t="shared" si="1"/>
        <v>100000</v>
      </c>
      <c r="D31">
        <v>36</v>
      </c>
      <c r="E31">
        <f t="shared" si="2"/>
        <v>900000000</v>
      </c>
      <c r="G31">
        <f t="shared" si="3"/>
        <v>10000</v>
      </c>
      <c r="H31">
        <v>23</v>
      </c>
      <c r="I31">
        <f t="shared" si="4"/>
        <v>57500000</v>
      </c>
      <c r="K31">
        <f t="shared" si="5"/>
        <v>842500000</v>
      </c>
      <c r="L31">
        <f t="shared" si="6"/>
        <v>57500000</v>
      </c>
      <c r="M31">
        <f t="shared" si="7"/>
        <v>14.652173913043478</v>
      </c>
    </row>
    <row r="32" spans="1:13" x14ac:dyDescent="0.2">
      <c r="B32" t="s">
        <v>362</v>
      </c>
      <c r="C32">
        <f t="shared" si="1"/>
        <v>100000</v>
      </c>
      <c r="D32">
        <v>35</v>
      </c>
      <c r="E32">
        <f t="shared" si="2"/>
        <v>875000000</v>
      </c>
      <c r="G32">
        <f t="shared" si="3"/>
        <v>10000</v>
      </c>
      <c r="H32">
        <v>26</v>
      </c>
      <c r="I32">
        <f t="shared" si="4"/>
        <v>65000000</v>
      </c>
      <c r="K32">
        <f t="shared" si="5"/>
        <v>810000000</v>
      </c>
      <c r="L32">
        <f t="shared" si="6"/>
        <v>65000000</v>
      </c>
      <c r="M32">
        <f t="shared" si="7"/>
        <v>12.461538461538462</v>
      </c>
    </row>
    <row r="33" spans="2:22" x14ac:dyDescent="0.2">
      <c r="B33" t="s">
        <v>363</v>
      </c>
      <c r="C33">
        <f t="shared" si="1"/>
        <v>100000</v>
      </c>
      <c r="D33">
        <v>31</v>
      </c>
      <c r="E33">
        <f t="shared" si="2"/>
        <v>775000000</v>
      </c>
      <c r="G33">
        <f t="shared" si="3"/>
        <v>10000</v>
      </c>
      <c r="H33">
        <v>28</v>
      </c>
      <c r="I33">
        <f t="shared" si="4"/>
        <v>70000000</v>
      </c>
      <c r="K33">
        <f t="shared" si="5"/>
        <v>705000000</v>
      </c>
      <c r="L33">
        <f t="shared" si="6"/>
        <v>70000000</v>
      </c>
      <c r="M33">
        <f t="shared" si="7"/>
        <v>10.071428571428571</v>
      </c>
    </row>
    <row r="34" spans="2:22" x14ac:dyDescent="0.2">
      <c r="B34" t="s">
        <v>364</v>
      </c>
      <c r="C34">
        <f t="shared" si="1"/>
        <v>100000</v>
      </c>
      <c r="D34">
        <v>30</v>
      </c>
      <c r="E34">
        <f t="shared" si="2"/>
        <v>750000000</v>
      </c>
      <c r="G34">
        <f t="shared" si="3"/>
        <v>10000</v>
      </c>
      <c r="H34">
        <v>30</v>
      </c>
      <c r="I34">
        <f t="shared" si="4"/>
        <v>75000000</v>
      </c>
      <c r="K34">
        <f t="shared" si="5"/>
        <v>675000000</v>
      </c>
      <c r="L34">
        <f t="shared" si="6"/>
        <v>75000000</v>
      </c>
      <c r="M34">
        <f t="shared" si="7"/>
        <v>9</v>
      </c>
    </row>
    <row r="35" spans="2:22" x14ac:dyDescent="0.2">
      <c r="B35" t="s">
        <v>365</v>
      </c>
      <c r="C35">
        <f t="shared" si="1"/>
        <v>100000</v>
      </c>
      <c r="D35">
        <v>34</v>
      </c>
      <c r="E35">
        <f t="shared" si="2"/>
        <v>850000000</v>
      </c>
      <c r="G35">
        <f t="shared" si="3"/>
        <v>10000</v>
      </c>
      <c r="H35">
        <v>29</v>
      </c>
      <c r="I35">
        <f t="shared" si="4"/>
        <v>72500000</v>
      </c>
      <c r="K35">
        <f t="shared" si="5"/>
        <v>777500000</v>
      </c>
      <c r="L35">
        <f t="shared" si="6"/>
        <v>72500000</v>
      </c>
      <c r="M35">
        <f t="shared" si="7"/>
        <v>10.724137931034482</v>
      </c>
    </row>
    <row r="36" spans="2:22" x14ac:dyDescent="0.2">
      <c r="B36" t="s">
        <v>366</v>
      </c>
      <c r="C36">
        <f t="shared" si="1"/>
        <v>100000</v>
      </c>
      <c r="D36">
        <v>37</v>
      </c>
      <c r="E36">
        <f t="shared" si="2"/>
        <v>925000000</v>
      </c>
      <c r="G36">
        <f t="shared" si="3"/>
        <v>10000</v>
      </c>
      <c r="H36">
        <v>28</v>
      </c>
      <c r="I36">
        <f t="shared" si="4"/>
        <v>70000000</v>
      </c>
      <c r="K36">
        <f t="shared" si="5"/>
        <v>855000000</v>
      </c>
      <c r="L36">
        <f t="shared" si="6"/>
        <v>70000000</v>
      </c>
      <c r="M36">
        <f t="shared" si="7"/>
        <v>12.214285714285714</v>
      </c>
    </row>
    <row r="37" spans="2:22" x14ac:dyDescent="0.2">
      <c r="B37" t="s">
        <v>367</v>
      </c>
      <c r="C37">
        <f t="shared" si="1"/>
        <v>100000</v>
      </c>
      <c r="D37">
        <v>35</v>
      </c>
      <c r="E37">
        <f t="shared" si="2"/>
        <v>875000000</v>
      </c>
      <c r="G37">
        <f t="shared" si="3"/>
        <v>10000</v>
      </c>
      <c r="H37">
        <v>25</v>
      </c>
      <c r="I37">
        <f t="shared" si="4"/>
        <v>62500000</v>
      </c>
      <c r="K37">
        <f t="shared" si="5"/>
        <v>812500000</v>
      </c>
      <c r="L37">
        <f t="shared" si="6"/>
        <v>62500000</v>
      </c>
      <c r="M37">
        <f t="shared" si="7"/>
        <v>13</v>
      </c>
    </row>
    <row r="38" spans="2:22" x14ac:dyDescent="0.2">
      <c r="B38" t="s">
        <v>368</v>
      </c>
      <c r="C38">
        <f t="shared" si="1"/>
        <v>100000</v>
      </c>
      <c r="D38">
        <v>36</v>
      </c>
      <c r="E38">
        <f t="shared" si="2"/>
        <v>900000000</v>
      </c>
      <c r="G38">
        <f t="shared" si="3"/>
        <v>10000</v>
      </c>
      <c r="H38">
        <v>24</v>
      </c>
      <c r="I38">
        <f t="shared" si="4"/>
        <v>60000000</v>
      </c>
      <c r="K38">
        <f t="shared" si="5"/>
        <v>840000000</v>
      </c>
      <c r="L38">
        <f t="shared" si="6"/>
        <v>60000000</v>
      </c>
      <c r="M38">
        <f t="shared" si="7"/>
        <v>14</v>
      </c>
    </row>
    <row r="39" spans="2:22" x14ac:dyDescent="0.2">
      <c r="B39" t="s">
        <v>369</v>
      </c>
      <c r="C39">
        <f t="shared" si="1"/>
        <v>100000</v>
      </c>
      <c r="D39">
        <v>24</v>
      </c>
      <c r="E39">
        <f t="shared" si="2"/>
        <v>600000000</v>
      </c>
      <c r="G39">
        <f t="shared" si="3"/>
        <v>10000</v>
      </c>
      <c r="H39">
        <v>24</v>
      </c>
      <c r="I39">
        <f t="shared" si="4"/>
        <v>60000000</v>
      </c>
      <c r="K39">
        <f t="shared" si="5"/>
        <v>540000000</v>
      </c>
      <c r="L39">
        <f t="shared" si="6"/>
        <v>60000000</v>
      </c>
      <c r="M39">
        <f t="shared" si="7"/>
        <v>9</v>
      </c>
    </row>
    <row r="40" spans="2:22" x14ac:dyDescent="0.2">
      <c r="B40" t="s">
        <v>370</v>
      </c>
      <c r="C40">
        <f t="shared" si="1"/>
        <v>100000</v>
      </c>
      <c r="D40">
        <v>33</v>
      </c>
      <c r="E40">
        <f t="shared" si="2"/>
        <v>825000000</v>
      </c>
      <c r="G40">
        <f t="shared" si="3"/>
        <v>10000</v>
      </c>
      <c r="H40">
        <v>30</v>
      </c>
      <c r="I40">
        <f t="shared" si="4"/>
        <v>75000000</v>
      </c>
      <c r="K40">
        <f t="shared" si="5"/>
        <v>750000000</v>
      </c>
      <c r="L40">
        <f t="shared" si="6"/>
        <v>75000000</v>
      </c>
      <c r="M40">
        <f t="shared" si="7"/>
        <v>10</v>
      </c>
    </row>
    <row r="41" spans="2:22" x14ac:dyDescent="0.2">
      <c r="B41" t="s">
        <v>371</v>
      </c>
      <c r="C41">
        <f t="shared" si="1"/>
        <v>100000</v>
      </c>
      <c r="D41">
        <v>31</v>
      </c>
      <c r="E41">
        <f t="shared" si="2"/>
        <v>775000000</v>
      </c>
      <c r="G41">
        <f t="shared" si="3"/>
        <v>10000</v>
      </c>
      <c r="H41">
        <v>27</v>
      </c>
      <c r="I41">
        <f t="shared" si="4"/>
        <v>67500000</v>
      </c>
      <c r="K41">
        <f t="shared" si="5"/>
        <v>707500000</v>
      </c>
      <c r="L41">
        <f t="shared" si="6"/>
        <v>67500000</v>
      </c>
      <c r="M41">
        <f t="shared" si="7"/>
        <v>10.481481481481481</v>
      </c>
    </row>
    <row r="42" spans="2:22" x14ac:dyDescent="0.2">
      <c r="B42" t="s">
        <v>372</v>
      </c>
      <c r="C42">
        <f t="shared" si="1"/>
        <v>100000</v>
      </c>
      <c r="D42">
        <v>30</v>
      </c>
      <c r="E42">
        <f t="shared" si="2"/>
        <v>750000000</v>
      </c>
      <c r="G42">
        <f t="shared" si="3"/>
        <v>10000</v>
      </c>
      <c r="H42">
        <v>29</v>
      </c>
      <c r="I42">
        <f t="shared" si="4"/>
        <v>72500000</v>
      </c>
      <c r="K42">
        <f t="shared" si="5"/>
        <v>677500000</v>
      </c>
      <c r="L42">
        <f t="shared" si="6"/>
        <v>72500000</v>
      </c>
      <c r="M42">
        <f t="shared" si="7"/>
        <v>9.3448275862068968</v>
      </c>
    </row>
    <row r="43" spans="2:22" x14ac:dyDescent="0.2">
      <c r="B43" t="s">
        <v>373</v>
      </c>
      <c r="C43">
        <f t="shared" si="1"/>
        <v>100000</v>
      </c>
      <c r="D43">
        <v>36</v>
      </c>
      <c r="E43">
        <f t="shared" si="2"/>
        <v>900000000</v>
      </c>
      <c r="G43">
        <f t="shared" si="3"/>
        <v>10000</v>
      </c>
      <c r="H43">
        <v>28</v>
      </c>
      <c r="I43">
        <f t="shared" si="4"/>
        <v>70000000</v>
      </c>
      <c r="K43">
        <f t="shared" si="5"/>
        <v>830000000</v>
      </c>
      <c r="L43">
        <f t="shared" si="6"/>
        <v>70000000</v>
      </c>
      <c r="M43">
        <f t="shared" si="7"/>
        <v>11.857142857142858</v>
      </c>
    </row>
    <row r="44" spans="2:22" x14ac:dyDescent="0.2">
      <c r="B44" t="s">
        <v>374</v>
      </c>
      <c r="C44">
        <f t="shared" si="1"/>
        <v>100000</v>
      </c>
      <c r="D44">
        <v>33</v>
      </c>
      <c r="E44">
        <f t="shared" si="2"/>
        <v>825000000</v>
      </c>
      <c r="G44">
        <f t="shared" si="3"/>
        <v>10000</v>
      </c>
      <c r="H44">
        <v>25</v>
      </c>
      <c r="I44">
        <f t="shared" si="4"/>
        <v>62500000</v>
      </c>
      <c r="K44">
        <f t="shared" si="5"/>
        <v>762500000</v>
      </c>
      <c r="L44">
        <f t="shared" si="6"/>
        <v>62500000</v>
      </c>
      <c r="M44">
        <f t="shared" si="7"/>
        <v>12.2</v>
      </c>
    </row>
    <row r="45" spans="2:22" x14ac:dyDescent="0.2">
      <c r="B45" t="s">
        <v>375</v>
      </c>
      <c r="C45">
        <f t="shared" si="1"/>
        <v>100000</v>
      </c>
      <c r="D45">
        <v>33</v>
      </c>
      <c r="E45">
        <f t="shared" si="2"/>
        <v>825000000</v>
      </c>
      <c r="G45">
        <f t="shared" si="3"/>
        <v>10000</v>
      </c>
      <c r="H45">
        <v>26</v>
      </c>
      <c r="I45">
        <f t="shared" si="4"/>
        <v>65000000</v>
      </c>
      <c r="K45">
        <f t="shared" si="5"/>
        <v>760000000</v>
      </c>
      <c r="L45">
        <f t="shared" si="6"/>
        <v>65000000</v>
      </c>
      <c r="M45">
        <f t="shared" si="7"/>
        <v>11.692307692307692</v>
      </c>
    </row>
    <row r="46" spans="2:22" x14ac:dyDescent="0.2">
      <c r="B46" t="s">
        <v>376</v>
      </c>
      <c r="C46">
        <f t="shared" si="1"/>
        <v>100000</v>
      </c>
      <c r="D46">
        <v>39</v>
      </c>
      <c r="E46">
        <f t="shared" si="2"/>
        <v>975000000</v>
      </c>
      <c r="G46">
        <f t="shared" si="3"/>
        <v>10000</v>
      </c>
      <c r="H46">
        <v>33</v>
      </c>
      <c r="I46">
        <f t="shared" si="4"/>
        <v>82500000</v>
      </c>
      <c r="K46">
        <f t="shared" si="5"/>
        <v>892500000</v>
      </c>
      <c r="L46">
        <f t="shared" si="6"/>
        <v>82500000</v>
      </c>
      <c r="M46">
        <f t="shared" si="7"/>
        <v>10.818181818181818</v>
      </c>
      <c r="Q46" t="s">
        <v>93</v>
      </c>
      <c r="U46" t="s">
        <v>94</v>
      </c>
      <c r="V46" t="s">
        <v>99</v>
      </c>
    </row>
    <row r="47" spans="2:22" x14ac:dyDescent="0.2">
      <c r="B47" t="s">
        <v>377</v>
      </c>
      <c r="C47">
        <f t="shared" si="1"/>
        <v>100000</v>
      </c>
      <c r="D47">
        <v>33</v>
      </c>
      <c r="E47">
        <f t="shared" si="2"/>
        <v>825000000</v>
      </c>
      <c r="G47">
        <f t="shared" si="3"/>
        <v>10000</v>
      </c>
      <c r="H47">
        <v>29</v>
      </c>
      <c r="I47">
        <f t="shared" si="4"/>
        <v>72500000</v>
      </c>
      <c r="K47">
        <f t="shared" si="5"/>
        <v>752500000</v>
      </c>
      <c r="L47">
        <f t="shared" si="6"/>
        <v>72500000</v>
      </c>
      <c r="M47">
        <f t="shared" si="7"/>
        <v>10.379310344827585</v>
      </c>
      <c r="O47" t="s">
        <v>109</v>
      </c>
      <c r="P47" t="s">
        <v>355</v>
      </c>
      <c r="Q47">
        <f>M54/M25</f>
        <v>211764.62745098039</v>
      </c>
      <c r="T47" t="s">
        <v>378</v>
      </c>
      <c r="U47">
        <f>AVERAGE(Q47:Q49)</f>
        <v>243753.75591719049</v>
      </c>
      <c r="V47">
        <f>STDEV(Q47:Q49)</f>
        <v>33099.869362578735</v>
      </c>
    </row>
    <row r="48" spans="2:22" x14ac:dyDescent="0.2">
      <c r="B48" t="s">
        <v>379</v>
      </c>
      <c r="C48">
        <f t="shared" si="1"/>
        <v>100000</v>
      </c>
      <c r="D48">
        <v>32</v>
      </c>
      <c r="E48">
        <f t="shared" si="2"/>
        <v>800000000</v>
      </c>
      <c r="G48">
        <f t="shared" si="3"/>
        <v>10000</v>
      </c>
      <c r="H48">
        <v>37</v>
      </c>
      <c r="I48">
        <f t="shared" si="4"/>
        <v>92500000</v>
      </c>
      <c r="K48">
        <f t="shared" si="5"/>
        <v>707500000</v>
      </c>
      <c r="L48">
        <f t="shared" si="6"/>
        <v>92500000</v>
      </c>
      <c r="M48">
        <f t="shared" si="7"/>
        <v>7.6486486486486482</v>
      </c>
      <c r="P48" t="s">
        <v>356</v>
      </c>
      <c r="Q48">
        <f t="shared" ref="Q48:Q70" si="8">M55/M26</f>
        <v>241634.15175097276</v>
      </c>
      <c r="T48" t="s">
        <v>380</v>
      </c>
      <c r="U48">
        <f>AVERAGE(Q50:Q52)</f>
        <v>26861.057688501416</v>
      </c>
      <c r="V48">
        <f>STDEV(Q50:Q52)</f>
        <v>3570.2739767847538</v>
      </c>
    </row>
    <row r="49" spans="1:22" x14ac:dyDescent="0.2">
      <c r="P49" t="s">
        <v>357</v>
      </c>
      <c r="Q49">
        <f t="shared" si="8"/>
        <v>277862.48854961828</v>
      </c>
      <c r="T49" t="s">
        <v>381</v>
      </c>
      <c r="U49">
        <f>AVERAGE(Q53:Q55)</f>
        <v>282065.38741027581</v>
      </c>
      <c r="V49">
        <f>STDEV(Q53:Q55)</f>
        <v>41752.723347891646</v>
      </c>
    </row>
    <row r="50" spans="1:22" x14ac:dyDescent="0.2">
      <c r="P50" t="s">
        <v>358</v>
      </c>
      <c r="Q50">
        <f t="shared" si="8"/>
        <v>22740.446064139938</v>
      </c>
      <c r="T50" t="s">
        <v>382</v>
      </c>
      <c r="U50">
        <f>AVERAGE(Q56:Q58)</f>
        <v>11299.644702764688</v>
      </c>
      <c r="V50">
        <f>STDEV(Q56:Q58)</f>
        <v>3519.3007945810045</v>
      </c>
    </row>
    <row r="51" spans="1:22" x14ac:dyDescent="0.2">
      <c r="P51" t="s">
        <v>359</v>
      </c>
      <c r="Q51">
        <f t="shared" si="8"/>
        <v>28810.565711041727</v>
      </c>
      <c r="T51" t="s">
        <v>383</v>
      </c>
      <c r="U51">
        <f>AVERAGE(Q59:Q61)</f>
        <v>286263.64977614977</v>
      </c>
      <c r="V51">
        <f>STDEV(Q59:Q61)</f>
        <v>98700.936337796215</v>
      </c>
    </row>
    <row r="52" spans="1:22" x14ac:dyDescent="0.2">
      <c r="A52" t="s">
        <v>80</v>
      </c>
      <c r="D52" t="s">
        <v>55</v>
      </c>
      <c r="H52" t="s">
        <v>104</v>
      </c>
      <c r="P52" t="s">
        <v>360</v>
      </c>
      <c r="Q52">
        <f t="shared" si="8"/>
        <v>29032.16129032258</v>
      </c>
      <c r="T52" t="s">
        <v>384</v>
      </c>
      <c r="U52">
        <f>AVERAGE(Q62:Q64)</f>
        <v>8.1942238814587007</v>
      </c>
      <c r="V52">
        <f>STDEV(Q62:Q64)</f>
        <v>2.2663660219519639</v>
      </c>
    </row>
    <row r="53" spans="1:22" x14ac:dyDescent="0.2">
      <c r="C53" t="s">
        <v>60</v>
      </c>
      <c r="D53" t="s">
        <v>61</v>
      </c>
      <c r="E53" t="s">
        <v>62</v>
      </c>
      <c r="G53" t="s">
        <v>60</v>
      </c>
      <c r="H53" t="s">
        <v>61</v>
      </c>
      <c r="I53" t="s">
        <v>62</v>
      </c>
      <c r="K53" t="s">
        <v>352</v>
      </c>
      <c r="L53" t="s">
        <v>353</v>
      </c>
      <c r="M53" t="s">
        <v>354</v>
      </c>
      <c r="O53" t="s">
        <v>108</v>
      </c>
      <c r="P53" t="s">
        <v>361</v>
      </c>
      <c r="Q53">
        <f t="shared" si="8"/>
        <v>245697.26112759643</v>
      </c>
      <c r="T53" t="s">
        <v>385</v>
      </c>
      <c r="U53">
        <f>AVERAGE(Q65:Q67)</f>
        <v>1.6642160567781623</v>
      </c>
      <c r="V53">
        <f>STDEV(Q65:Q67)</f>
        <v>0.41443731999966216</v>
      </c>
    </row>
    <row r="54" spans="1:22" x14ac:dyDescent="0.2">
      <c r="B54" t="s">
        <v>355</v>
      </c>
      <c r="C54">
        <f>10^5</f>
        <v>100000</v>
      </c>
      <c r="D54">
        <v>27</v>
      </c>
      <c r="E54">
        <f>(C54*D54)/0.004</f>
        <v>675000000</v>
      </c>
      <c r="G54">
        <f>10^0</f>
        <v>1</v>
      </c>
      <c r="H54" s="17">
        <v>1</v>
      </c>
      <c r="I54">
        <f>(G54*H54)/0.004</f>
        <v>250</v>
      </c>
      <c r="K54">
        <f>E54-I54</f>
        <v>674999750</v>
      </c>
      <c r="L54">
        <f>I54</f>
        <v>250</v>
      </c>
      <c r="M54">
        <f>K54/L54</f>
        <v>2699999</v>
      </c>
      <c r="P54" t="s">
        <v>362</v>
      </c>
      <c r="Q54">
        <f t="shared" si="8"/>
        <v>272839.4259259259</v>
      </c>
      <c r="T54" t="s">
        <v>386</v>
      </c>
      <c r="U54">
        <f>AVERAGE(Q68:Q70)</f>
        <v>2.8906578372047527</v>
      </c>
      <c r="V54">
        <f>STDEV(Q68:Q70)</f>
        <v>1.5735777171058078</v>
      </c>
    </row>
    <row r="55" spans="1:22" x14ac:dyDescent="0.2">
      <c r="B55" t="s">
        <v>356</v>
      </c>
      <c r="C55">
        <f t="shared" ref="C55:C77" si="9">10^5</f>
        <v>100000</v>
      </c>
      <c r="D55">
        <v>27</v>
      </c>
      <c r="E55">
        <f t="shared" ref="E55:E77" si="10">(C55*D55)/0.004</f>
        <v>675000000</v>
      </c>
      <c r="G55">
        <f t="shared" ref="G55:G68" si="11">10^0</f>
        <v>1</v>
      </c>
      <c r="H55" s="17">
        <v>1</v>
      </c>
      <c r="I55">
        <f t="shared" ref="I55:I77" si="12">(G55*H55)/0.004</f>
        <v>250</v>
      </c>
      <c r="K55">
        <f t="shared" ref="K55:K77" si="13">E55-I55</f>
        <v>674999750</v>
      </c>
      <c r="L55">
        <f t="shared" ref="L55:L77" si="14">I55</f>
        <v>250</v>
      </c>
      <c r="M55">
        <f t="shared" ref="M55:M77" si="15">K55/L55</f>
        <v>2699999</v>
      </c>
      <c r="P55" t="s">
        <v>363</v>
      </c>
      <c r="Q55">
        <f t="shared" si="8"/>
        <v>327659.47517730499</v>
      </c>
    </row>
    <row r="56" spans="1:22" x14ac:dyDescent="0.2">
      <c r="B56" t="s">
        <v>357</v>
      </c>
      <c r="C56">
        <f t="shared" si="9"/>
        <v>100000</v>
      </c>
      <c r="D56">
        <v>26</v>
      </c>
      <c r="E56">
        <f t="shared" si="10"/>
        <v>650000000</v>
      </c>
      <c r="G56">
        <f t="shared" si="11"/>
        <v>1</v>
      </c>
      <c r="H56" s="17">
        <v>1</v>
      </c>
      <c r="I56">
        <f t="shared" si="12"/>
        <v>250</v>
      </c>
      <c r="K56">
        <f t="shared" si="13"/>
        <v>649999750</v>
      </c>
      <c r="L56">
        <f t="shared" si="14"/>
        <v>250</v>
      </c>
      <c r="M56">
        <f t="shared" si="15"/>
        <v>2599999</v>
      </c>
      <c r="P56" t="s">
        <v>364</v>
      </c>
      <c r="Q56">
        <f t="shared" si="8"/>
        <v>14285.603174603173</v>
      </c>
    </row>
    <row r="57" spans="1:22" x14ac:dyDescent="0.2">
      <c r="B57" t="s">
        <v>358</v>
      </c>
      <c r="C57">
        <f t="shared" si="9"/>
        <v>100000</v>
      </c>
      <c r="D57">
        <v>26</v>
      </c>
      <c r="E57">
        <f t="shared" si="10"/>
        <v>650000000</v>
      </c>
      <c r="G57">
        <f t="shared" si="11"/>
        <v>1</v>
      </c>
      <c r="H57">
        <v>9</v>
      </c>
      <c r="I57">
        <f t="shared" si="12"/>
        <v>2250</v>
      </c>
      <c r="K57">
        <f t="shared" si="13"/>
        <v>649997750</v>
      </c>
      <c r="L57">
        <f t="shared" si="14"/>
        <v>2250</v>
      </c>
      <c r="M57">
        <f t="shared" si="15"/>
        <v>288887.88888888888</v>
      </c>
      <c r="P57" t="s">
        <v>365</v>
      </c>
      <c r="Q57">
        <f t="shared" si="8"/>
        <v>12193.822161761069</v>
      </c>
    </row>
    <row r="58" spans="1:22" x14ac:dyDescent="0.2">
      <c r="B58" t="s">
        <v>359</v>
      </c>
      <c r="C58">
        <f t="shared" si="9"/>
        <v>100000</v>
      </c>
      <c r="D58">
        <v>35</v>
      </c>
      <c r="E58">
        <f t="shared" si="10"/>
        <v>875000000</v>
      </c>
      <c r="G58">
        <f t="shared" si="11"/>
        <v>1</v>
      </c>
      <c r="H58">
        <v>13</v>
      </c>
      <c r="I58">
        <f t="shared" si="12"/>
        <v>3250</v>
      </c>
      <c r="K58">
        <f t="shared" si="13"/>
        <v>874996750</v>
      </c>
      <c r="L58">
        <f t="shared" si="14"/>
        <v>3250</v>
      </c>
      <c r="M58">
        <f t="shared" si="15"/>
        <v>269229.76923076925</v>
      </c>
      <c r="P58" t="s">
        <v>366</v>
      </c>
      <c r="Q58">
        <f t="shared" si="8"/>
        <v>7419.5087719298253</v>
      </c>
    </row>
    <row r="59" spans="1:22" x14ac:dyDescent="0.2">
      <c r="B59" t="s">
        <v>360</v>
      </c>
      <c r="C59">
        <f t="shared" si="9"/>
        <v>100000</v>
      </c>
      <c r="D59">
        <v>30</v>
      </c>
      <c r="E59">
        <f t="shared" si="10"/>
        <v>750000000</v>
      </c>
      <c r="G59">
        <f t="shared" si="11"/>
        <v>1</v>
      </c>
      <c r="H59">
        <v>10</v>
      </c>
      <c r="I59">
        <f t="shared" si="12"/>
        <v>2500</v>
      </c>
      <c r="K59">
        <f t="shared" si="13"/>
        <v>749997500</v>
      </c>
      <c r="L59">
        <f t="shared" si="14"/>
        <v>2500</v>
      </c>
      <c r="M59">
        <f t="shared" si="15"/>
        <v>299999</v>
      </c>
      <c r="O59" t="s">
        <v>260</v>
      </c>
      <c r="P59" t="s">
        <v>367</v>
      </c>
      <c r="Q59">
        <f t="shared" si="8"/>
        <v>223076.84615384616</v>
      </c>
    </row>
    <row r="60" spans="1:22" x14ac:dyDescent="0.2">
      <c r="B60" t="s">
        <v>361</v>
      </c>
      <c r="C60">
        <f t="shared" si="9"/>
        <v>100000</v>
      </c>
      <c r="D60">
        <v>36</v>
      </c>
      <c r="E60">
        <f t="shared" si="10"/>
        <v>900000000</v>
      </c>
      <c r="G60">
        <f t="shared" si="11"/>
        <v>1</v>
      </c>
      <c r="H60" s="17">
        <v>1</v>
      </c>
      <c r="I60">
        <f t="shared" si="12"/>
        <v>250</v>
      </c>
      <c r="K60">
        <f t="shared" si="13"/>
        <v>899999750</v>
      </c>
      <c r="L60">
        <f t="shared" si="14"/>
        <v>250</v>
      </c>
      <c r="M60">
        <f t="shared" si="15"/>
        <v>3599999</v>
      </c>
      <c r="P60" t="s">
        <v>368</v>
      </c>
      <c r="Q60">
        <f t="shared" si="8"/>
        <v>235714.21428571429</v>
      </c>
    </row>
    <row r="61" spans="1:22" x14ac:dyDescent="0.2">
      <c r="B61" t="s">
        <v>362</v>
      </c>
      <c r="C61">
        <f t="shared" si="9"/>
        <v>100000</v>
      </c>
      <c r="D61">
        <v>34</v>
      </c>
      <c r="E61">
        <f t="shared" si="10"/>
        <v>850000000</v>
      </c>
      <c r="G61">
        <f t="shared" si="11"/>
        <v>1</v>
      </c>
      <c r="H61" s="17">
        <v>1</v>
      </c>
      <c r="I61">
        <f t="shared" si="12"/>
        <v>250</v>
      </c>
      <c r="K61">
        <f t="shared" si="13"/>
        <v>849999750</v>
      </c>
      <c r="L61">
        <f t="shared" si="14"/>
        <v>250</v>
      </c>
      <c r="M61">
        <f t="shared" si="15"/>
        <v>3399999</v>
      </c>
      <c r="P61" t="s">
        <v>369</v>
      </c>
      <c r="Q61">
        <f t="shared" si="8"/>
        <v>399999.88888888888</v>
      </c>
    </row>
    <row r="62" spans="1:22" x14ac:dyDescent="0.2">
      <c r="B62" t="s">
        <v>363</v>
      </c>
      <c r="C62">
        <f t="shared" si="9"/>
        <v>100000</v>
      </c>
      <c r="D62">
        <v>33</v>
      </c>
      <c r="E62">
        <f t="shared" si="10"/>
        <v>825000000</v>
      </c>
      <c r="G62">
        <f t="shared" si="11"/>
        <v>1</v>
      </c>
      <c r="H62" s="17">
        <v>1</v>
      </c>
      <c r="I62">
        <f t="shared" si="12"/>
        <v>250</v>
      </c>
      <c r="K62">
        <f t="shared" si="13"/>
        <v>824999750</v>
      </c>
      <c r="L62">
        <f t="shared" si="14"/>
        <v>250</v>
      </c>
      <c r="M62">
        <f t="shared" si="15"/>
        <v>3299999</v>
      </c>
      <c r="P62" t="s">
        <v>370</v>
      </c>
      <c r="Q62">
        <f t="shared" si="8"/>
        <v>6.0904761904761902</v>
      </c>
    </row>
    <row r="63" spans="1:22" x14ac:dyDescent="0.2">
      <c r="B63" t="s">
        <v>364</v>
      </c>
      <c r="C63">
        <f t="shared" si="9"/>
        <v>100000</v>
      </c>
      <c r="D63">
        <v>27</v>
      </c>
      <c r="E63">
        <f t="shared" si="10"/>
        <v>675000000</v>
      </c>
      <c r="G63">
        <f t="shared" si="11"/>
        <v>1</v>
      </c>
      <c r="H63">
        <v>21</v>
      </c>
      <c r="I63">
        <f t="shared" si="12"/>
        <v>5250</v>
      </c>
      <c r="K63">
        <f t="shared" si="13"/>
        <v>674994750</v>
      </c>
      <c r="L63">
        <f t="shared" si="14"/>
        <v>5250</v>
      </c>
      <c r="M63">
        <f t="shared" si="15"/>
        <v>128570.42857142857</v>
      </c>
      <c r="P63" t="s">
        <v>371</v>
      </c>
      <c r="Q63">
        <f t="shared" si="8"/>
        <v>7.8980995129405036</v>
      </c>
    </row>
    <row r="64" spans="1:22" x14ac:dyDescent="0.2">
      <c r="B64" t="s">
        <v>365</v>
      </c>
      <c r="C64">
        <f t="shared" si="9"/>
        <v>100000</v>
      </c>
      <c r="D64">
        <v>34</v>
      </c>
      <c r="E64">
        <f t="shared" si="10"/>
        <v>850000000</v>
      </c>
      <c r="G64">
        <f t="shared" si="11"/>
        <v>1</v>
      </c>
      <c r="H64">
        <v>26</v>
      </c>
      <c r="I64">
        <f t="shared" si="12"/>
        <v>6500</v>
      </c>
      <c r="K64">
        <f t="shared" si="13"/>
        <v>849993500</v>
      </c>
      <c r="L64">
        <f t="shared" si="14"/>
        <v>6500</v>
      </c>
      <c r="M64">
        <f t="shared" si="15"/>
        <v>130768.23076923077</v>
      </c>
      <c r="P64" t="s">
        <v>372</v>
      </c>
      <c r="Q64">
        <f t="shared" si="8"/>
        <v>10.594095940959409</v>
      </c>
    </row>
    <row r="65" spans="2:17" x14ac:dyDescent="0.2">
      <c r="B65" t="s">
        <v>366</v>
      </c>
      <c r="C65">
        <f t="shared" si="9"/>
        <v>100000</v>
      </c>
      <c r="D65">
        <v>29</v>
      </c>
      <c r="E65">
        <f t="shared" si="10"/>
        <v>725000000</v>
      </c>
      <c r="G65">
        <f t="shared" si="11"/>
        <v>1</v>
      </c>
      <c r="H65">
        <v>32</v>
      </c>
      <c r="I65">
        <f t="shared" si="12"/>
        <v>8000</v>
      </c>
      <c r="K65">
        <f t="shared" si="13"/>
        <v>724992000</v>
      </c>
      <c r="L65">
        <f t="shared" si="14"/>
        <v>8000</v>
      </c>
      <c r="M65">
        <f t="shared" si="15"/>
        <v>90624</v>
      </c>
      <c r="O65" t="s">
        <v>123</v>
      </c>
      <c r="P65" t="s">
        <v>373</v>
      </c>
      <c r="Q65">
        <f t="shared" si="8"/>
        <v>1.6024096385542168</v>
      </c>
    </row>
    <row r="66" spans="2:17" x14ac:dyDescent="0.2">
      <c r="B66" t="s">
        <v>367</v>
      </c>
      <c r="C66">
        <f t="shared" si="9"/>
        <v>100000</v>
      </c>
      <c r="D66">
        <v>29</v>
      </c>
      <c r="E66">
        <f t="shared" si="10"/>
        <v>725000000</v>
      </c>
      <c r="G66">
        <f t="shared" si="11"/>
        <v>1</v>
      </c>
      <c r="H66" s="17">
        <v>1</v>
      </c>
      <c r="I66">
        <f t="shared" si="12"/>
        <v>250</v>
      </c>
      <c r="K66">
        <f t="shared" si="13"/>
        <v>724999750</v>
      </c>
      <c r="L66">
        <f t="shared" si="14"/>
        <v>250</v>
      </c>
      <c r="M66">
        <f t="shared" si="15"/>
        <v>2899999</v>
      </c>
      <c r="P66" t="s">
        <v>374</v>
      </c>
      <c r="Q66">
        <f t="shared" si="8"/>
        <v>1.284153005464481</v>
      </c>
    </row>
    <row r="67" spans="2:17" x14ac:dyDescent="0.2">
      <c r="B67" t="s">
        <v>368</v>
      </c>
      <c r="C67">
        <f t="shared" si="9"/>
        <v>100000</v>
      </c>
      <c r="D67">
        <v>33</v>
      </c>
      <c r="E67">
        <f t="shared" si="10"/>
        <v>825000000</v>
      </c>
      <c r="G67">
        <f t="shared" si="11"/>
        <v>1</v>
      </c>
      <c r="H67" s="17">
        <v>1</v>
      </c>
      <c r="I67">
        <f t="shared" si="12"/>
        <v>250</v>
      </c>
      <c r="K67">
        <f t="shared" si="13"/>
        <v>824999750</v>
      </c>
      <c r="L67">
        <f t="shared" si="14"/>
        <v>250</v>
      </c>
      <c r="M67">
        <f t="shared" si="15"/>
        <v>3299999</v>
      </c>
      <c r="P67" t="s">
        <v>375</v>
      </c>
      <c r="Q67">
        <f t="shared" si="8"/>
        <v>2.1060855263157894</v>
      </c>
    </row>
    <row r="68" spans="2:17" x14ac:dyDescent="0.2">
      <c r="B68" t="s">
        <v>369</v>
      </c>
      <c r="C68">
        <f t="shared" si="9"/>
        <v>100000</v>
      </c>
      <c r="D68">
        <v>36</v>
      </c>
      <c r="E68">
        <f t="shared" si="10"/>
        <v>900000000</v>
      </c>
      <c r="G68">
        <f t="shared" si="11"/>
        <v>1</v>
      </c>
      <c r="H68" s="17">
        <v>1</v>
      </c>
      <c r="I68">
        <f t="shared" si="12"/>
        <v>250</v>
      </c>
      <c r="K68">
        <f t="shared" si="13"/>
        <v>899999750</v>
      </c>
      <c r="L68">
        <f t="shared" si="14"/>
        <v>250</v>
      </c>
      <c r="M68">
        <f t="shared" si="15"/>
        <v>3599999</v>
      </c>
      <c r="P68" t="s">
        <v>376</v>
      </c>
      <c r="Q68">
        <f t="shared" si="8"/>
        <v>1.5508870214752568</v>
      </c>
    </row>
    <row r="69" spans="2:17" x14ac:dyDescent="0.2">
      <c r="B69" t="s">
        <v>370</v>
      </c>
      <c r="C69">
        <f t="shared" si="9"/>
        <v>100000</v>
      </c>
      <c r="D69">
        <v>26</v>
      </c>
      <c r="E69">
        <f t="shared" si="10"/>
        <v>650000000</v>
      </c>
      <c r="G69">
        <f>10^3</f>
        <v>1000</v>
      </c>
      <c r="H69">
        <v>42</v>
      </c>
      <c r="I69">
        <f t="shared" si="12"/>
        <v>10500000</v>
      </c>
      <c r="K69">
        <f t="shared" si="13"/>
        <v>639500000</v>
      </c>
      <c r="L69">
        <f t="shared" si="14"/>
        <v>10500000</v>
      </c>
      <c r="M69">
        <f t="shared" si="15"/>
        <v>60.904761904761905</v>
      </c>
      <c r="P69" t="s">
        <v>377</v>
      </c>
      <c r="Q69">
        <f t="shared" si="8"/>
        <v>2.4975721952466139</v>
      </c>
    </row>
    <row r="70" spans="2:17" x14ac:dyDescent="0.2">
      <c r="B70" t="s">
        <v>371</v>
      </c>
      <c r="C70">
        <f t="shared" si="9"/>
        <v>100000</v>
      </c>
      <c r="D70">
        <v>31</v>
      </c>
      <c r="E70">
        <f t="shared" si="10"/>
        <v>775000000</v>
      </c>
      <c r="G70">
        <f t="shared" ref="G70:G71" si="16">10^3</f>
        <v>1000</v>
      </c>
      <c r="H70">
        <v>37</v>
      </c>
      <c r="I70">
        <f t="shared" si="12"/>
        <v>9250000</v>
      </c>
      <c r="K70">
        <f t="shared" si="13"/>
        <v>765750000</v>
      </c>
      <c r="L70">
        <f t="shared" si="14"/>
        <v>9250000</v>
      </c>
      <c r="M70">
        <f t="shared" si="15"/>
        <v>82.78378378378379</v>
      </c>
      <c r="P70" t="s">
        <v>379</v>
      </c>
      <c r="Q70">
        <f t="shared" si="8"/>
        <v>4.6235142948923871</v>
      </c>
    </row>
    <row r="71" spans="2:17" x14ac:dyDescent="0.2">
      <c r="B71" t="s">
        <v>372</v>
      </c>
      <c r="C71">
        <f t="shared" si="9"/>
        <v>100000</v>
      </c>
      <c r="D71">
        <v>38</v>
      </c>
      <c r="E71">
        <f t="shared" si="10"/>
        <v>950000000</v>
      </c>
      <c r="G71">
        <f t="shared" si="16"/>
        <v>1000</v>
      </c>
      <c r="H71">
        <v>38</v>
      </c>
      <c r="I71">
        <f t="shared" si="12"/>
        <v>9500000</v>
      </c>
      <c r="K71">
        <f t="shared" si="13"/>
        <v>940500000</v>
      </c>
      <c r="L71">
        <f t="shared" si="14"/>
        <v>9500000</v>
      </c>
      <c r="M71">
        <f t="shared" si="15"/>
        <v>99</v>
      </c>
    </row>
    <row r="72" spans="2:17" x14ac:dyDescent="0.2">
      <c r="B72" t="s">
        <v>373</v>
      </c>
      <c r="C72">
        <f t="shared" si="9"/>
        <v>100000</v>
      </c>
      <c r="D72">
        <v>28</v>
      </c>
      <c r="E72">
        <f t="shared" si="10"/>
        <v>700000000</v>
      </c>
      <c r="G72">
        <f>10^4</f>
        <v>10000</v>
      </c>
      <c r="H72">
        <v>14</v>
      </c>
      <c r="I72">
        <f t="shared" si="12"/>
        <v>35000000</v>
      </c>
      <c r="K72">
        <f t="shared" si="13"/>
        <v>665000000</v>
      </c>
      <c r="L72">
        <f t="shared" si="14"/>
        <v>35000000</v>
      </c>
      <c r="M72">
        <f t="shared" si="15"/>
        <v>19</v>
      </c>
    </row>
    <row r="73" spans="2:17" x14ac:dyDescent="0.2">
      <c r="B73" t="s">
        <v>374</v>
      </c>
      <c r="C73">
        <f t="shared" si="9"/>
        <v>100000</v>
      </c>
      <c r="D73">
        <v>35</v>
      </c>
      <c r="E73">
        <f t="shared" si="10"/>
        <v>875000000</v>
      </c>
      <c r="G73">
        <f t="shared" ref="G73:G77" si="17">10^4</f>
        <v>10000</v>
      </c>
      <c r="H73">
        <v>21</v>
      </c>
      <c r="I73">
        <f t="shared" si="12"/>
        <v>52500000</v>
      </c>
      <c r="K73">
        <f t="shared" si="13"/>
        <v>822500000</v>
      </c>
      <c r="L73">
        <f t="shared" si="14"/>
        <v>52500000</v>
      </c>
      <c r="M73">
        <f t="shared" si="15"/>
        <v>15.666666666666666</v>
      </c>
    </row>
    <row r="74" spans="2:17" x14ac:dyDescent="0.2">
      <c r="B74" t="s">
        <v>375</v>
      </c>
      <c r="C74">
        <f t="shared" si="9"/>
        <v>100000</v>
      </c>
      <c r="D74">
        <v>41</v>
      </c>
      <c r="E74">
        <f t="shared" si="10"/>
        <v>1025000000</v>
      </c>
      <c r="G74">
        <f t="shared" si="17"/>
        <v>10000</v>
      </c>
      <c r="H74">
        <v>16</v>
      </c>
      <c r="I74">
        <f t="shared" si="12"/>
        <v>40000000</v>
      </c>
      <c r="K74">
        <f t="shared" si="13"/>
        <v>985000000</v>
      </c>
      <c r="L74">
        <f t="shared" si="14"/>
        <v>40000000</v>
      </c>
      <c r="M74">
        <f t="shared" si="15"/>
        <v>24.625</v>
      </c>
    </row>
    <row r="75" spans="2:17" x14ac:dyDescent="0.2">
      <c r="B75" t="s">
        <v>376</v>
      </c>
      <c r="C75">
        <f t="shared" si="9"/>
        <v>100000</v>
      </c>
      <c r="D75">
        <v>32</v>
      </c>
      <c r="E75">
        <f t="shared" si="10"/>
        <v>800000000</v>
      </c>
      <c r="G75">
        <f t="shared" si="17"/>
        <v>10000</v>
      </c>
      <c r="H75">
        <v>18</v>
      </c>
      <c r="I75">
        <f t="shared" si="12"/>
        <v>45000000</v>
      </c>
      <c r="K75">
        <f t="shared" si="13"/>
        <v>755000000</v>
      </c>
      <c r="L75">
        <f t="shared" si="14"/>
        <v>45000000</v>
      </c>
      <c r="M75">
        <f t="shared" si="15"/>
        <v>16.777777777777779</v>
      </c>
    </row>
    <row r="76" spans="2:17" x14ac:dyDescent="0.2">
      <c r="B76" t="s">
        <v>377</v>
      </c>
      <c r="C76">
        <f t="shared" si="9"/>
        <v>100000</v>
      </c>
      <c r="D76">
        <v>35</v>
      </c>
      <c r="E76">
        <f t="shared" si="10"/>
        <v>875000000</v>
      </c>
      <c r="G76">
        <f t="shared" si="17"/>
        <v>10000</v>
      </c>
      <c r="H76">
        <v>13</v>
      </c>
      <c r="I76">
        <f t="shared" si="12"/>
        <v>32500000</v>
      </c>
      <c r="K76">
        <f t="shared" si="13"/>
        <v>842500000</v>
      </c>
      <c r="L76">
        <f t="shared" si="14"/>
        <v>32500000</v>
      </c>
      <c r="M76">
        <f t="shared" si="15"/>
        <v>25.923076923076923</v>
      </c>
    </row>
    <row r="77" spans="2:17" x14ac:dyDescent="0.2">
      <c r="B77" t="s">
        <v>379</v>
      </c>
      <c r="C77">
        <f t="shared" si="9"/>
        <v>100000</v>
      </c>
      <c r="D77">
        <v>40</v>
      </c>
      <c r="E77">
        <f t="shared" si="10"/>
        <v>1000000000</v>
      </c>
      <c r="G77">
        <f t="shared" si="17"/>
        <v>10000</v>
      </c>
      <c r="H77">
        <v>11</v>
      </c>
      <c r="I77">
        <f t="shared" si="12"/>
        <v>27500000</v>
      </c>
      <c r="K77">
        <f t="shared" si="13"/>
        <v>972500000</v>
      </c>
      <c r="L77">
        <f t="shared" si="14"/>
        <v>27500000</v>
      </c>
      <c r="M77">
        <f t="shared" si="15"/>
        <v>35.363636363636367</v>
      </c>
    </row>
    <row r="79" spans="2:17" x14ac:dyDescent="0.2">
      <c r="H79" s="17" t="s">
        <v>387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7692-5BFF-334C-B563-79A2FC58DB47}">
  <dimension ref="A1:O34"/>
  <sheetViews>
    <sheetView tabSelected="1" workbookViewId="0">
      <selection activeCell="M19" sqref="M19"/>
    </sheetView>
  </sheetViews>
  <sheetFormatPr baseColWidth="10" defaultRowHeight="16" x14ac:dyDescent="0.2"/>
  <sheetData>
    <row r="1" spans="1:15" x14ac:dyDescent="0.2">
      <c r="A1" t="s">
        <v>649</v>
      </c>
    </row>
    <row r="3" spans="1:15" x14ac:dyDescent="0.2">
      <c r="A3" t="s">
        <v>639</v>
      </c>
    </row>
    <row r="4" spans="1:15" x14ac:dyDescent="0.2">
      <c r="D4" t="s">
        <v>640</v>
      </c>
      <c r="F4" t="s">
        <v>641</v>
      </c>
      <c r="G4" t="s">
        <v>642</v>
      </c>
      <c r="H4" t="s">
        <v>643</v>
      </c>
      <c r="I4" t="s">
        <v>644</v>
      </c>
      <c r="J4" t="s">
        <v>225</v>
      </c>
      <c r="K4" t="s">
        <v>645</v>
      </c>
    </row>
    <row r="5" spans="1:15" x14ac:dyDescent="0.2">
      <c r="C5" t="s">
        <v>5</v>
      </c>
      <c r="D5">
        <v>8.7000000000000188E-2</v>
      </c>
      <c r="F5">
        <v>8.8000000000000078E-2</v>
      </c>
      <c r="G5">
        <v>6.9000000000000061E-2</v>
      </c>
      <c r="H5">
        <v>7.5999999999999956E-2</v>
      </c>
      <c r="I5">
        <v>8.1000000000000072E-2</v>
      </c>
      <c r="J5">
        <v>5.3000000000000047E-2</v>
      </c>
      <c r="K5">
        <v>1</v>
      </c>
    </row>
    <row r="6" spans="1:15" x14ac:dyDescent="0.2">
      <c r="C6" t="s">
        <v>6</v>
      </c>
      <c r="D6">
        <v>7.900000000000007E-2</v>
      </c>
      <c r="F6">
        <v>8.1999999999999962E-2</v>
      </c>
      <c r="G6">
        <v>4.2000000000000037E-2</v>
      </c>
      <c r="H6">
        <v>6.899999999999995E-2</v>
      </c>
      <c r="I6">
        <v>9.9399999999999933E-2</v>
      </c>
      <c r="J6">
        <v>6.899999999999995E-2</v>
      </c>
      <c r="K6">
        <v>1</v>
      </c>
    </row>
    <row r="7" spans="1:15" x14ac:dyDescent="0.2">
      <c r="C7" t="s">
        <v>7</v>
      </c>
      <c r="D7">
        <v>6.4000000000000057E-2</v>
      </c>
      <c r="F7">
        <v>8.2000000000000073E-2</v>
      </c>
      <c r="G7">
        <v>4.8999999999999932E-2</v>
      </c>
      <c r="H7">
        <v>7.0999999999999952E-2</v>
      </c>
      <c r="I7">
        <v>5.8999999999999941E-2</v>
      </c>
      <c r="J7">
        <v>5.3999999999999937E-2</v>
      </c>
      <c r="K7">
        <v>1</v>
      </c>
    </row>
    <row r="8" spans="1:15" x14ac:dyDescent="0.2">
      <c r="C8" t="s">
        <v>8</v>
      </c>
      <c r="D8">
        <v>7.5999999999999956E-2</v>
      </c>
      <c r="F8">
        <v>9.3000000000000083E-2</v>
      </c>
      <c r="G8">
        <v>7.4999999999999956E-2</v>
      </c>
      <c r="H8">
        <v>0.122</v>
      </c>
      <c r="I8">
        <v>8.9000000000000079E-2</v>
      </c>
      <c r="J8">
        <v>7.4000000000000066E-2</v>
      </c>
      <c r="K8">
        <v>1</v>
      </c>
    </row>
    <row r="9" spans="1:15" x14ac:dyDescent="0.2">
      <c r="C9" t="s">
        <v>9</v>
      </c>
      <c r="D9">
        <v>7.5999999999999956E-2</v>
      </c>
      <c r="F9">
        <v>9.6999999999999975E-2</v>
      </c>
      <c r="G9">
        <v>6.800000000000006E-2</v>
      </c>
      <c r="H9">
        <v>4.4999999999999929E-2</v>
      </c>
      <c r="I9">
        <v>7.1999999999999953E-2</v>
      </c>
      <c r="J9">
        <v>6.7999999999999949E-2</v>
      </c>
      <c r="K9">
        <v>1</v>
      </c>
    </row>
    <row r="10" spans="1:15" x14ac:dyDescent="0.2">
      <c r="C10" t="s">
        <v>10</v>
      </c>
      <c r="D10">
        <v>0.1090000000000001</v>
      </c>
      <c r="F10">
        <v>6.700000000000006E-2</v>
      </c>
      <c r="G10">
        <v>5.8999999999999941E-2</v>
      </c>
      <c r="H10">
        <v>6.1000000000000054E-2</v>
      </c>
      <c r="I10">
        <v>7.1000000000000063E-2</v>
      </c>
      <c r="J10">
        <v>4.0000000000000036E-2</v>
      </c>
      <c r="K10">
        <v>1</v>
      </c>
    </row>
    <row r="11" spans="1:15" x14ac:dyDescent="0.2">
      <c r="C11" t="s">
        <v>11</v>
      </c>
      <c r="D11">
        <v>7.4000000000000066E-2</v>
      </c>
      <c r="F11">
        <v>3.9000000000000035E-2</v>
      </c>
      <c r="G11">
        <v>4.6999999999999931E-2</v>
      </c>
      <c r="H11">
        <v>4.1000000000000036E-2</v>
      </c>
      <c r="I11">
        <v>6.9999999999999951E-2</v>
      </c>
      <c r="J11">
        <v>5.9999999999999942E-2</v>
      </c>
      <c r="K11">
        <v>1</v>
      </c>
    </row>
    <row r="14" spans="1:15" x14ac:dyDescent="0.2">
      <c r="A14" t="s">
        <v>646</v>
      </c>
    </row>
    <row r="15" spans="1:15" x14ac:dyDescent="0.2">
      <c r="C15" t="s">
        <v>218</v>
      </c>
      <c r="D15" t="s">
        <v>0</v>
      </c>
      <c r="F15" t="s">
        <v>1</v>
      </c>
      <c r="H15" t="s">
        <v>222</v>
      </c>
      <c r="J15" t="s">
        <v>2</v>
      </c>
      <c r="L15" t="s">
        <v>225</v>
      </c>
      <c r="N15" t="s">
        <v>3</v>
      </c>
    </row>
    <row r="16" spans="1:15" x14ac:dyDescent="0.2">
      <c r="C16" t="s">
        <v>624</v>
      </c>
      <c r="D16" t="s">
        <v>624</v>
      </c>
      <c r="E16" t="s">
        <v>647</v>
      </c>
      <c r="F16" t="s">
        <v>624</v>
      </c>
      <c r="G16" t="s">
        <v>647</v>
      </c>
      <c r="H16" t="s">
        <v>624</v>
      </c>
      <c r="I16" t="s">
        <v>647</v>
      </c>
      <c r="J16" t="s">
        <v>624</v>
      </c>
      <c r="K16" t="s">
        <v>647</v>
      </c>
      <c r="L16" t="s">
        <v>624</v>
      </c>
      <c r="M16" t="s">
        <v>647</v>
      </c>
      <c r="N16" t="s">
        <v>625</v>
      </c>
      <c r="O16" t="s">
        <v>647</v>
      </c>
    </row>
    <row r="17" spans="1:15" x14ac:dyDescent="0.2">
      <c r="B17" t="s">
        <v>5</v>
      </c>
      <c r="C17">
        <f>124*10^3</f>
        <v>124000</v>
      </c>
      <c r="D17">
        <f>11*10^3</f>
        <v>11000</v>
      </c>
      <c r="E17">
        <v>0</v>
      </c>
      <c r="F17">
        <f>2*10^2</f>
        <v>200</v>
      </c>
      <c r="G17">
        <v>0</v>
      </c>
      <c r="H17">
        <f>5*10^1</f>
        <v>50</v>
      </c>
      <c r="I17">
        <v>0</v>
      </c>
      <c r="J17">
        <f>20*10^1</f>
        <v>200</v>
      </c>
      <c r="K17">
        <v>0</v>
      </c>
      <c r="L17">
        <f>17*10^1</f>
        <v>170</v>
      </c>
      <c r="M17">
        <v>0</v>
      </c>
      <c r="N17">
        <v>0</v>
      </c>
      <c r="O17">
        <v>0</v>
      </c>
    </row>
    <row r="18" spans="1:15" x14ac:dyDescent="0.2">
      <c r="B18" t="s">
        <v>6</v>
      </c>
      <c r="C18">
        <f>86*10^2</f>
        <v>8600</v>
      </c>
      <c r="D18">
        <f>29*10^1</f>
        <v>290</v>
      </c>
      <c r="E18">
        <f>140*10^1</f>
        <v>1400</v>
      </c>
      <c r="F18">
        <f>4*10^1</f>
        <v>40</v>
      </c>
      <c r="G18">
        <f>4*10^1</f>
        <v>40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">
      <c r="B19" t="s">
        <v>7</v>
      </c>
      <c r="C19">
        <f>446*10^2</f>
        <v>44600</v>
      </c>
      <c r="D19">
        <f>190*10^1</f>
        <v>1900</v>
      </c>
      <c r="E19">
        <v>0</v>
      </c>
      <c r="F19">
        <f>8*10^1</f>
        <v>80</v>
      </c>
      <c r="G19">
        <v>0</v>
      </c>
      <c r="H19">
        <f>1*10^1</f>
        <v>10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">
      <c r="B20" t="s">
        <v>8</v>
      </c>
      <c r="C20">
        <v>0</v>
      </c>
      <c r="D20">
        <f>61*10^1</f>
        <v>610</v>
      </c>
      <c r="E20">
        <f>10*10^1</f>
        <v>100</v>
      </c>
      <c r="F20">
        <f>8*10^1</f>
        <v>80</v>
      </c>
      <c r="G20">
        <v>0</v>
      </c>
      <c r="H20">
        <f>109*10^1</f>
        <v>1090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">
      <c r="B21" t="s">
        <v>9</v>
      </c>
      <c r="C21">
        <f>88*10^1</f>
        <v>880</v>
      </c>
      <c r="D21">
        <f>12*10^1</f>
        <v>120</v>
      </c>
      <c r="E21">
        <f>57*10^1</f>
        <v>570</v>
      </c>
      <c r="F21">
        <f>15*10^1</f>
        <v>150</v>
      </c>
      <c r="G21">
        <f>12*10^1</f>
        <v>120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">
      <c r="B22" t="s">
        <v>10</v>
      </c>
      <c r="C22">
        <f>309*10^1</f>
        <v>3090</v>
      </c>
      <c r="D22">
        <f>1*10^2</f>
        <v>100</v>
      </c>
      <c r="E22">
        <f>2*10^1</f>
        <v>20</v>
      </c>
      <c r="F22">
        <f>6*10^1</f>
        <v>60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">
      <c r="B23" t="s">
        <v>11</v>
      </c>
      <c r="C23">
        <f>185*10^1</f>
        <v>1850</v>
      </c>
      <c r="D23">
        <f>11*10^1</f>
        <v>110</v>
      </c>
      <c r="E23">
        <v>0</v>
      </c>
      <c r="F23">
        <f>4*10^1</f>
        <v>40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6" spans="1:15" x14ac:dyDescent="0.2">
      <c r="A26" t="s">
        <v>626</v>
      </c>
    </row>
    <row r="27" spans="1:15" x14ac:dyDescent="0.2">
      <c r="C27" t="s">
        <v>218</v>
      </c>
      <c r="D27" t="s">
        <v>627</v>
      </c>
      <c r="E27" t="s">
        <v>633</v>
      </c>
      <c r="F27" t="s">
        <v>628</v>
      </c>
      <c r="G27" t="s">
        <v>634</v>
      </c>
      <c r="H27" t="s">
        <v>629</v>
      </c>
      <c r="I27" t="s">
        <v>635</v>
      </c>
      <c r="J27" t="s">
        <v>630</v>
      </c>
      <c r="K27" t="s">
        <v>636</v>
      </c>
      <c r="L27" t="s">
        <v>631</v>
      </c>
      <c r="M27" t="s">
        <v>637</v>
      </c>
      <c r="N27" t="s">
        <v>632</v>
      </c>
      <c r="O27" t="s">
        <v>638</v>
      </c>
    </row>
    <row r="28" spans="1:15" x14ac:dyDescent="0.2">
      <c r="B28" t="s">
        <v>5</v>
      </c>
      <c r="C28">
        <v>1425287.3563218359</v>
      </c>
      <c r="D28">
        <v>124999.99999999988</v>
      </c>
      <c r="E28">
        <v>0</v>
      </c>
      <c r="F28">
        <v>2898.5507246376787</v>
      </c>
      <c r="G28">
        <v>0</v>
      </c>
      <c r="H28">
        <v>657.89473684210566</v>
      </c>
      <c r="I28">
        <v>0</v>
      </c>
      <c r="J28">
        <v>2469.1358024691335</v>
      </c>
      <c r="K28">
        <v>0</v>
      </c>
      <c r="L28">
        <v>3207.5471698113179</v>
      </c>
      <c r="M28">
        <v>0</v>
      </c>
      <c r="N28">
        <v>0</v>
      </c>
      <c r="O28">
        <v>0</v>
      </c>
    </row>
    <row r="29" spans="1:15" x14ac:dyDescent="0.2">
      <c r="B29" t="s">
        <v>6</v>
      </c>
      <c r="C29">
        <v>108860.75949367079</v>
      </c>
      <c r="D29">
        <v>3536.5853658536603</v>
      </c>
      <c r="E29">
        <v>17073.170731707323</v>
      </c>
      <c r="F29">
        <v>952.3809523809515</v>
      </c>
      <c r="G29">
        <v>952.3809523809515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">
      <c r="B30" t="s">
        <v>7</v>
      </c>
      <c r="C30">
        <v>696874.99999999942</v>
      </c>
      <c r="D30">
        <v>23170.731707317052</v>
      </c>
      <c r="E30">
        <v>0</v>
      </c>
      <c r="F30">
        <v>1632.6530612244921</v>
      </c>
      <c r="G30">
        <v>0</v>
      </c>
      <c r="H30">
        <v>140.84507042253531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">
      <c r="B31" t="s">
        <v>8</v>
      </c>
      <c r="C31">
        <v>0</v>
      </c>
      <c r="D31">
        <v>6559.139784946231</v>
      </c>
      <c r="E31">
        <v>1075.2688172043001</v>
      </c>
      <c r="F31">
        <v>1066.6666666666672</v>
      </c>
      <c r="G31">
        <v>0</v>
      </c>
      <c r="H31">
        <v>8934.4262295081971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">
      <c r="B32" t="s">
        <v>9</v>
      </c>
      <c r="C32">
        <v>11578.947368421059</v>
      </c>
      <c r="D32">
        <v>1237.113402061856</v>
      </c>
      <c r="E32">
        <v>5876.2886597938159</v>
      </c>
      <c r="F32">
        <v>2205.8823529411743</v>
      </c>
      <c r="G32">
        <v>1764.7058823529396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2:15" x14ac:dyDescent="0.2">
      <c r="B33" t="s">
        <v>10</v>
      </c>
      <c r="C33">
        <v>28348.623853210986</v>
      </c>
      <c r="D33">
        <v>1492.5373134328345</v>
      </c>
      <c r="E33">
        <v>298.5074626865669</v>
      </c>
      <c r="F33">
        <v>1016.9491525423739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2:15" x14ac:dyDescent="0.2">
      <c r="B34" t="s">
        <v>11</v>
      </c>
      <c r="C34">
        <v>24999.999999999978</v>
      </c>
      <c r="D34">
        <v>2820.5128205128181</v>
      </c>
      <c r="E34">
        <v>0</v>
      </c>
      <c r="F34">
        <v>851.06382978723525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Figure 1 - Animal experiement</vt:lpstr>
      <vt:lpstr>Figure 2 - Colicins</vt:lpstr>
      <vt:lpstr>Figure 2 - CDI</vt:lpstr>
      <vt:lpstr>Figure 3 - Colonization untreat</vt:lpstr>
      <vt:lpstr>Figure 4 - Colonization MG1655</vt:lpstr>
      <vt:lpstr>Figure S5 - LPS</vt:lpstr>
      <vt:lpstr>Figure S6 - Colonization MG1655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Muir</dc:creator>
  <cp:lastModifiedBy>Sanna Koskiniemi</cp:lastModifiedBy>
  <dcterms:created xsi:type="dcterms:W3CDTF">2024-02-20T09:19:52Z</dcterms:created>
  <dcterms:modified xsi:type="dcterms:W3CDTF">2026-04-17T14:08:09Z</dcterms:modified>
</cp:coreProperties>
</file>