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uapt33090.sharepoint.com/sites/OP_Artigos_A_Submeter/Shared Documents/Humanities and Social Sciences Communications/Data_BaseDados/Revised_Similarity/"/>
    </mc:Choice>
  </mc:AlternateContent>
  <xr:revisionPtr revIDLastSave="1" documentId="14_{898D4336-2E05-44A5-BCD6-F138BF320788}" xr6:coauthVersionLast="47" xr6:coauthVersionMax="47" xr10:uidLastSave="{807A2AB8-9FD6-42AE-B1F2-0797C5965FAE}"/>
  <bookViews>
    <workbookView xWindow="-120" yWindow="-120" windowWidth="29040" windowHeight="15840" tabRatio="697" firstSheet="2" activeTab="7" xr2:uid="{00000000-000D-0000-FFFF-FFFF00000000}"/>
  </bookViews>
  <sheets>
    <sheet name="AHP_nivel_0" sheetId="1" r:id="rId1"/>
    <sheet name="AHP_nivel_0 (neutral)" sheetId="13" r:id="rId2"/>
    <sheet name="SAW_nivel_0_máximo" sheetId="10" r:id="rId3"/>
    <sheet name="SAW_nivel_0_máximo (neutral)" sheetId="14" r:id="rId4"/>
    <sheet name="WPM_nivel_0 (maximo)" sheetId="11" r:id="rId5"/>
    <sheet name="WPM_nivel_0 (maximo) (neutral)" sheetId="15" r:id="rId6"/>
    <sheet name="TOPSIS_Nivel_0" sheetId="3" r:id="rId7"/>
    <sheet name="TOPSIS_Nivel_0 (neutral)" sheetId="1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4" i="15" l="1"/>
  <c r="AC23" i="14"/>
  <c r="AC24" i="14"/>
  <c r="U136" i="13"/>
  <c r="T136" i="13"/>
  <c r="S136" i="13"/>
  <c r="R136" i="13"/>
  <c r="Q136" i="13"/>
  <c r="P136" i="13"/>
  <c r="L119" i="13"/>
  <c r="K119" i="13"/>
  <c r="J119" i="13"/>
  <c r="L118" i="13"/>
  <c r="K118" i="13"/>
  <c r="J118" i="13"/>
  <c r="M117" i="13"/>
  <c r="L117" i="13"/>
  <c r="K117" i="13"/>
  <c r="J117" i="13"/>
  <c r="M116" i="13"/>
  <c r="L116" i="13"/>
  <c r="K116" i="13"/>
  <c r="J116" i="13"/>
  <c r="M115" i="13"/>
  <c r="L115" i="13"/>
  <c r="K115" i="13"/>
  <c r="J115" i="13"/>
  <c r="N114" i="13"/>
  <c r="M114" i="13"/>
  <c r="L114" i="13"/>
  <c r="K114" i="13"/>
  <c r="J114" i="13"/>
  <c r="U73" i="13"/>
  <c r="T73" i="13"/>
  <c r="S73" i="13"/>
  <c r="R73" i="13"/>
  <c r="Q73" i="13"/>
  <c r="P73" i="13"/>
  <c r="O73" i="13"/>
  <c r="N73" i="13"/>
  <c r="M73" i="13"/>
  <c r="L73" i="13"/>
  <c r="K73" i="13"/>
  <c r="J73" i="13"/>
  <c r="I73" i="13"/>
  <c r="U72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U71" i="13"/>
  <c r="T71" i="13"/>
  <c r="S71" i="13"/>
  <c r="R71" i="13"/>
  <c r="Q71" i="13"/>
  <c r="P71" i="13"/>
  <c r="O71" i="13"/>
  <c r="N71" i="13"/>
  <c r="M71" i="13"/>
  <c r="L71" i="13"/>
  <c r="K71" i="13"/>
  <c r="J71" i="13"/>
  <c r="I71" i="13"/>
  <c r="U70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U69" i="13"/>
  <c r="T69" i="13"/>
  <c r="S69" i="13"/>
  <c r="R69" i="13"/>
  <c r="Q69" i="13"/>
  <c r="P69" i="13"/>
  <c r="O69" i="13"/>
  <c r="N69" i="13"/>
  <c r="M69" i="13"/>
  <c r="L69" i="13"/>
  <c r="K69" i="13"/>
  <c r="J69" i="13"/>
  <c r="I69" i="13"/>
  <c r="U68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U67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X53" i="13"/>
  <c r="Z49" i="13" s="1"/>
  <c r="AD38" i="13"/>
  <c r="AC38" i="13"/>
  <c r="AB38" i="13"/>
  <c r="AA38" i="13"/>
  <c r="Z38" i="13"/>
  <c r="AD37" i="13"/>
  <c r="AC37" i="13"/>
  <c r="AB37" i="13"/>
  <c r="AA37" i="13"/>
  <c r="Z37" i="13"/>
  <c r="AD36" i="13"/>
  <c r="AC36" i="13"/>
  <c r="AB36" i="13"/>
  <c r="AA36" i="13"/>
  <c r="Z36" i="13"/>
  <c r="P35" i="13"/>
  <c r="L35" i="13"/>
  <c r="K35" i="13"/>
  <c r="H35" i="13"/>
  <c r="G35" i="13"/>
  <c r="U34" i="13"/>
  <c r="Q34" i="13"/>
  <c r="P34" i="13"/>
  <c r="H34" i="13"/>
  <c r="T33" i="13"/>
  <c r="Q33" i="13"/>
  <c r="P33" i="13"/>
  <c r="N33" i="13"/>
  <c r="T32" i="13"/>
  <c r="R32" i="13"/>
  <c r="N32" i="13"/>
  <c r="K32" i="13"/>
  <c r="N31" i="13"/>
  <c r="I31" i="13"/>
  <c r="R30" i="13"/>
  <c r="H30" i="13"/>
  <c r="E30" i="13"/>
  <c r="S29" i="13"/>
  <c r="N29" i="13"/>
  <c r="O25" i="13"/>
  <c r="N25" i="13"/>
  <c r="M25" i="13"/>
  <c r="J25" i="13"/>
  <c r="I25" i="13"/>
  <c r="F25" i="13"/>
  <c r="E25" i="13"/>
  <c r="D25" i="13"/>
  <c r="O24" i="13"/>
  <c r="N24" i="13"/>
  <c r="M24" i="13"/>
  <c r="L24" i="13"/>
  <c r="K24" i="13"/>
  <c r="J24" i="13"/>
  <c r="I24" i="13"/>
  <c r="G24" i="13"/>
  <c r="F24" i="13"/>
  <c r="E24" i="13"/>
  <c r="D24" i="13"/>
  <c r="O23" i="13"/>
  <c r="M23" i="13"/>
  <c r="L23" i="13"/>
  <c r="K23" i="13"/>
  <c r="J23" i="13"/>
  <c r="I23" i="13"/>
  <c r="H23" i="13"/>
  <c r="G23" i="13"/>
  <c r="F23" i="13"/>
  <c r="E23" i="13"/>
  <c r="D23" i="13"/>
  <c r="P22" i="13"/>
  <c r="O22" i="13"/>
  <c r="M22" i="13"/>
  <c r="L22" i="13"/>
  <c r="J22" i="13"/>
  <c r="I22" i="13"/>
  <c r="H22" i="13"/>
  <c r="G22" i="13"/>
  <c r="F22" i="13"/>
  <c r="E22" i="13"/>
  <c r="D22" i="13"/>
  <c r="O21" i="13"/>
  <c r="M21" i="13"/>
  <c r="L21" i="13"/>
  <c r="K21" i="13"/>
  <c r="J21" i="13"/>
  <c r="H21" i="13"/>
  <c r="G21" i="13"/>
  <c r="F21" i="13"/>
  <c r="E21" i="13"/>
  <c r="D21" i="13"/>
  <c r="O20" i="13"/>
  <c r="N20" i="13"/>
  <c r="M20" i="13"/>
  <c r="L20" i="13"/>
  <c r="K20" i="13"/>
  <c r="J20" i="13"/>
  <c r="I20" i="13"/>
  <c r="G20" i="13"/>
  <c r="F20" i="13"/>
  <c r="D20" i="13"/>
  <c r="O19" i="13"/>
  <c r="M19" i="13"/>
  <c r="L19" i="13"/>
  <c r="K19" i="13"/>
  <c r="J19" i="13"/>
  <c r="I19" i="13"/>
  <c r="H19" i="13"/>
  <c r="G19" i="13"/>
  <c r="F19" i="13"/>
  <c r="E19" i="13"/>
  <c r="D19" i="13"/>
  <c r="U17" i="13"/>
  <c r="U22" i="13" s="1"/>
  <c r="T17" i="13"/>
  <c r="T19" i="13" s="1"/>
  <c r="S17" i="13"/>
  <c r="S24" i="13" s="1"/>
  <c r="R17" i="13"/>
  <c r="R24" i="13" s="1"/>
  <c r="Q17" i="13"/>
  <c r="Q22" i="13" s="1"/>
  <c r="P17" i="13"/>
  <c r="P21" i="13" s="1"/>
  <c r="V13" i="13"/>
  <c r="V12" i="13"/>
  <c r="V11" i="13"/>
  <c r="V10" i="13"/>
  <c r="V9" i="13"/>
  <c r="V8" i="13"/>
  <c r="V7" i="13"/>
  <c r="V6" i="13"/>
  <c r="V5" i="13"/>
  <c r="V4" i="13"/>
  <c r="Z46" i="13" l="1"/>
  <c r="P20" i="13"/>
  <c r="Q19" i="13"/>
  <c r="T20" i="13"/>
  <c r="Z44" i="13"/>
  <c r="Z48" i="13"/>
  <c r="S25" i="13"/>
  <c r="T21" i="13"/>
  <c r="T25" i="13"/>
  <c r="Z43" i="13"/>
  <c r="Z47" i="13"/>
  <c r="V14" i="13"/>
  <c r="W6" i="13" s="1"/>
  <c r="T24" i="13"/>
  <c r="Z45" i="13"/>
  <c r="AC23" i="15"/>
  <c r="AC25" i="14"/>
  <c r="AC26" i="14"/>
  <c r="U21" i="13"/>
  <c r="U23" i="13"/>
  <c r="P19" i="13"/>
  <c r="V22" i="13"/>
  <c r="V24" i="13"/>
  <c r="Q25" i="13"/>
  <c r="V25" i="13" s="1"/>
  <c r="R19" i="13"/>
  <c r="Q20" i="13"/>
  <c r="S20" i="13"/>
  <c r="Q21" i="13"/>
  <c r="R25" i="13"/>
  <c r="U19" i="13"/>
  <c r="R21" i="13"/>
  <c r="U20" i="13"/>
  <c r="S21" i="13"/>
  <c r="R23" i="13"/>
  <c r="S22" i="13"/>
  <c r="S23" i="13"/>
  <c r="U25" i="13"/>
  <c r="W7" i="13" l="1"/>
  <c r="W10" i="13"/>
  <c r="W13" i="13"/>
  <c r="W5" i="13"/>
  <c r="W9" i="13"/>
  <c r="W8" i="13"/>
  <c r="W11" i="13"/>
  <c r="Z53" i="13"/>
  <c r="W12" i="13"/>
  <c r="W4" i="13"/>
  <c r="AC26" i="15"/>
  <c r="AC25" i="15"/>
  <c r="AE21" i="14"/>
  <c r="AD21" i="14"/>
  <c r="AA11" i="14"/>
  <c r="AC21" i="14"/>
  <c r="AE20" i="14"/>
  <c r="AB21" i="14"/>
  <c r="AD20" i="14"/>
  <c r="AA20" i="14"/>
  <c r="AA21" i="14"/>
  <c r="AC20" i="14"/>
  <c r="AB20" i="14"/>
  <c r="X14" i="13"/>
  <c r="V21" i="13"/>
  <c r="V19" i="13"/>
  <c r="V23" i="13"/>
  <c r="V20" i="13"/>
  <c r="V26" i="13" l="1"/>
  <c r="AC21" i="15"/>
  <c r="AE20" i="15"/>
  <c r="AB21" i="15"/>
  <c r="AD20" i="15"/>
  <c r="AA21" i="15"/>
  <c r="AC20" i="15"/>
  <c r="AB20" i="15"/>
  <c r="AA20" i="15"/>
  <c r="AA11" i="15"/>
  <c r="AE21" i="15"/>
  <c r="AD21" i="15"/>
  <c r="X23" i="13"/>
  <c r="X19" i="13"/>
  <c r="X24" i="13"/>
  <c r="X22" i="13"/>
  <c r="X21" i="13"/>
  <c r="X25" i="13"/>
  <c r="X20" i="13"/>
  <c r="I30" i="13" l="1"/>
  <c r="F30" i="13"/>
  <c r="K30" i="13"/>
  <c r="L30" i="13"/>
  <c r="M30" i="13"/>
  <c r="N30" i="13"/>
  <c r="G30" i="13"/>
  <c r="O30" i="13"/>
  <c r="J30" i="13"/>
  <c r="T30" i="13"/>
  <c r="D30" i="13"/>
  <c r="P30" i="13"/>
  <c r="AC30" i="13" s="1"/>
  <c r="G44" i="13" s="1"/>
  <c r="G56" i="13" s="1"/>
  <c r="U30" i="13"/>
  <c r="S30" i="13"/>
  <c r="AD30" i="13" s="1"/>
  <c r="H44" i="13" s="1"/>
  <c r="H56" i="13" s="1"/>
  <c r="Q30" i="13"/>
  <c r="K34" i="13"/>
  <c r="N34" i="13"/>
  <c r="J34" i="13"/>
  <c r="I34" i="13"/>
  <c r="O34" i="13"/>
  <c r="L34" i="13"/>
  <c r="S34" i="13"/>
  <c r="AD34" i="13" s="1"/>
  <c r="H48" i="13" s="1"/>
  <c r="H60" i="13" s="1"/>
  <c r="F34" i="13"/>
  <c r="D34" i="13"/>
  <c r="R34" i="13"/>
  <c r="AC34" i="13" s="1"/>
  <c r="G48" i="13" s="1"/>
  <c r="G60" i="13" s="1"/>
  <c r="M34" i="13"/>
  <c r="E34" i="13"/>
  <c r="G34" i="13"/>
  <c r="T34" i="13"/>
  <c r="K31" i="13"/>
  <c r="F31" i="13"/>
  <c r="T31" i="13"/>
  <c r="G31" i="13"/>
  <c r="H31" i="13"/>
  <c r="P31" i="13"/>
  <c r="D31" i="13"/>
  <c r="J31" i="13"/>
  <c r="E31" i="13"/>
  <c r="L31" i="13"/>
  <c r="M31" i="13"/>
  <c r="O31" i="13"/>
  <c r="R31" i="13"/>
  <c r="U31" i="13"/>
  <c r="Q31" i="13"/>
  <c r="S31" i="13"/>
  <c r="I29" i="13"/>
  <c r="K29" i="13"/>
  <c r="T29" i="13"/>
  <c r="AD29" i="13" s="1"/>
  <c r="H43" i="13" s="1"/>
  <c r="H55" i="13" s="1"/>
  <c r="Q29" i="13"/>
  <c r="D29" i="13"/>
  <c r="G29" i="13"/>
  <c r="L29" i="13"/>
  <c r="E29" i="13"/>
  <c r="F29" i="13"/>
  <c r="H29" i="13"/>
  <c r="M29" i="13"/>
  <c r="J29" i="13"/>
  <c r="O29" i="13"/>
  <c r="R29" i="13"/>
  <c r="P29" i="13"/>
  <c r="AC29" i="13" s="1"/>
  <c r="G43" i="13" s="1"/>
  <c r="G55" i="13" s="1"/>
  <c r="U29" i="13"/>
  <c r="N35" i="13"/>
  <c r="S35" i="13"/>
  <c r="AD35" i="13" s="1"/>
  <c r="H49" i="13" s="1"/>
  <c r="H61" i="13" s="1"/>
  <c r="O35" i="13"/>
  <c r="F35" i="13"/>
  <c r="D35" i="13"/>
  <c r="T35" i="13"/>
  <c r="E35" i="13"/>
  <c r="I35" i="13"/>
  <c r="J35" i="13"/>
  <c r="M35" i="13"/>
  <c r="R35" i="13"/>
  <c r="Q35" i="13"/>
  <c r="U35" i="13"/>
  <c r="J32" i="13"/>
  <c r="I32" i="13"/>
  <c r="P32" i="13"/>
  <c r="L32" i="13"/>
  <c r="U32" i="13"/>
  <c r="G32" i="13"/>
  <c r="D32" i="13"/>
  <c r="E32" i="13"/>
  <c r="M32" i="13"/>
  <c r="O32" i="13"/>
  <c r="F32" i="13"/>
  <c r="H32" i="13"/>
  <c r="Q32" i="13"/>
  <c r="S32" i="13"/>
  <c r="AD32" i="13" s="1"/>
  <c r="H46" i="13" s="1"/>
  <c r="H58" i="13" s="1"/>
  <c r="M33" i="13"/>
  <c r="O33" i="13"/>
  <c r="D33" i="13"/>
  <c r="G33" i="13"/>
  <c r="L33" i="13"/>
  <c r="K33" i="13"/>
  <c r="H33" i="13"/>
  <c r="I33" i="13"/>
  <c r="J33" i="13"/>
  <c r="E33" i="13"/>
  <c r="F33" i="13"/>
  <c r="U33" i="13"/>
  <c r="S33" i="13"/>
  <c r="R33" i="13"/>
  <c r="AC33" i="13" s="1"/>
  <c r="G47" i="13" s="1"/>
  <c r="G59" i="13" s="1"/>
  <c r="D19" i="1"/>
  <c r="AF27" i="3"/>
  <c r="AE27" i="3"/>
  <c r="AD27" i="3"/>
  <c r="AC27" i="3"/>
  <c r="AB27" i="3"/>
  <c r="AE19" i="11"/>
  <c r="AD19" i="11"/>
  <c r="AC19" i="11"/>
  <c r="AB19" i="11"/>
  <c r="AA19" i="11"/>
  <c r="AE19" i="10"/>
  <c r="AD19" i="10"/>
  <c r="AC19" i="10"/>
  <c r="AB19" i="10"/>
  <c r="AA19" i="10"/>
  <c r="E30" i="1"/>
  <c r="H30" i="1"/>
  <c r="R30" i="1"/>
  <c r="I31" i="1"/>
  <c r="N31" i="1"/>
  <c r="K32" i="1"/>
  <c r="N32" i="1"/>
  <c r="R32" i="1"/>
  <c r="T32" i="1"/>
  <c r="N33" i="1"/>
  <c r="P33" i="1"/>
  <c r="Q33" i="1"/>
  <c r="T33" i="1"/>
  <c r="H34" i="1"/>
  <c r="P34" i="1"/>
  <c r="Q34" i="1"/>
  <c r="U34" i="1"/>
  <c r="G35" i="1"/>
  <c r="H35" i="1"/>
  <c r="K35" i="1"/>
  <c r="L35" i="1"/>
  <c r="P35" i="1"/>
  <c r="N29" i="1"/>
  <c r="S29" i="1"/>
  <c r="AB32" i="13" l="1"/>
  <c r="F46" i="13" s="1"/>
  <c r="F58" i="13" s="1"/>
  <c r="AA32" i="13"/>
  <c r="E46" i="13" s="1"/>
  <c r="E58" i="13" s="1"/>
  <c r="E70" i="13" s="1"/>
  <c r="AD33" i="13"/>
  <c r="H47" i="13" s="1"/>
  <c r="H59" i="13" s="1"/>
  <c r="H71" i="13" s="1"/>
  <c r="AB33" i="13"/>
  <c r="F47" i="13" s="1"/>
  <c r="F59" i="13" s="1"/>
  <c r="F84" i="13" s="1"/>
  <c r="H83" i="13"/>
  <c r="H70" i="13"/>
  <c r="AA33" i="13"/>
  <c r="E47" i="13" s="1"/>
  <c r="E59" i="13" s="1"/>
  <c r="AB35" i="13"/>
  <c r="F49" i="13" s="1"/>
  <c r="F61" i="13" s="1"/>
  <c r="H86" i="13"/>
  <c r="H73" i="13"/>
  <c r="AA29" i="13"/>
  <c r="E43" i="13" s="1"/>
  <c r="E55" i="13" s="1"/>
  <c r="AB31" i="13"/>
  <c r="F45" i="13" s="1"/>
  <c r="F57" i="13" s="1"/>
  <c r="F70" i="13"/>
  <c r="F83" i="13"/>
  <c r="H85" i="13"/>
  <c r="H72" i="13"/>
  <c r="H68" i="13"/>
  <c r="H81" i="13"/>
  <c r="G84" i="13"/>
  <c r="G71" i="13"/>
  <c r="AC32" i="13"/>
  <c r="G46" i="13" s="1"/>
  <c r="G58" i="13" s="1"/>
  <c r="AA35" i="13"/>
  <c r="E49" i="13" s="1"/>
  <c r="E61" i="13" s="1"/>
  <c r="AD31" i="13"/>
  <c r="H45" i="13" s="1"/>
  <c r="H57" i="13" s="1"/>
  <c r="AB34" i="13"/>
  <c r="F48" i="13" s="1"/>
  <c r="F60" i="13" s="1"/>
  <c r="E83" i="13"/>
  <c r="G67" i="13"/>
  <c r="G80" i="13"/>
  <c r="Z31" i="13"/>
  <c r="D45" i="13" s="1"/>
  <c r="V31" i="13"/>
  <c r="G68" i="13"/>
  <c r="G81" i="13"/>
  <c r="AB30" i="13"/>
  <c r="F44" i="13" s="1"/>
  <c r="F56" i="13" s="1"/>
  <c r="H80" i="13"/>
  <c r="H67" i="13"/>
  <c r="H84" i="13"/>
  <c r="AC31" i="13"/>
  <c r="G45" i="13" s="1"/>
  <c r="G57" i="13" s="1"/>
  <c r="AA34" i="13"/>
  <c r="E48" i="13" s="1"/>
  <c r="E60" i="13" s="1"/>
  <c r="Z30" i="13"/>
  <c r="D44" i="13" s="1"/>
  <c r="V30" i="13"/>
  <c r="AB29" i="13"/>
  <c r="F43" i="13" s="1"/>
  <c r="F55" i="13" s="1"/>
  <c r="Z33" i="13"/>
  <c r="D47" i="13" s="1"/>
  <c r="V33" i="13"/>
  <c r="Z35" i="13"/>
  <c r="D49" i="13" s="1"/>
  <c r="V35" i="13"/>
  <c r="Z29" i="13"/>
  <c r="D43" i="13" s="1"/>
  <c r="V29" i="13"/>
  <c r="AA31" i="13"/>
  <c r="E45" i="13" s="1"/>
  <c r="E57" i="13" s="1"/>
  <c r="Z34" i="13"/>
  <c r="D48" i="13" s="1"/>
  <c r="V34" i="13"/>
  <c r="Z32" i="13"/>
  <c r="D46" i="13" s="1"/>
  <c r="V32" i="13"/>
  <c r="AC35" i="13"/>
  <c r="G49" i="13" s="1"/>
  <c r="G61" i="13" s="1"/>
  <c r="G85" i="13"/>
  <c r="G72" i="13"/>
  <c r="AA30" i="13"/>
  <c r="E44" i="13" s="1"/>
  <c r="E56" i="13" s="1"/>
  <c r="X53" i="1"/>
  <c r="Z43" i="1" s="1"/>
  <c r="D20" i="1"/>
  <c r="F20" i="1"/>
  <c r="G20" i="1"/>
  <c r="I20" i="1"/>
  <c r="J20" i="1"/>
  <c r="K20" i="1"/>
  <c r="L20" i="1"/>
  <c r="M20" i="1"/>
  <c r="N20" i="1"/>
  <c r="O20" i="1"/>
  <c r="D21" i="1"/>
  <c r="E21" i="1"/>
  <c r="F21" i="1"/>
  <c r="G21" i="1"/>
  <c r="H21" i="1"/>
  <c r="J21" i="1"/>
  <c r="K21" i="1"/>
  <c r="L21" i="1"/>
  <c r="M21" i="1"/>
  <c r="O21" i="1"/>
  <c r="D22" i="1"/>
  <c r="E22" i="1"/>
  <c r="F22" i="1"/>
  <c r="G22" i="1"/>
  <c r="H22" i="1"/>
  <c r="I22" i="1"/>
  <c r="J22" i="1"/>
  <c r="L22" i="1"/>
  <c r="M22" i="1"/>
  <c r="O22" i="1"/>
  <c r="D23" i="1"/>
  <c r="E23" i="1"/>
  <c r="F23" i="1"/>
  <c r="G23" i="1"/>
  <c r="H23" i="1"/>
  <c r="I23" i="1"/>
  <c r="J23" i="1"/>
  <c r="K23" i="1"/>
  <c r="L23" i="1"/>
  <c r="M23" i="1"/>
  <c r="O23" i="1"/>
  <c r="D24" i="1"/>
  <c r="E24" i="1"/>
  <c r="F24" i="1"/>
  <c r="G24" i="1"/>
  <c r="I24" i="1"/>
  <c r="J24" i="1"/>
  <c r="K24" i="1"/>
  <c r="L24" i="1"/>
  <c r="M24" i="1"/>
  <c r="N24" i="1"/>
  <c r="O24" i="1"/>
  <c r="D25" i="1"/>
  <c r="E25" i="1"/>
  <c r="F25" i="1"/>
  <c r="I25" i="1"/>
  <c r="J25" i="1"/>
  <c r="M25" i="1"/>
  <c r="N25" i="1"/>
  <c r="O25" i="1"/>
  <c r="O19" i="1"/>
  <c r="M19" i="1"/>
  <c r="L19" i="1"/>
  <c r="K19" i="1"/>
  <c r="J19" i="1"/>
  <c r="I19" i="1"/>
  <c r="H19" i="1"/>
  <c r="G19" i="1"/>
  <c r="F19" i="1"/>
  <c r="E19" i="1"/>
  <c r="U17" i="1"/>
  <c r="U20" i="1" s="1"/>
  <c r="T17" i="1"/>
  <c r="T21" i="1" s="1"/>
  <c r="S17" i="1"/>
  <c r="S24" i="1" s="1"/>
  <c r="R17" i="1"/>
  <c r="R24" i="1" s="1"/>
  <c r="Q17" i="1"/>
  <c r="Q25" i="1" s="1"/>
  <c r="P17" i="1"/>
  <c r="P20" i="1" s="1"/>
  <c r="F71" i="13" l="1"/>
  <c r="T19" i="1"/>
  <c r="S21" i="1"/>
  <c r="T25" i="1"/>
  <c r="T24" i="1"/>
  <c r="V24" i="1" s="1"/>
  <c r="S23" i="1"/>
  <c r="E67" i="13"/>
  <c r="E80" i="13"/>
  <c r="E82" i="13"/>
  <c r="E69" i="13"/>
  <c r="W48" i="13"/>
  <c r="D60" i="13"/>
  <c r="W43" i="13"/>
  <c r="D55" i="13"/>
  <c r="F68" i="13"/>
  <c r="F81" i="13"/>
  <c r="F85" i="13"/>
  <c r="F72" i="13"/>
  <c r="F73" i="13"/>
  <c r="F86" i="13"/>
  <c r="F82" i="13"/>
  <c r="F69" i="13"/>
  <c r="E85" i="13"/>
  <c r="E72" i="13"/>
  <c r="H82" i="13"/>
  <c r="H69" i="13"/>
  <c r="E84" i="13"/>
  <c r="E71" i="13"/>
  <c r="F80" i="13"/>
  <c r="F67" i="13"/>
  <c r="E68" i="13"/>
  <c r="E81" i="13"/>
  <c r="W44" i="13"/>
  <c r="D56" i="13"/>
  <c r="D61" i="13"/>
  <c r="W49" i="13"/>
  <c r="W46" i="13"/>
  <c r="D58" i="13"/>
  <c r="G82" i="13"/>
  <c r="G69" i="13"/>
  <c r="E73" i="13"/>
  <c r="E86" i="13"/>
  <c r="G73" i="13"/>
  <c r="G86" i="13"/>
  <c r="D59" i="13"/>
  <c r="W47" i="13"/>
  <c r="W45" i="13"/>
  <c r="D57" i="13"/>
  <c r="G83" i="13"/>
  <c r="G70" i="13"/>
  <c r="P21" i="1"/>
  <c r="P22" i="1"/>
  <c r="T20" i="1"/>
  <c r="S20" i="1"/>
  <c r="U22" i="1"/>
  <c r="S25" i="1"/>
  <c r="S22" i="1"/>
  <c r="R21" i="1"/>
  <c r="Q20" i="1"/>
  <c r="V20" i="1" s="1"/>
  <c r="P19" i="1"/>
  <c r="R25" i="1"/>
  <c r="U23" i="1"/>
  <c r="Q22" i="1"/>
  <c r="V22" i="1" s="1"/>
  <c r="Q21" i="1"/>
  <c r="Q19" i="1"/>
  <c r="R23" i="1"/>
  <c r="U25" i="1"/>
  <c r="V25" i="1" s="1"/>
  <c r="R19" i="1"/>
  <c r="U19" i="1"/>
  <c r="U21" i="1"/>
  <c r="V23" i="1" l="1"/>
  <c r="V19" i="1"/>
  <c r="W53" i="13"/>
  <c r="D72" i="13"/>
  <c r="V72" i="13" s="1"/>
  <c r="X60" i="13"/>
  <c r="W60" i="13"/>
  <c r="D85" i="13"/>
  <c r="V85" i="13" s="1"/>
  <c r="D67" i="13"/>
  <c r="V67" i="13" s="1"/>
  <c r="X55" i="13"/>
  <c r="D80" i="13"/>
  <c r="V80" i="13" s="1"/>
  <c r="W55" i="13"/>
  <c r="D68" i="13"/>
  <c r="V68" i="13" s="1"/>
  <c r="W56" i="13"/>
  <c r="D81" i="13"/>
  <c r="V81" i="13" s="1"/>
  <c r="X56" i="13"/>
  <c r="W58" i="13"/>
  <c r="D70" i="13"/>
  <c r="V70" i="13" s="1"/>
  <c r="D83" i="13"/>
  <c r="V83" i="13" s="1"/>
  <c r="X58" i="13"/>
  <c r="X59" i="13"/>
  <c r="W59" i="13"/>
  <c r="D84" i="13"/>
  <c r="V84" i="13" s="1"/>
  <c r="D71" i="13"/>
  <c r="V71" i="13" s="1"/>
  <c r="X61" i="13"/>
  <c r="D73" i="13"/>
  <c r="V73" i="13" s="1"/>
  <c r="W61" i="13"/>
  <c r="D86" i="13"/>
  <c r="V86" i="13" s="1"/>
  <c r="X57" i="13"/>
  <c r="D82" i="13"/>
  <c r="V82" i="13" s="1"/>
  <c r="D69" i="13"/>
  <c r="V69" i="13" s="1"/>
  <c r="W57" i="13"/>
  <c r="V21" i="1"/>
  <c r="V26" i="1" s="1"/>
  <c r="AC24" i="11"/>
  <c r="AC23" i="11"/>
  <c r="Y71" i="13" l="1"/>
  <c r="Y70" i="13"/>
  <c r="Y73" i="13"/>
  <c r="Y67" i="13"/>
  <c r="V77" i="13"/>
  <c r="Y85" i="13"/>
  <c r="V90" i="13"/>
  <c r="Y80" i="13"/>
  <c r="Y81" i="13"/>
  <c r="Y82" i="13"/>
  <c r="Y83" i="13"/>
  <c r="Y69" i="13"/>
  <c r="Y84" i="13"/>
  <c r="Y68" i="13"/>
  <c r="Y72" i="13"/>
  <c r="Y86" i="13"/>
  <c r="Z86" i="13" s="1"/>
  <c r="X25" i="1"/>
  <c r="O35" i="1" s="1"/>
  <c r="X19" i="1"/>
  <c r="P29" i="1" s="1"/>
  <c r="X23" i="1"/>
  <c r="X21" i="1"/>
  <c r="X24" i="1"/>
  <c r="N34" i="1" s="1"/>
  <c r="X22" i="1"/>
  <c r="S32" i="1" s="1"/>
  <c r="X20" i="1"/>
  <c r="AC26" i="11"/>
  <c r="S35" i="1"/>
  <c r="M30" i="1"/>
  <c r="L34" i="1"/>
  <c r="U30" i="1"/>
  <c r="D29" i="1"/>
  <c r="Z29" i="1" s="1"/>
  <c r="H29" i="1"/>
  <c r="J29" i="1"/>
  <c r="L29" i="1"/>
  <c r="G29" i="1"/>
  <c r="F29" i="1"/>
  <c r="M29" i="1"/>
  <c r="U29" i="1"/>
  <c r="T29" i="1"/>
  <c r="R29" i="1"/>
  <c r="I29" i="1"/>
  <c r="E29" i="1"/>
  <c r="Q29" i="1"/>
  <c r="K29" i="1"/>
  <c r="O29" i="1"/>
  <c r="AC25" i="11"/>
  <c r="AB21" i="11" s="1"/>
  <c r="V29" i="1"/>
  <c r="Z72" i="13" l="1"/>
  <c r="Z68" i="13"/>
  <c r="Z81" i="13"/>
  <c r="O34" i="1"/>
  <c r="Q35" i="1"/>
  <c r="Z83" i="13"/>
  <c r="Z71" i="13"/>
  <c r="Z80" i="13"/>
  <c r="Z85" i="13"/>
  <c r="Z84" i="13"/>
  <c r="Z69" i="13"/>
  <c r="Z67" i="13"/>
  <c r="Z73" i="13"/>
  <c r="Z82" i="13"/>
  <c r="Z70" i="13"/>
  <c r="P30" i="1"/>
  <c r="S30" i="1"/>
  <c r="T30" i="1"/>
  <c r="F30" i="1"/>
  <c r="M34" i="1"/>
  <c r="J34" i="1"/>
  <c r="I34" i="1"/>
  <c r="F34" i="1"/>
  <c r="G34" i="1"/>
  <c r="E34" i="1"/>
  <c r="R34" i="1"/>
  <c r="K34" i="1"/>
  <c r="T34" i="1"/>
  <c r="D34" i="1"/>
  <c r="K30" i="1"/>
  <c r="O30" i="1"/>
  <c r="I30" i="1"/>
  <c r="S34" i="1"/>
  <c r="H31" i="1"/>
  <c r="K31" i="1"/>
  <c r="Q31" i="1"/>
  <c r="S31" i="1"/>
  <c r="E31" i="1"/>
  <c r="O31" i="1"/>
  <c r="U31" i="1"/>
  <c r="L31" i="1"/>
  <c r="F31" i="1"/>
  <c r="M31" i="1"/>
  <c r="J31" i="1"/>
  <c r="T31" i="1"/>
  <c r="R31" i="1"/>
  <c r="P31" i="1"/>
  <c r="G31" i="1"/>
  <c r="D31" i="1"/>
  <c r="L32" i="1"/>
  <c r="G32" i="1"/>
  <c r="D32" i="1"/>
  <c r="I32" i="1"/>
  <c r="M32" i="1"/>
  <c r="Q32" i="1"/>
  <c r="U32" i="1"/>
  <c r="J32" i="1"/>
  <c r="H32" i="1"/>
  <c r="J30" i="1"/>
  <c r="N30" i="1"/>
  <c r="J33" i="1"/>
  <c r="D33" i="1"/>
  <c r="U33" i="1"/>
  <c r="H33" i="1"/>
  <c r="G33" i="1"/>
  <c r="K33" i="1"/>
  <c r="I33" i="1"/>
  <c r="O33" i="1"/>
  <c r="F33" i="1"/>
  <c r="S33" i="1"/>
  <c r="L33" i="1"/>
  <c r="E33" i="1"/>
  <c r="M33" i="1"/>
  <c r="R33" i="1"/>
  <c r="P32" i="1"/>
  <c r="G30" i="1"/>
  <c r="D30" i="1"/>
  <c r="F32" i="1"/>
  <c r="E32" i="1"/>
  <c r="Q30" i="1"/>
  <c r="O32" i="1"/>
  <c r="L30" i="1"/>
  <c r="M35" i="1"/>
  <c r="E35" i="1"/>
  <c r="J35" i="1"/>
  <c r="N35" i="1"/>
  <c r="T35" i="1"/>
  <c r="F35" i="1"/>
  <c r="D35" i="1"/>
  <c r="I35" i="1"/>
  <c r="U35" i="1"/>
  <c r="R35" i="1"/>
  <c r="D43" i="1"/>
  <c r="AA11" i="11"/>
  <c r="AA21" i="11"/>
  <c r="AB20" i="11"/>
  <c r="AA20" i="11"/>
  <c r="AD21" i="11"/>
  <c r="AE21" i="11"/>
  <c r="AC21" i="11"/>
  <c r="AE20" i="11"/>
  <c r="AC20" i="11"/>
  <c r="AD20" i="11"/>
  <c r="AC24" i="10"/>
  <c r="AC23" i="10"/>
  <c r="AC26" i="10" s="1"/>
  <c r="D55" i="1" l="1"/>
  <c r="AC25" i="10"/>
  <c r="AE21" i="10" s="1"/>
  <c r="AD32" i="1"/>
  <c r="AC32" i="1"/>
  <c r="AA29" i="1"/>
  <c r="E43" i="1" s="1"/>
  <c r="AD29" i="1"/>
  <c r="V30" i="1"/>
  <c r="AD30" i="1"/>
  <c r="H44" i="1" s="1"/>
  <c r="V31" i="1"/>
  <c r="AD31" i="1"/>
  <c r="V32" i="1"/>
  <c r="AD33" i="1"/>
  <c r="H47" i="1" s="1"/>
  <c r="AC34" i="1"/>
  <c r="AD34" i="1"/>
  <c r="V35" i="1"/>
  <c r="AD35" i="1"/>
  <c r="AC36" i="1"/>
  <c r="AD36" i="1"/>
  <c r="AD37" i="1"/>
  <c r="AC38" i="1"/>
  <c r="AD38" i="1"/>
  <c r="AC37" i="1"/>
  <c r="AC35" i="1"/>
  <c r="AC33" i="1"/>
  <c r="V33" i="1"/>
  <c r="AC31" i="1"/>
  <c r="AC29" i="1"/>
  <c r="AB29" i="1"/>
  <c r="AC30" i="1"/>
  <c r="V34" i="1"/>
  <c r="D67" i="1" l="1"/>
  <c r="B4" i="15"/>
  <c r="B4" i="14"/>
  <c r="D3" i="16"/>
  <c r="AD20" i="10"/>
  <c r="AA20" i="10"/>
  <c r="AB20" i="10"/>
  <c r="E55" i="1"/>
  <c r="AE20" i="10"/>
  <c r="AD21" i="10"/>
  <c r="AB21" i="10"/>
  <c r="AC21" i="10"/>
  <c r="AC20" i="10"/>
  <c r="AA21" i="10"/>
  <c r="AA11" i="10"/>
  <c r="E3" i="16" l="1"/>
  <c r="C4" i="15"/>
  <c r="C4" i="14"/>
  <c r="E3" i="3"/>
  <c r="C4" i="11"/>
  <c r="C4" i="10"/>
  <c r="B4" i="11"/>
  <c r="B4" i="10"/>
  <c r="D3" i="3"/>
  <c r="D80" i="1"/>
  <c r="AE41" i="10" l="1"/>
  <c r="AE40" i="10"/>
  <c r="AE42" i="10"/>
  <c r="Z31" i="1"/>
  <c r="D45" i="1" s="1"/>
  <c r="K67" i="1"/>
  <c r="M72" i="1"/>
  <c r="G44" i="1"/>
  <c r="G45" i="1"/>
  <c r="G46" i="1"/>
  <c r="G47" i="1"/>
  <c r="G48" i="1"/>
  <c r="G49" i="1"/>
  <c r="G43" i="1"/>
  <c r="F43" i="1"/>
  <c r="Z30" i="1" l="1"/>
  <c r="D44" i="1" s="1"/>
  <c r="AA30" i="1"/>
  <c r="E44" i="1" s="1"/>
  <c r="AB30" i="1"/>
  <c r="F44" i="1" s="1"/>
  <c r="AA31" i="1"/>
  <c r="E45" i="1" s="1"/>
  <c r="AB31" i="1"/>
  <c r="F45" i="1" s="1"/>
  <c r="Z32" i="1"/>
  <c r="D46" i="1" s="1"/>
  <c r="AA32" i="1"/>
  <c r="E46" i="1" s="1"/>
  <c r="AB32" i="1"/>
  <c r="F46" i="1" s="1"/>
  <c r="Z33" i="1"/>
  <c r="D47" i="1" s="1"/>
  <c r="AA33" i="1"/>
  <c r="E47" i="1" s="1"/>
  <c r="AB33" i="1"/>
  <c r="F47" i="1" s="1"/>
  <c r="Z34" i="1"/>
  <c r="D48" i="1" s="1"/>
  <c r="AA34" i="1"/>
  <c r="E48" i="1" s="1"/>
  <c r="AB34" i="1"/>
  <c r="F48" i="1" s="1"/>
  <c r="Z35" i="1"/>
  <c r="D49" i="1" s="1"/>
  <c r="AA35" i="1"/>
  <c r="E49" i="1" s="1"/>
  <c r="AB35" i="1"/>
  <c r="F49" i="1" s="1"/>
  <c r="Z36" i="1"/>
  <c r="AA36" i="1"/>
  <c r="AB36" i="1"/>
  <c r="Z37" i="1"/>
  <c r="AA37" i="1"/>
  <c r="AB37" i="1"/>
  <c r="Z38" i="1"/>
  <c r="AA38" i="1"/>
  <c r="AB38" i="1"/>
  <c r="U136" i="1" l="1"/>
  <c r="T136" i="1"/>
  <c r="S136" i="1"/>
  <c r="R136" i="1"/>
  <c r="Q136" i="1"/>
  <c r="P136" i="1"/>
  <c r="L119" i="1"/>
  <c r="K119" i="1"/>
  <c r="J119" i="1"/>
  <c r="L118" i="1"/>
  <c r="K118" i="1"/>
  <c r="J118" i="1"/>
  <c r="M117" i="1"/>
  <c r="L117" i="1"/>
  <c r="K117" i="1"/>
  <c r="J117" i="1"/>
  <c r="M116" i="1"/>
  <c r="L116" i="1"/>
  <c r="K116" i="1"/>
  <c r="J116" i="1"/>
  <c r="M115" i="1"/>
  <c r="L115" i="1"/>
  <c r="K115" i="1"/>
  <c r="J115" i="1"/>
  <c r="N114" i="1"/>
  <c r="M114" i="1"/>
  <c r="L114" i="1"/>
  <c r="K114" i="1"/>
  <c r="J114" i="1"/>
  <c r="Z49" i="1"/>
  <c r="G61" i="1" s="1"/>
  <c r="Z48" i="1"/>
  <c r="G60" i="1" s="1"/>
  <c r="Z47" i="1"/>
  <c r="G59" i="1" s="1"/>
  <c r="Z46" i="1"/>
  <c r="F58" i="1" s="1"/>
  <c r="Z45" i="1"/>
  <c r="G57" i="1" s="1"/>
  <c r="Z44" i="1"/>
  <c r="F56" i="1" s="1"/>
  <c r="E9" i="14" l="1"/>
  <c r="G8" i="16"/>
  <c r="E9" i="15"/>
  <c r="G9" i="16"/>
  <c r="E10" i="15"/>
  <c r="E10" i="14"/>
  <c r="G7" i="16"/>
  <c r="E8" i="15"/>
  <c r="E8" i="14"/>
  <c r="F4" i="16"/>
  <c r="D5" i="15"/>
  <c r="D5" i="14"/>
  <c r="G5" i="16"/>
  <c r="E6" i="15"/>
  <c r="E6" i="14"/>
  <c r="F6" i="16"/>
  <c r="D7" i="15"/>
  <c r="D7" i="14"/>
  <c r="E8" i="11"/>
  <c r="E8" i="10"/>
  <c r="G7" i="3"/>
  <c r="D5" i="11"/>
  <c r="D5" i="10"/>
  <c r="F4" i="3"/>
  <c r="E10" i="11"/>
  <c r="E10" i="10"/>
  <c r="G9" i="3"/>
  <c r="G8" i="3"/>
  <c r="E9" i="11"/>
  <c r="E9" i="10"/>
  <c r="E6" i="11"/>
  <c r="E6" i="10"/>
  <c r="G5" i="3"/>
  <c r="D7" i="11"/>
  <c r="D7" i="10"/>
  <c r="F6" i="3"/>
  <c r="E56" i="1"/>
  <c r="D56" i="1"/>
  <c r="F83" i="1"/>
  <c r="F70" i="1"/>
  <c r="D59" i="1"/>
  <c r="F60" i="1"/>
  <c r="E59" i="1"/>
  <c r="F59" i="1"/>
  <c r="D60" i="1"/>
  <c r="G56" i="1"/>
  <c r="E60" i="1"/>
  <c r="F61" i="1"/>
  <c r="F81" i="1"/>
  <c r="F68" i="1"/>
  <c r="G73" i="1"/>
  <c r="G86" i="1"/>
  <c r="G82" i="1"/>
  <c r="G69" i="1"/>
  <c r="G72" i="1"/>
  <c r="G85" i="1"/>
  <c r="G84" i="1"/>
  <c r="G71" i="1"/>
  <c r="D57" i="1"/>
  <c r="D61" i="1"/>
  <c r="G55" i="1"/>
  <c r="E57" i="1"/>
  <c r="E61" i="1"/>
  <c r="F55" i="1"/>
  <c r="G58" i="1"/>
  <c r="D58" i="1"/>
  <c r="E58" i="1"/>
  <c r="F57" i="1"/>
  <c r="Z53" i="1"/>
  <c r="V10" i="1"/>
  <c r="V9" i="1"/>
  <c r="V11" i="1"/>
  <c r="N67" i="1"/>
  <c r="O67" i="1"/>
  <c r="S67" i="1"/>
  <c r="I68" i="1"/>
  <c r="M68" i="1"/>
  <c r="Q68" i="1"/>
  <c r="U68" i="1"/>
  <c r="K69" i="1"/>
  <c r="O69" i="1"/>
  <c r="S69" i="1"/>
  <c r="I70" i="1"/>
  <c r="M70" i="1"/>
  <c r="Q70" i="1"/>
  <c r="U70" i="1"/>
  <c r="K71" i="1"/>
  <c r="O71" i="1"/>
  <c r="S71" i="1"/>
  <c r="I72" i="1"/>
  <c r="Q72" i="1"/>
  <c r="U72" i="1"/>
  <c r="K73" i="1"/>
  <c r="O73" i="1"/>
  <c r="S73" i="1"/>
  <c r="H43" i="1"/>
  <c r="L67" i="1"/>
  <c r="T67" i="1"/>
  <c r="J68" i="1"/>
  <c r="N68" i="1"/>
  <c r="R68" i="1"/>
  <c r="L69" i="1"/>
  <c r="P69" i="1"/>
  <c r="T69" i="1"/>
  <c r="J70" i="1"/>
  <c r="N70" i="1"/>
  <c r="R70" i="1"/>
  <c r="L71" i="1"/>
  <c r="P71" i="1"/>
  <c r="T71" i="1"/>
  <c r="J72" i="1"/>
  <c r="N72" i="1"/>
  <c r="R72" i="1"/>
  <c r="L73" i="1"/>
  <c r="P73" i="1"/>
  <c r="T73" i="1"/>
  <c r="J67" i="1"/>
  <c r="P67" i="1"/>
  <c r="I67" i="1"/>
  <c r="M67" i="1"/>
  <c r="Q67" i="1"/>
  <c r="U67" i="1"/>
  <c r="K68" i="1"/>
  <c r="O68" i="1"/>
  <c r="S68" i="1"/>
  <c r="I69" i="1"/>
  <c r="M69" i="1"/>
  <c r="Q69" i="1"/>
  <c r="U69" i="1"/>
  <c r="K70" i="1"/>
  <c r="O70" i="1"/>
  <c r="S70" i="1"/>
  <c r="I71" i="1"/>
  <c r="M71" i="1"/>
  <c r="Q71" i="1"/>
  <c r="U71" i="1"/>
  <c r="K72" i="1"/>
  <c r="O72" i="1"/>
  <c r="S72" i="1"/>
  <c r="I73" i="1"/>
  <c r="M73" i="1"/>
  <c r="Q73" i="1"/>
  <c r="U73" i="1"/>
  <c r="R67" i="1"/>
  <c r="L68" i="1"/>
  <c r="P68" i="1"/>
  <c r="T68" i="1"/>
  <c r="J69" i="1"/>
  <c r="N69" i="1"/>
  <c r="R69" i="1"/>
  <c r="L70" i="1"/>
  <c r="P70" i="1"/>
  <c r="T70" i="1"/>
  <c r="J71" i="1"/>
  <c r="N71" i="1"/>
  <c r="R71" i="1"/>
  <c r="L72" i="1"/>
  <c r="P72" i="1"/>
  <c r="T72" i="1"/>
  <c r="J73" i="1"/>
  <c r="N73" i="1"/>
  <c r="R73" i="1"/>
  <c r="V6" i="1"/>
  <c r="V8" i="1"/>
  <c r="V12" i="1"/>
  <c r="D6" i="14" l="1"/>
  <c r="F5" i="16"/>
  <c r="D6" i="15"/>
  <c r="D8" i="14"/>
  <c r="F7" i="16"/>
  <c r="D8" i="15"/>
  <c r="C7" i="14"/>
  <c r="E6" i="16"/>
  <c r="C7" i="15"/>
  <c r="E9" i="16"/>
  <c r="C10" i="15"/>
  <c r="C10" i="14"/>
  <c r="B6" i="14"/>
  <c r="D5" i="16"/>
  <c r="B6" i="15"/>
  <c r="C9" i="14"/>
  <c r="E8" i="16"/>
  <c r="C9" i="15"/>
  <c r="E7" i="16"/>
  <c r="C8" i="15"/>
  <c r="C8" i="14"/>
  <c r="D6" i="16"/>
  <c r="B7" i="15"/>
  <c r="B7" i="14"/>
  <c r="E5" i="16"/>
  <c r="C6" i="15"/>
  <c r="C6" i="14"/>
  <c r="E5" i="15"/>
  <c r="E5" i="14"/>
  <c r="G4" i="16"/>
  <c r="G18" i="16" s="1"/>
  <c r="G29" i="16" s="1"/>
  <c r="F8" i="16"/>
  <c r="D9" i="15"/>
  <c r="D9" i="14"/>
  <c r="D4" i="16"/>
  <c r="B5" i="15"/>
  <c r="B5" i="14"/>
  <c r="D4" i="14"/>
  <c r="F3" i="16"/>
  <c r="D4" i="15"/>
  <c r="B10" i="14"/>
  <c r="D9" i="16"/>
  <c r="B10" i="15"/>
  <c r="D10" i="14"/>
  <c r="F9" i="16"/>
  <c r="F22" i="16" s="1"/>
  <c r="F33" i="16" s="1"/>
  <c r="D10" i="15"/>
  <c r="E7" i="14"/>
  <c r="G6" i="16"/>
  <c r="G19" i="16" s="1"/>
  <c r="G30" i="16" s="1"/>
  <c r="E7" i="15"/>
  <c r="G3" i="16"/>
  <c r="E4" i="15"/>
  <c r="E4" i="14"/>
  <c r="D8" i="16"/>
  <c r="B9" i="15"/>
  <c r="B9" i="14"/>
  <c r="B8" i="14"/>
  <c r="D7" i="16"/>
  <c r="B8" i="15"/>
  <c r="C5" i="14"/>
  <c r="E4" i="16"/>
  <c r="C5" i="15"/>
  <c r="E4" i="11"/>
  <c r="E4" i="10"/>
  <c r="G3" i="3"/>
  <c r="D7" i="3"/>
  <c r="B8" i="11"/>
  <c r="B8" i="10"/>
  <c r="D4" i="11"/>
  <c r="D4" i="10"/>
  <c r="F3" i="3"/>
  <c r="F7" i="3"/>
  <c r="D8" i="11"/>
  <c r="D8" i="10"/>
  <c r="E6" i="3"/>
  <c r="C7" i="11"/>
  <c r="C7" i="10"/>
  <c r="C10" i="11"/>
  <c r="C10" i="10"/>
  <c r="E9" i="3"/>
  <c r="D5" i="3"/>
  <c r="B6" i="11"/>
  <c r="B6" i="10"/>
  <c r="E8" i="3"/>
  <c r="C9" i="11"/>
  <c r="C9" i="10"/>
  <c r="C8" i="11"/>
  <c r="C8" i="10"/>
  <c r="E7" i="3"/>
  <c r="G6" i="3"/>
  <c r="E7" i="11"/>
  <c r="E7" i="10"/>
  <c r="B9" i="11"/>
  <c r="B9" i="10"/>
  <c r="D8" i="3"/>
  <c r="E68" i="1"/>
  <c r="E4" i="3"/>
  <c r="C5" i="11"/>
  <c r="C5" i="10"/>
  <c r="F5" i="3"/>
  <c r="D6" i="11"/>
  <c r="D6" i="10"/>
  <c r="D9" i="3"/>
  <c r="B10" i="11"/>
  <c r="B10" i="10"/>
  <c r="F9" i="3"/>
  <c r="D10" i="11"/>
  <c r="D10" i="10"/>
  <c r="B7" i="11"/>
  <c r="B7" i="10"/>
  <c r="D6" i="3"/>
  <c r="C6" i="11"/>
  <c r="C6" i="10"/>
  <c r="E5" i="3"/>
  <c r="G68" i="1"/>
  <c r="G4" i="3"/>
  <c r="E5" i="11"/>
  <c r="E5" i="10"/>
  <c r="D9" i="11"/>
  <c r="D9" i="10"/>
  <c r="F8" i="3"/>
  <c r="D68" i="1"/>
  <c r="B5" i="11"/>
  <c r="B5" i="10"/>
  <c r="D4" i="3"/>
  <c r="D81" i="1"/>
  <c r="V5" i="1"/>
  <c r="W43" i="1"/>
  <c r="V4" i="1"/>
  <c r="G81" i="1"/>
  <c r="E81" i="1"/>
  <c r="F71" i="1"/>
  <c r="F84" i="1"/>
  <c r="D85" i="1"/>
  <c r="D72" i="1"/>
  <c r="E71" i="1"/>
  <c r="E84" i="1"/>
  <c r="F69" i="1"/>
  <c r="F82" i="1"/>
  <c r="D70" i="1"/>
  <c r="D83" i="1"/>
  <c r="E73" i="1"/>
  <c r="E86" i="1"/>
  <c r="D86" i="1"/>
  <c r="D73" i="1"/>
  <c r="F73" i="1"/>
  <c r="F86" i="1"/>
  <c r="F85" i="1"/>
  <c r="F72" i="1"/>
  <c r="E83" i="1"/>
  <c r="E70" i="1"/>
  <c r="E82" i="1"/>
  <c r="E69" i="1"/>
  <c r="E85" i="1"/>
  <c r="E72" i="1"/>
  <c r="D84" i="1"/>
  <c r="D71" i="1"/>
  <c r="G70" i="1"/>
  <c r="G83" i="1"/>
  <c r="H56" i="1"/>
  <c r="H45" i="1"/>
  <c r="H59" i="1"/>
  <c r="E80" i="1"/>
  <c r="E67" i="1"/>
  <c r="F80" i="1"/>
  <c r="F67" i="1"/>
  <c r="G80" i="1"/>
  <c r="G67" i="1"/>
  <c r="D82" i="1"/>
  <c r="D69" i="1"/>
  <c r="H55" i="1"/>
  <c r="V13" i="1"/>
  <c r="V7" i="1"/>
  <c r="W44" i="1"/>
  <c r="W47" i="1"/>
  <c r="H4" i="16" l="1"/>
  <c r="F5" i="15"/>
  <c r="F5" i="14"/>
  <c r="G21" i="16"/>
  <c r="G32" i="16" s="1"/>
  <c r="D19" i="16"/>
  <c r="D30" i="16" s="1"/>
  <c r="E21" i="16"/>
  <c r="E32" i="16" s="1"/>
  <c r="E20" i="16"/>
  <c r="E31" i="16" s="1"/>
  <c r="F17" i="16"/>
  <c r="F28" i="16" s="1"/>
  <c r="E18" i="16"/>
  <c r="E29" i="16" s="1"/>
  <c r="G20" i="16"/>
  <c r="G31" i="16" s="1"/>
  <c r="G40" i="16" s="1"/>
  <c r="E22" i="16"/>
  <c r="E33" i="16" s="1"/>
  <c r="F19" i="16"/>
  <c r="F30" i="16" s="1"/>
  <c r="E17" i="16"/>
  <c r="E28" i="16" s="1"/>
  <c r="E16" i="16"/>
  <c r="E27" i="16" s="1"/>
  <c r="E40" i="16" s="1"/>
  <c r="D18" i="16"/>
  <c r="D29" i="16" s="1"/>
  <c r="D17" i="16"/>
  <c r="D28" i="16" s="1"/>
  <c r="D16" i="16"/>
  <c r="D27" i="16" s="1"/>
  <c r="F4" i="15"/>
  <c r="F4" i="14"/>
  <c r="H3" i="16"/>
  <c r="F8" i="15"/>
  <c r="F8" i="14"/>
  <c r="H7" i="16"/>
  <c r="G16" i="16"/>
  <c r="G27" i="16" s="1"/>
  <c r="G22" i="16"/>
  <c r="G33" i="16" s="1"/>
  <c r="F16" i="16"/>
  <c r="F27" i="16" s="1"/>
  <c r="F18" i="16"/>
  <c r="F29" i="16" s="1"/>
  <c r="G17" i="16"/>
  <c r="G28" i="16" s="1"/>
  <c r="D21" i="16"/>
  <c r="D32" i="16" s="1"/>
  <c r="D20" i="16"/>
  <c r="D31" i="16" s="1"/>
  <c r="D22" i="16"/>
  <c r="D33" i="16" s="1"/>
  <c r="F21" i="16"/>
  <c r="F32" i="16" s="1"/>
  <c r="E19" i="16"/>
  <c r="E30" i="16" s="1"/>
  <c r="F20" i="16"/>
  <c r="F31" i="16" s="1"/>
  <c r="D16" i="3"/>
  <c r="D27" i="3" s="1"/>
  <c r="F21" i="3"/>
  <c r="F32" i="3" s="1"/>
  <c r="E19" i="3"/>
  <c r="E30" i="3" s="1"/>
  <c r="G19" i="3"/>
  <c r="G30" i="3" s="1"/>
  <c r="D21" i="3"/>
  <c r="D32" i="3" s="1"/>
  <c r="G22" i="3"/>
  <c r="G33" i="3" s="1"/>
  <c r="G17" i="3"/>
  <c r="G28" i="3" s="1"/>
  <c r="F22" i="3"/>
  <c r="F33" i="3" s="1"/>
  <c r="E17" i="3"/>
  <c r="E28" i="3" s="1"/>
  <c r="E16" i="3"/>
  <c r="F16" i="3"/>
  <c r="F27" i="3" s="1"/>
  <c r="F17" i="3"/>
  <c r="F28" i="3" s="1"/>
  <c r="D17" i="3"/>
  <c r="D28" i="3" s="1"/>
  <c r="E18" i="3"/>
  <c r="E29" i="3" s="1"/>
  <c r="E20" i="3"/>
  <c r="E31" i="3" s="1"/>
  <c r="E21" i="3"/>
  <c r="E32" i="3" s="1"/>
  <c r="E22" i="3"/>
  <c r="E33" i="3" s="1"/>
  <c r="F20" i="3"/>
  <c r="F31" i="3" s="1"/>
  <c r="G16" i="3"/>
  <c r="G27" i="3" s="1"/>
  <c r="G21" i="3"/>
  <c r="G32" i="3" s="1"/>
  <c r="G20" i="3"/>
  <c r="G31" i="3" s="1"/>
  <c r="D19" i="3"/>
  <c r="D30" i="3" s="1"/>
  <c r="D22" i="3"/>
  <c r="D33" i="3" s="1"/>
  <c r="F18" i="3"/>
  <c r="F29" i="3" s="1"/>
  <c r="D18" i="3"/>
  <c r="D29" i="3" s="1"/>
  <c r="D20" i="3"/>
  <c r="D31" i="3" s="1"/>
  <c r="F19" i="3"/>
  <c r="F30" i="3" s="1"/>
  <c r="G18" i="3"/>
  <c r="G29" i="3" s="1"/>
  <c r="X59" i="1"/>
  <c r="H7" i="3"/>
  <c r="F8" i="11"/>
  <c r="F8" i="10"/>
  <c r="F5" i="11"/>
  <c r="F5" i="10"/>
  <c r="H4" i="3"/>
  <c r="X55" i="1"/>
  <c r="H3" i="3"/>
  <c r="F4" i="10"/>
  <c r="F4" i="11"/>
  <c r="E27" i="3"/>
  <c r="H57" i="1"/>
  <c r="V14" i="1"/>
  <c r="W6" i="1" s="1"/>
  <c r="W55" i="1"/>
  <c r="W45" i="1"/>
  <c r="H81" i="1"/>
  <c r="V81" i="1" s="1"/>
  <c r="H68" i="1"/>
  <c r="V68" i="1" s="1"/>
  <c r="X56" i="1"/>
  <c r="W56" i="1"/>
  <c r="H49" i="1"/>
  <c r="H46" i="1"/>
  <c r="H48" i="1"/>
  <c r="H84" i="1"/>
  <c r="V84" i="1" s="1"/>
  <c r="H71" i="1"/>
  <c r="V71" i="1" s="1"/>
  <c r="W59" i="1"/>
  <c r="H80" i="1"/>
  <c r="V80" i="1" s="1"/>
  <c r="H67" i="1"/>
  <c r="V67" i="1" s="1"/>
  <c r="H82" i="1" l="1"/>
  <c r="V82" i="1" s="1"/>
  <c r="F6" i="14"/>
  <c r="H5" i="16"/>
  <c r="F6" i="15"/>
  <c r="F40" i="16"/>
  <c r="F39" i="16"/>
  <c r="D40" i="16"/>
  <c r="D39" i="16"/>
  <c r="E39" i="16"/>
  <c r="G39" i="16"/>
  <c r="D39" i="3"/>
  <c r="D40" i="3"/>
  <c r="E40" i="3"/>
  <c r="E39" i="3"/>
  <c r="G39" i="3"/>
  <c r="G40" i="3"/>
  <c r="F39" i="3"/>
  <c r="F40" i="3"/>
  <c r="H69" i="1"/>
  <c r="V69" i="1" s="1"/>
  <c r="H5" i="3"/>
  <c r="F6" i="11"/>
  <c r="F6" i="10"/>
  <c r="W9" i="1"/>
  <c r="W12" i="1"/>
  <c r="W10" i="1"/>
  <c r="W13" i="1"/>
  <c r="W11" i="1"/>
  <c r="W5" i="1"/>
  <c r="W7" i="1"/>
  <c r="W4" i="1"/>
  <c r="W57" i="1"/>
  <c r="X57" i="1"/>
  <c r="H58" i="1"/>
  <c r="H60" i="1"/>
  <c r="H61" i="1"/>
  <c r="W8" i="1"/>
  <c r="W46" i="1"/>
  <c r="W48" i="1"/>
  <c r="W49" i="1"/>
  <c r="F10" i="14" l="1"/>
  <c r="H9" i="16"/>
  <c r="F10" i="15"/>
  <c r="H85" i="1"/>
  <c r="V85" i="1" s="1"/>
  <c r="H8" i="16"/>
  <c r="H21" i="16" s="1"/>
  <c r="H32" i="16" s="1"/>
  <c r="F9" i="15"/>
  <c r="F9" i="14"/>
  <c r="H6" i="16"/>
  <c r="F7" i="15"/>
  <c r="X24" i="15" s="1"/>
  <c r="F7" i="14"/>
  <c r="X24" i="14" s="1"/>
  <c r="X14" i="1"/>
  <c r="X61" i="1"/>
  <c r="H9" i="3"/>
  <c r="F10" i="11"/>
  <c r="F10" i="10"/>
  <c r="X58" i="1"/>
  <c r="F7" i="11"/>
  <c r="F7" i="10"/>
  <c r="H6" i="3"/>
  <c r="H72" i="1"/>
  <c r="V72" i="1" s="1"/>
  <c r="F9" i="11"/>
  <c r="F9" i="10"/>
  <c r="H8" i="3"/>
  <c r="W58" i="1"/>
  <c r="H70" i="1"/>
  <c r="V70" i="1" s="1"/>
  <c r="H83" i="1"/>
  <c r="V83" i="1" s="1"/>
  <c r="X60" i="1"/>
  <c r="W60" i="1"/>
  <c r="H73" i="1"/>
  <c r="V73" i="1" s="1"/>
  <c r="H86" i="1"/>
  <c r="V86" i="1" s="1"/>
  <c r="W61" i="1"/>
  <c r="W53" i="1"/>
  <c r="H22" i="16" l="1"/>
  <c r="H33" i="16" s="1"/>
  <c r="H17" i="16"/>
  <c r="H28" i="16" s="1"/>
  <c r="H19" i="16"/>
  <c r="H30" i="16" s="1"/>
  <c r="H18" i="16"/>
  <c r="H29" i="16" s="1"/>
  <c r="X23" i="14"/>
  <c r="H20" i="16"/>
  <c r="H31" i="16" s="1"/>
  <c r="X23" i="15"/>
  <c r="H16" i="16"/>
  <c r="H27" i="16" s="1"/>
  <c r="H18" i="3"/>
  <c r="H29" i="3" s="1"/>
  <c r="H21" i="3"/>
  <c r="H32" i="3" s="1"/>
  <c r="H16" i="3"/>
  <c r="H27" i="3" s="1"/>
  <c r="H19" i="3"/>
  <c r="H30" i="3" s="1"/>
  <c r="H20" i="3"/>
  <c r="H31" i="3" s="1"/>
  <c r="H22" i="3"/>
  <c r="H33" i="3" s="1"/>
  <c r="H17" i="3"/>
  <c r="H28" i="3" s="1"/>
  <c r="X24" i="10"/>
  <c r="X24" i="11"/>
  <c r="X23" i="10"/>
  <c r="U26" i="10" s="1"/>
  <c r="X23" i="11"/>
  <c r="Y67" i="1"/>
  <c r="Y81" i="1"/>
  <c r="Y84" i="1"/>
  <c r="Y80" i="1"/>
  <c r="Y86" i="1"/>
  <c r="V90" i="1"/>
  <c r="Y82" i="1"/>
  <c r="Y85" i="1"/>
  <c r="Y83" i="1"/>
  <c r="Y72" i="1"/>
  <c r="V77" i="1"/>
  <c r="Y73" i="1"/>
  <c r="Y71" i="1"/>
  <c r="Y69" i="1"/>
  <c r="Y68" i="1"/>
  <c r="Y70" i="1"/>
  <c r="W30" i="16" l="1"/>
  <c r="U24" i="14"/>
  <c r="U26" i="14"/>
  <c r="W28" i="16"/>
  <c r="H39" i="16"/>
  <c r="W32" i="16" s="1"/>
  <c r="H40" i="16"/>
  <c r="V32" i="16" s="1"/>
  <c r="W27" i="16"/>
  <c r="V29" i="16"/>
  <c r="W29" i="16"/>
  <c r="X29" i="16" s="1"/>
  <c r="V33" i="16"/>
  <c r="W33" i="16"/>
  <c r="X33" i="16" s="1"/>
  <c r="W27" i="3"/>
  <c r="U26" i="15"/>
  <c r="U24" i="15"/>
  <c r="U24" i="10"/>
  <c r="C24" i="10" s="1"/>
  <c r="H40" i="3"/>
  <c r="V27" i="3" s="1"/>
  <c r="H39" i="3"/>
  <c r="U24" i="11"/>
  <c r="U26" i="11"/>
  <c r="E23" i="10"/>
  <c r="F23" i="10"/>
  <c r="C25" i="10"/>
  <c r="D21" i="10"/>
  <c r="Z85" i="1"/>
  <c r="Z86" i="1"/>
  <c r="Z82" i="1"/>
  <c r="Z84" i="1"/>
  <c r="Z80" i="1"/>
  <c r="Z81" i="1"/>
  <c r="Z83" i="1"/>
  <c r="Z68" i="1"/>
  <c r="Z72" i="1"/>
  <c r="Z71" i="1"/>
  <c r="Z70" i="1"/>
  <c r="Z69" i="1"/>
  <c r="Z67" i="1"/>
  <c r="Z73" i="1"/>
  <c r="C20" i="15" l="1"/>
  <c r="F22" i="15"/>
  <c r="C19" i="15"/>
  <c r="E23" i="15"/>
  <c r="F25" i="15"/>
  <c r="F20" i="15"/>
  <c r="C21" i="15"/>
  <c r="C23" i="15"/>
  <c r="B25" i="15"/>
  <c r="E24" i="15"/>
  <c r="B23" i="15"/>
  <c r="B19" i="15"/>
  <c r="D21" i="15"/>
  <c r="F19" i="15"/>
  <c r="C25" i="15"/>
  <c r="E19" i="15"/>
  <c r="B20" i="15"/>
  <c r="D22" i="15"/>
  <c r="F23" i="15"/>
  <c r="F45" i="15" s="1"/>
  <c r="F46" i="15" s="1"/>
  <c r="F24" i="15"/>
  <c r="E25" i="15"/>
  <c r="E20" i="15"/>
  <c r="B21" i="15"/>
  <c r="B39" i="15" s="1"/>
  <c r="B40" i="15" s="1"/>
  <c r="D19" i="15"/>
  <c r="D20" i="15"/>
  <c r="B24" i="15"/>
  <c r="E21" i="15"/>
  <c r="E39" i="15" s="1"/>
  <c r="E40" i="15" s="1"/>
  <c r="D24" i="15"/>
  <c r="C24" i="15"/>
  <c r="F21" i="15"/>
  <c r="C22" i="15"/>
  <c r="C42" i="15" s="1"/>
  <c r="C43" i="15" s="1"/>
  <c r="B22" i="15"/>
  <c r="D25" i="15"/>
  <c r="E22" i="15"/>
  <c r="D23" i="15"/>
  <c r="D45" i="15" s="1"/>
  <c r="D46" i="15" s="1"/>
  <c r="V27" i="16"/>
  <c r="X27" i="16" s="1"/>
  <c r="V28" i="16"/>
  <c r="X28" i="16" s="1"/>
  <c r="V30" i="16"/>
  <c r="X30" i="16" s="1"/>
  <c r="X27" i="3"/>
  <c r="E25" i="14"/>
  <c r="E20" i="14"/>
  <c r="C23" i="14"/>
  <c r="F23" i="14"/>
  <c r="B23" i="14"/>
  <c r="F24" i="14"/>
  <c r="F48" i="14" s="1"/>
  <c r="F49" i="14" s="1"/>
  <c r="F22" i="14"/>
  <c r="E22" i="14"/>
  <c r="B19" i="14"/>
  <c r="C19" i="14"/>
  <c r="D23" i="14"/>
  <c r="C25" i="14"/>
  <c r="E19" i="14"/>
  <c r="D22" i="14"/>
  <c r="F19" i="14"/>
  <c r="C22" i="14"/>
  <c r="D21" i="14"/>
  <c r="E24" i="14"/>
  <c r="E48" i="14" s="1"/>
  <c r="E49" i="14" s="1"/>
  <c r="E23" i="14"/>
  <c r="B21" i="14"/>
  <c r="B22" i="14"/>
  <c r="C20" i="14"/>
  <c r="F20" i="14"/>
  <c r="B20" i="14"/>
  <c r="E21" i="14"/>
  <c r="D20" i="14"/>
  <c r="D36" i="14" s="1"/>
  <c r="D37" i="14" s="1"/>
  <c r="B25" i="14"/>
  <c r="F25" i="14"/>
  <c r="D24" i="14"/>
  <c r="B24" i="14"/>
  <c r="B48" i="14" s="1"/>
  <c r="B49" i="14" s="1"/>
  <c r="D25" i="14"/>
  <c r="D19" i="14"/>
  <c r="C21" i="14"/>
  <c r="C24" i="14"/>
  <c r="C48" i="14" s="1"/>
  <c r="C49" i="14" s="1"/>
  <c r="F21" i="14"/>
  <c r="W31" i="16"/>
  <c r="X32" i="16"/>
  <c r="V31" i="16"/>
  <c r="E20" i="10"/>
  <c r="V30" i="3"/>
  <c r="V33" i="3"/>
  <c r="W29" i="3"/>
  <c r="W32" i="3"/>
  <c r="V29" i="3"/>
  <c r="V32" i="3"/>
  <c r="V31" i="3"/>
  <c r="W33" i="3"/>
  <c r="V28" i="3"/>
  <c r="W31" i="3"/>
  <c r="W30" i="3"/>
  <c r="X30" i="3" s="1"/>
  <c r="W28" i="3"/>
  <c r="F20" i="10"/>
  <c r="D19" i="10"/>
  <c r="C21" i="10"/>
  <c r="B21" i="10"/>
  <c r="D20" i="10"/>
  <c r="F24" i="10"/>
  <c r="B19" i="10"/>
  <c r="F25" i="10"/>
  <c r="B25" i="10"/>
  <c r="B23" i="10"/>
  <c r="B20" i="10"/>
  <c r="E24" i="10"/>
  <c r="F19" i="10"/>
  <c r="D23" i="10"/>
  <c r="F22" i="10"/>
  <c r="C20" i="10"/>
  <c r="E21" i="10"/>
  <c r="B22" i="10"/>
  <c r="E25" i="10"/>
  <c r="B24" i="10"/>
  <c r="D25" i="10"/>
  <c r="F21" i="10"/>
  <c r="C22" i="10"/>
  <c r="C19" i="10"/>
  <c r="C23" i="10"/>
  <c r="E19" i="10"/>
  <c r="D22" i="10"/>
  <c r="E22" i="10"/>
  <c r="D24" i="10"/>
  <c r="F24" i="11"/>
  <c r="C23" i="11"/>
  <c r="C19" i="11"/>
  <c r="D23" i="11"/>
  <c r="F23" i="11"/>
  <c r="B20" i="11"/>
  <c r="B24" i="11"/>
  <c r="E25" i="11"/>
  <c r="C25" i="11"/>
  <c r="D22" i="11"/>
  <c r="F22" i="11"/>
  <c r="C22" i="11"/>
  <c r="D19" i="11"/>
  <c r="E23" i="11"/>
  <c r="D21" i="11"/>
  <c r="C21" i="11"/>
  <c r="B25" i="11"/>
  <c r="D24" i="11"/>
  <c r="F20" i="11"/>
  <c r="D20" i="11"/>
  <c r="B23" i="11"/>
  <c r="E24" i="11"/>
  <c r="B19" i="11"/>
  <c r="C20" i="11"/>
  <c r="F19" i="11"/>
  <c r="C24" i="11"/>
  <c r="E19" i="11"/>
  <c r="B21" i="11"/>
  <c r="E21" i="11"/>
  <c r="F21" i="11"/>
  <c r="E22" i="11"/>
  <c r="F25" i="11"/>
  <c r="E20" i="11"/>
  <c r="B22" i="11"/>
  <c r="D25" i="11"/>
  <c r="AE38" i="14" l="1"/>
  <c r="C36" i="14"/>
  <c r="C37" i="14" s="1"/>
  <c r="D42" i="14"/>
  <c r="D43" i="14" s="1"/>
  <c r="C33" i="14"/>
  <c r="C34" i="14" s="1"/>
  <c r="E36" i="14"/>
  <c r="E37" i="14" s="1"/>
  <c r="C51" i="15"/>
  <c r="C52" i="15" s="1"/>
  <c r="B45" i="15"/>
  <c r="B46" i="15" s="1"/>
  <c r="C39" i="15"/>
  <c r="C40" i="15" s="1"/>
  <c r="C33" i="15"/>
  <c r="C34" i="15" s="1"/>
  <c r="X31" i="3"/>
  <c r="C39" i="14"/>
  <c r="C40" i="14" s="1"/>
  <c r="D48" i="14"/>
  <c r="D49" i="14" s="1"/>
  <c r="V38" i="14" s="1"/>
  <c r="E39" i="14"/>
  <c r="E40" i="14" s="1"/>
  <c r="B42" i="14"/>
  <c r="B43" i="14" s="1"/>
  <c r="D39" i="14"/>
  <c r="D40" i="14" s="1"/>
  <c r="E33" i="14"/>
  <c r="E34" i="14" s="1"/>
  <c r="B33" i="14"/>
  <c r="B34" i="14" s="1"/>
  <c r="B45" i="14"/>
  <c r="B46" i="14" s="1"/>
  <c r="E51" i="14"/>
  <c r="E52" i="14" s="1"/>
  <c r="E42" i="15"/>
  <c r="E43" i="15" s="1"/>
  <c r="F39" i="15"/>
  <c r="F40" i="15" s="1"/>
  <c r="B48" i="15"/>
  <c r="B49" i="15" s="1"/>
  <c r="E36" i="15"/>
  <c r="E37" i="15" s="1"/>
  <c r="D42" i="15"/>
  <c r="D43" i="15" s="1"/>
  <c r="F33" i="15"/>
  <c r="F34" i="15" s="1"/>
  <c r="E48" i="15"/>
  <c r="E49" i="15" s="1"/>
  <c r="F36" i="15"/>
  <c r="F37" i="15" s="1"/>
  <c r="F42" i="15"/>
  <c r="F43" i="15" s="1"/>
  <c r="X31" i="16"/>
  <c r="Y33" i="16" s="1"/>
  <c r="D33" i="14"/>
  <c r="D34" i="14" s="1"/>
  <c r="F51" i="14"/>
  <c r="F52" i="14" s="1"/>
  <c r="B36" i="14"/>
  <c r="B37" i="14" s="1"/>
  <c r="B39" i="14"/>
  <c r="B40" i="14" s="1"/>
  <c r="C42" i="14"/>
  <c r="C43" i="14" s="1"/>
  <c r="C51" i="14"/>
  <c r="C52" i="14" s="1"/>
  <c r="E42" i="14"/>
  <c r="E43" i="14" s="1"/>
  <c r="F45" i="14"/>
  <c r="F46" i="14" s="1"/>
  <c r="D51" i="15"/>
  <c r="D52" i="15" s="1"/>
  <c r="C48" i="15"/>
  <c r="C49" i="15" s="1"/>
  <c r="D36" i="15"/>
  <c r="D37" i="15" s="1"/>
  <c r="E51" i="15"/>
  <c r="E52" i="15" s="1"/>
  <c r="B36" i="15"/>
  <c r="B37" i="15" s="1"/>
  <c r="D39" i="15"/>
  <c r="D40" i="15" s="1"/>
  <c r="B51" i="15"/>
  <c r="B52" i="15" s="1"/>
  <c r="F51" i="15"/>
  <c r="F52" i="15" s="1"/>
  <c r="C36" i="15"/>
  <c r="C37" i="15" s="1"/>
  <c r="X28" i="3"/>
  <c r="F39" i="14"/>
  <c r="F40" i="14" s="1"/>
  <c r="D51" i="14"/>
  <c r="D52" i="14" s="1"/>
  <c r="B51" i="14"/>
  <c r="B52" i="14" s="1"/>
  <c r="F36" i="14"/>
  <c r="F37" i="14" s="1"/>
  <c r="E45" i="14"/>
  <c r="E46" i="14" s="1"/>
  <c r="F33" i="14"/>
  <c r="F34" i="14" s="1"/>
  <c r="D45" i="14"/>
  <c r="D46" i="14" s="1"/>
  <c r="F42" i="14"/>
  <c r="F43" i="14" s="1"/>
  <c r="C45" i="14"/>
  <c r="C46" i="14" s="1"/>
  <c r="B42" i="15"/>
  <c r="B43" i="15" s="1"/>
  <c r="V36" i="15" s="1"/>
  <c r="D48" i="15"/>
  <c r="D49" i="15" s="1"/>
  <c r="D33" i="15"/>
  <c r="D34" i="15" s="1"/>
  <c r="F48" i="15"/>
  <c r="F49" i="15" s="1"/>
  <c r="E33" i="15"/>
  <c r="E34" i="15" s="1"/>
  <c r="B33" i="15"/>
  <c r="B34" i="15" s="1"/>
  <c r="C45" i="15"/>
  <c r="C46" i="15" s="1"/>
  <c r="E45" i="15"/>
  <c r="E46" i="15" s="1"/>
  <c r="E42" i="10"/>
  <c r="E43" i="10" s="1"/>
  <c r="D51" i="10"/>
  <c r="D52" i="10" s="1"/>
  <c r="F33" i="10"/>
  <c r="F34" i="10" s="1"/>
  <c r="D42" i="10"/>
  <c r="D43" i="10" s="1"/>
  <c r="B36" i="10"/>
  <c r="B37" i="10" s="1"/>
  <c r="C33" i="10"/>
  <c r="C34" i="10" s="1"/>
  <c r="X33" i="3"/>
  <c r="X32" i="3"/>
  <c r="X29" i="3"/>
  <c r="B42" i="10"/>
  <c r="B43" i="10" s="1"/>
  <c r="B33" i="10"/>
  <c r="B34" i="10" s="1"/>
  <c r="C39" i="10"/>
  <c r="C40" i="10" s="1"/>
  <c r="F36" i="10"/>
  <c r="F37" i="10" s="1"/>
  <c r="D48" i="10"/>
  <c r="D49" i="10" s="1"/>
  <c r="E51" i="10"/>
  <c r="E52" i="10" s="1"/>
  <c r="F42" i="10"/>
  <c r="F43" i="10" s="1"/>
  <c r="E45" i="10"/>
  <c r="E46" i="10" s="1"/>
  <c r="F51" i="10"/>
  <c r="F52" i="10" s="1"/>
  <c r="B51" i="10"/>
  <c r="B52" i="10" s="1"/>
  <c r="D39" i="10"/>
  <c r="D40" i="10" s="1"/>
  <c r="C42" i="10"/>
  <c r="C43" i="10" s="1"/>
  <c r="F51" i="11"/>
  <c r="F52" i="11" s="1"/>
  <c r="B39" i="11"/>
  <c r="B40" i="11" s="1"/>
  <c r="C36" i="11"/>
  <c r="C37" i="11" s="1"/>
  <c r="E39" i="10"/>
  <c r="E40" i="10" s="1"/>
  <c r="F48" i="10"/>
  <c r="F49" i="10" s="1"/>
  <c r="F45" i="10"/>
  <c r="F46" i="10" s="1"/>
  <c r="B45" i="10"/>
  <c r="B46" i="10" s="1"/>
  <c r="D33" i="10"/>
  <c r="D34" i="10" s="1"/>
  <c r="E33" i="10"/>
  <c r="E34" i="10" s="1"/>
  <c r="F39" i="10"/>
  <c r="F40" i="10" s="1"/>
  <c r="B48" i="10"/>
  <c r="B49" i="10" s="1"/>
  <c r="C36" i="10"/>
  <c r="C37" i="10" s="1"/>
  <c r="E36" i="10"/>
  <c r="E37" i="10" s="1"/>
  <c r="D36" i="10"/>
  <c r="D37" i="10" s="1"/>
  <c r="AE34" i="10" s="1"/>
  <c r="C51" i="10"/>
  <c r="C52" i="10" s="1"/>
  <c r="E48" i="10"/>
  <c r="E49" i="10" s="1"/>
  <c r="C48" i="10"/>
  <c r="C49" i="10" s="1"/>
  <c r="C45" i="10"/>
  <c r="C46" i="10" s="1"/>
  <c r="B39" i="10"/>
  <c r="B40" i="10" s="1"/>
  <c r="D45" i="10"/>
  <c r="D46" i="10" s="1"/>
  <c r="D36" i="11"/>
  <c r="D37" i="11" s="1"/>
  <c r="E51" i="11"/>
  <c r="E52" i="11" s="1"/>
  <c r="C42" i="11"/>
  <c r="C43" i="11" s="1"/>
  <c r="E42" i="11"/>
  <c r="E43" i="11" s="1"/>
  <c r="F42" i="11"/>
  <c r="F43" i="11" s="1"/>
  <c r="B42" i="11"/>
  <c r="B43" i="11" s="1"/>
  <c r="F39" i="11"/>
  <c r="F40" i="11" s="1"/>
  <c r="C48" i="11"/>
  <c r="C49" i="11" s="1"/>
  <c r="E48" i="11"/>
  <c r="E49" i="11" s="1"/>
  <c r="D48" i="11"/>
  <c r="D49" i="11" s="1"/>
  <c r="E45" i="11"/>
  <c r="E46" i="11" s="1"/>
  <c r="D42" i="11"/>
  <c r="D43" i="11" s="1"/>
  <c r="B36" i="11"/>
  <c r="B37" i="11" s="1"/>
  <c r="C45" i="11"/>
  <c r="C46" i="11" s="1"/>
  <c r="C39" i="11"/>
  <c r="C40" i="11" s="1"/>
  <c r="F36" i="11"/>
  <c r="F37" i="11" s="1"/>
  <c r="E36" i="11"/>
  <c r="E37" i="11" s="1"/>
  <c r="E39" i="11"/>
  <c r="E40" i="11" s="1"/>
  <c r="F33" i="11"/>
  <c r="F34" i="11" s="1"/>
  <c r="B45" i="11"/>
  <c r="B46" i="11" s="1"/>
  <c r="B51" i="11"/>
  <c r="B52" i="11" s="1"/>
  <c r="D33" i="11"/>
  <c r="D34" i="11" s="1"/>
  <c r="C51" i="11"/>
  <c r="C52" i="11" s="1"/>
  <c r="F45" i="11"/>
  <c r="F46" i="11" s="1"/>
  <c r="F48" i="11"/>
  <c r="F49" i="11" s="1"/>
  <c r="D45" i="11"/>
  <c r="D46" i="11" s="1"/>
  <c r="V39" i="10"/>
  <c r="D51" i="11"/>
  <c r="D52" i="11" s="1"/>
  <c r="E33" i="11"/>
  <c r="E34" i="11" s="1"/>
  <c r="B33" i="11"/>
  <c r="B34" i="11" s="1"/>
  <c r="D39" i="11"/>
  <c r="D40" i="11" s="1"/>
  <c r="B48" i="11"/>
  <c r="B49" i="11" s="1"/>
  <c r="C33" i="11"/>
  <c r="C34" i="11" s="1"/>
  <c r="AE33" i="10" l="1"/>
  <c r="Z30" i="16"/>
  <c r="Y29" i="16"/>
  <c r="V33" i="15"/>
  <c r="AE39" i="14"/>
  <c r="V39" i="14"/>
  <c r="V34" i="15"/>
  <c r="V38" i="15"/>
  <c r="V37" i="14"/>
  <c r="AE37" i="14"/>
  <c r="V36" i="14"/>
  <c r="AE36" i="14"/>
  <c r="Z32" i="16"/>
  <c r="Y30" i="16"/>
  <c r="V35" i="14"/>
  <c r="AE35" i="14"/>
  <c r="Z31" i="16"/>
  <c r="Y31" i="16"/>
  <c r="V35" i="15"/>
  <c r="AE33" i="14"/>
  <c r="V33" i="14"/>
  <c r="Y32" i="16"/>
  <c r="V37" i="15"/>
  <c r="Y28" i="16"/>
  <c r="Z29" i="16"/>
  <c r="Z27" i="16"/>
  <c r="AE35" i="10"/>
  <c r="V39" i="15"/>
  <c r="W39" i="15" s="1"/>
  <c r="AE34" i="14"/>
  <c r="AF34" i="14" s="1"/>
  <c r="V34" i="14"/>
  <c r="Z28" i="16"/>
  <c r="Z33" i="16"/>
  <c r="Y27" i="16"/>
  <c r="V36" i="10"/>
  <c r="V38" i="10"/>
  <c r="V33" i="10"/>
  <c r="AE36" i="10"/>
  <c r="AF42" i="10" s="1"/>
  <c r="AE39" i="10"/>
  <c r="Y27" i="3"/>
  <c r="Z31" i="3"/>
  <c r="Z33" i="3"/>
  <c r="Z29" i="3"/>
  <c r="Z27" i="3"/>
  <c r="Z32" i="3"/>
  <c r="Z28" i="3"/>
  <c r="Z30" i="3"/>
  <c r="V35" i="10"/>
  <c r="V34" i="10"/>
  <c r="V37" i="10"/>
  <c r="W35" i="10" s="1"/>
  <c r="AE37" i="10"/>
  <c r="AE38" i="10"/>
  <c r="V33" i="11"/>
  <c r="V35" i="11"/>
  <c r="V34" i="11"/>
  <c r="Y28" i="3"/>
  <c r="Y30" i="3"/>
  <c r="V38" i="11"/>
  <c r="V39" i="11"/>
  <c r="Y32" i="3"/>
  <c r="Y33" i="3"/>
  <c r="Y31" i="3"/>
  <c r="V37" i="11"/>
  <c r="Y29" i="3"/>
  <c r="V36" i="11"/>
  <c r="W45" i="14" l="1"/>
  <c r="W33" i="14"/>
  <c r="W46" i="14"/>
  <c r="AF37" i="14"/>
  <c r="W39" i="14"/>
  <c r="AF33" i="14"/>
  <c r="AF35" i="14"/>
  <c r="W37" i="14"/>
  <c r="AF39" i="14"/>
  <c r="AF38" i="14"/>
  <c r="AG38" i="14" s="1"/>
  <c r="AF41" i="10"/>
  <c r="W38" i="10"/>
  <c r="W37" i="15"/>
  <c r="W35" i="15"/>
  <c r="W35" i="14"/>
  <c r="AF36" i="14"/>
  <c r="W38" i="15"/>
  <c r="W33" i="15"/>
  <c r="AF33" i="10"/>
  <c r="W36" i="10"/>
  <c r="W34" i="14"/>
  <c r="W36" i="15"/>
  <c r="X36" i="15" s="1"/>
  <c r="W36" i="14"/>
  <c r="W34" i="15"/>
  <c r="W38" i="14"/>
  <c r="X38" i="14" s="1"/>
  <c r="W37" i="10"/>
  <c r="X35" i="10" s="1"/>
  <c r="W39" i="10"/>
  <c r="W46" i="10"/>
  <c r="W33" i="10"/>
  <c r="W44" i="10" s="1"/>
  <c r="AF36" i="10"/>
  <c r="W45" i="10"/>
  <c r="W34" i="10"/>
  <c r="X34" i="10" s="1"/>
  <c r="AF34" i="10"/>
  <c r="AF37" i="10"/>
  <c r="AF35" i="10"/>
  <c r="AF40" i="10"/>
  <c r="AF39" i="10"/>
  <c r="W35" i="11"/>
  <c r="AF38" i="10"/>
  <c r="W36" i="11"/>
  <c r="W34" i="11"/>
  <c r="W37" i="11"/>
  <c r="X36" i="10"/>
  <c r="W39" i="11"/>
  <c r="W33" i="11"/>
  <c r="W38" i="11"/>
  <c r="X37" i="10"/>
  <c r="X33" i="15" l="1"/>
  <c r="X35" i="15"/>
  <c r="AG33" i="14"/>
  <c r="X38" i="10"/>
  <c r="X34" i="14"/>
  <c r="X38" i="15"/>
  <c r="X37" i="15"/>
  <c r="AG39" i="14"/>
  <c r="X39" i="15"/>
  <c r="W44" i="14"/>
  <c r="X33" i="14"/>
  <c r="X34" i="15"/>
  <c r="AG36" i="14"/>
  <c r="X37" i="14"/>
  <c r="X39" i="14"/>
  <c r="X33" i="10"/>
  <c r="X36" i="14"/>
  <c r="X35" i="14"/>
  <c r="AG35" i="14"/>
  <c r="AG37" i="14"/>
  <c r="AG34" i="14"/>
  <c r="AG33" i="10"/>
  <c r="X39" i="10"/>
  <c r="AG37" i="10"/>
  <c r="AG35" i="10"/>
  <c r="AG38" i="10"/>
  <c r="AG34" i="10"/>
  <c r="AG36" i="10"/>
  <c r="AG39" i="10"/>
  <c r="X36" i="11"/>
  <c r="X33" i="11"/>
  <c r="X35" i="11"/>
  <c r="X34" i="11"/>
  <c r="X38" i="11"/>
  <c r="X39" i="11"/>
  <c r="X37" i="11"/>
</calcChain>
</file>

<file path=xl/sharedStrings.xml><?xml version="1.0" encoding="utf-8"?>
<sst xmlns="http://schemas.openxmlformats.org/spreadsheetml/2006/main" count="666" uniqueCount="107">
  <si>
    <t>PROJETOS-ÂNCORA</t>
  </si>
  <si>
    <t>ÁREAS DE INTERVENÇÃO &amp; OBJETIVOS ESTRATÉGICOS</t>
  </si>
  <si>
    <t>cópia da tabela anterior</t>
  </si>
  <si>
    <t xml:space="preserve">Nível 0 </t>
  </si>
  <si>
    <t>projeto * nivel1</t>
  </si>
  <si>
    <t xml:space="preserve">Racio de redestribuição </t>
  </si>
  <si>
    <t>resultados exercicio</t>
  </si>
  <si>
    <t>Order</t>
  </si>
  <si>
    <t>Rank</t>
  </si>
  <si>
    <t>Economia</t>
  </si>
  <si>
    <t>Patrimonio natural</t>
  </si>
  <si>
    <t>Territorio</t>
  </si>
  <si>
    <t xml:space="preserve">Inclusao </t>
  </si>
  <si>
    <t>Qualidade</t>
  </si>
  <si>
    <t>quando são os pesos todos iguais</t>
  </si>
  <si>
    <t>Matriz para calcular apenas com nível 0</t>
  </si>
  <si>
    <t>cópia da tabela anterior - ilhavo harmonizaçao (média dos scores iniciais)</t>
  </si>
  <si>
    <t>Caso: média scores originais, caso os critérios tivessem todos o mesmo peso</t>
  </si>
  <si>
    <t>sistema de equação [a(min)+b=1 ///// a(max)+b=5]</t>
  </si>
  <si>
    <t>pesos</t>
  </si>
  <si>
    <t>para transformar os pesos numa escala de 1 a 5</t>
  </si>
  <si>
    <t>min</t>
  </si>
  <si>
    <t>máx</t>
  </si>
  <si>
    <t>b</t>
  </si>
  <si>
    <t>a</t>
  </si>
  <si>
    <t>http://www.calculadoraonline.com.br/sistemas-lineares</t>
  </si>
  <si>
    <t>assumindo os mesmos pesos do exercício tambem convertidos numa escala de 1-5</t>
  </si>
  <si>
    <t>P1,1</t>
  </si>
  <si>
    <t>P1,2</t>
  </si>
  <si>
    <t>P1,3</t>
  </si>
  <si>
    <t>P1,4</t>
  </si>
  <si>
    <t>P1,5</t>
  </si>
  <si>
    <t>ordenaçao</t>
  </si>
  <si>
    <t>SAW weight</t>
  </si>
  <si>
    <t>P2,1</t>
  </si>
  <si>
    <t>P2,2</t>
  </si>
  <si>
    <t>P2,3</t>
  </si>
  <si>
    <t>P2,4</t>
  </si>
  <si>
    <t>P2,5</t>
  </si>
  <si>
    <t>P3,1</t>
  </si>
  <si>
    <t>P3,2</t>
  </si>
  <si>
    <t>P3,3</t>
  </si>
  <si>
    <t>P3,4</t>
  </si>
  <si>
    <t>P3,5</t>
  </si>
  <si>
    <t>P4,1</t>
  </si>
  <si>
    <t>P4,2</t>
  </si>
  <si>
    <t>P4,3</t>
  </si>
  <si>
    <t>P4,4</t>
  </si>
  <si>
    <t>P4,5</t>
  </si>
  <si>
    <t>P5,1</t>
  </si>
  <si>
    <t>P5,2</t>
  </si>
  <si>
    <t>P5,3</t>
  </si>
  <si>
    <t>P5,4</t>
  </si>
  <si>
    <t>P5,5</t>
  </si>
  <si>
    <t xml:space="preserve">média </t>
  </si>
  <si>
    <t>desvio padrao</t>
  </si>
  <si>
    <t>variancia</t>
  </si>
  <si>
    <t>P6,1</t>
  </si>
  <si>
    <t>P6,2</t>
  </si>
  <si>
    <t>P6,3</t>
  </si>
  <si>
    <t>P6,4</t>
  </si>
  <si>
    <t>P6,5</t>
  </si>
  <si>
    <t>P7,1</t>
  </si>
  <si>
    <t>P7,2</t>
  </si>
  <si>
    <t>P7,3</t>
  </si>
  <si>
    <t>P7,4</t>
  </si>
  <si>
    <t>P7,5</t>
  </si>
  <si>
    <t>normalizar de acordo com TOPSIS</t>
  </si>
  <si>
    <t>Si+</t>
  </si>
  <si>
    <t>Si-</t>
  </si>
  <si>
    <t>Pi</t>
  </si>
  <si>
    <t>calculate ideal best</t>
  </si>
  <si>
    <t>calculate ideal worst</t>
  </si>
  <si>
    <t>conversao sem arredondar</t>
  </si>
  <si>
    <t>se os pesos forem convertidos numa escala 1-5 mas não estiverem arredondados</t>
  </si>
  <si>
    <t/>
  </si>
  <si>
    <t>valor dos impactos se os critérios do nivel 1 tivessem o mesmo peso</t>
  </si>
  <si>
    <t>se os critérios do nivel 0 valerem todos o mesmo --&gt;</t>
  </si>
  <si>
    <t>Media se todos criterios valessem o mesmo (considera o nivel 0)</t>
  </si>
  <si>
    <t>soma dos impactos se os critérios do nível 1 tivessem o mesmo impacto. Esta operaçao foi para converter a matriz de impactos a ser usada com apenas o nivel 0</t>
  </si>
  <si>
    <t>teste com potencia (em vez de multiplicar o impacto do projeto com o peso do criterio)</t>
  </si>
  <si>
    <t>esta é que é a matriz usada nos diversos MCDM!</t>
  </si>
  <si>
    <t>Weighted product method</t>
  </si>
  <si>
    <t>conversao da matriz de impacto numa escala de 1 a 5</t>
  </si>
  <si>
    <t>SAW method - todos os critérios são considerados beneficio (relacao com o máximo)</t>
  </si>
  <si>
    <t>based on SAW method</t>
  </si>
  <si>
    <t>WPM weight</t>
  </si>
  <si>
    <t>1. Estratégia de dinamização do tecido económico</t>
  </si>
  <si>
    <t>2. Revitalização urbana</t>
  </si>
  <si>
    <t>3. Qualificação da rede de serviços e equipamentos</t>
  </si>
  <si>
    <t>4. Vagos, território inteligente</t>
  </si>
  <si>
    <t>5. Vagos sustentável</t>
  </si>
  <si>
    <t>6. Afirmação do turismo</t>
  </si>
  <si>
    <t>7. Viver Vagos</t>
  </si>
  <si>
    <t>Soma</t>
  </si>
  <si>
    <t>Alternativa 1</t>
  </si>
  <si>
    <t>Alternativa 2</t>
  </si>
  <si>
    <t>Alternativa 3</t>
  </si>
  <si>
    <t>Alternativa 4</t>
  </si>
  <si>
    <t>Alternativa 5</t>
  </si>
  <si>
    <t>Alternativa 6</t>
  </si>
  <si>
    <t>Alternativa 7</t>
  </si>
  <si>
    <t>Criteria A</t>
  </si>
  <si>
    <t>Criteria B</t>
  </si>
  <si>
    <t>Criteria C</t>
  </si>
  <si>
    <t>Criteria D</t>
  </si>
  <si>
    <t>Criteria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</si>
</sst>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0000"/>
    <numFmt numFmtId="167" formatCode="0.00000000"/>
    <numFmt numFmtId="168" formatCode="0.0000"/>
  </numFmts>
  <fonts count="2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DDEBF7"/>
      <name val="Arial"/>
      <family val="2"/>
    </font>
    <font>
      <b/>
      <sz val="10"/>
      <color rgb="FF333F4F"/>
      <name val="Arial"/>
      <family val="2"/>
    </font>
    <font>
      <sz val="10"/>
      <color rgb="FF333F4F"/>
      <name val="Arial"/>
      <family val="2"/>
    </font>
    <font>
      <sz val="11"/>
      <color rgb="FFFF0000"/>
      <name val="Arial"/>
      <family val="2"/>
    </font>
    <font>
      <sz val="11"/>
      <color rgb="FFDDEBF7"/>
      <name val="Arial"/>
      <family val="2"/>
    </font>
    <font>
      <sz val="11"/>
      <color rgb="FF000000"/>
      <name val="Arial"/>
      <family val="2"/>
    </font>
    <font>
      <sz val="11"/>
      <color rgb="FF222B35"/>
      <name val="Arial"/>
      <family val="2"/>
    </font>
    <font>
      <i/>
      <sz val="11"/>
      <color rgb="FFDDEBF7"/>
      <name val="Arial"/>
      <family val="2"/>
    </font>
    <font>
      <sz val="11"/>
      <color rgb="FF808080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Calibri"/>
      <family val="2"/>
    </font>
    <font>
      <sz val="11"/>
      <name val="Arial"/>
      <family val="2"/>
    </font>
    <font>
      <b/>
      <sz val="11"/>
      <color theme="5" tint="-0.249977111117893"/>
      <name val="Arial"/>
      <family val="2"/>
    </font>
    <font>
      <sz val="11"/>
      <color theme="0"/>
      <name val="Calibri"/>
      <family val="2"/>
    </font>
    <font>
      <b/>
      <sz val="11"/>
      <color rgb="FF000000"/>
      <name val="Arial"/>
      <family val="2"/>
    </font>
    <font>
      <sz val="9"/>
      <color rgb="FFDDEBF7"/>
      <name val="Arial"/>
      <family val="2"/>
    </font>
    <font>
      <sz val="11"/>
      <color theme="7" tint="-0.499984740745262"/>
      <name val="Arial"/>
      <family val="2"/>
    </font>
    <font>
      <b/>
      <sz val="11"/>
      <color rgb="FFFF0000"/>
      <name val="Arial"/>
      <family val="2"/>
    </font>
    <font>
      <b/>
      <sz val="9"/>
      <color rgb="FFDDEBF7"/>
      <name val="Arial"/>
      <family val="2"/>
    </font>
    <font>
      <sz val="11"/>
      <color theme="2" tint="-0.749992370372631"/>
      <name val="Calibri"/>
      <family val="2"/>
    </font>
    <font>
      <b/>
      <sz val="11"/>
      <color rgb="FF333F4F"/>
      <name val="Arial"/>
      <family val="2"/>
    </font>
    <font>
      <sz val="11"/>
      <color theme="0" tint="-0.499984740745262"/>
      <name val="Calibri"/>
      <family val="2"/>
    </font>
    <font>
      <sz val="10"/>
      <name val="Arial"/>
    </font>
    <font>
      <sz val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33F4F"/>
        <bgColor rgb="FF333F4F"/>
      </patternFill>
    </fill>
    <fill>
      <patternFill patternType="solid">
        <fgColor rgb="FFF8CBAD"/>
        <bgColor rgb="FFF8CBAD"/>
      </patternFill>
    </fill>
    <fill>
      <patternFill patternType="solid">
        <fgColor rgb="FFC9C9C9"/>
        <bgColor rgb="FFC9C9C9"/>
      </patternFill>
    </fill>
    <fill>
      <patternFill patternType="solid">
        <fgColor rgb="FFBDD7EE"/>
        <bgColor rgb="FFBDD7EE"/>
      </patternFill>
    </fill>
    <fill>
      <patternFill patternType="solid">
        <fgColor rgb="FFE2EFDA"/>
        <bgColor rgb="FFE2EFDA"/>
      </patternFill>
    </fill>
    <fill>
      <patternFill patternType="solid">
        <fgColor rgb="FFBFBFBF"/>
        <bgColor rgb="FFBFBFBF"/>
      </patternFill>
    </fill>
    <fill>
      <patternFill patternType="solid">
        <fgColor rgb="FFDBDBDB"/>
        <bgColor rgb="FFDBDBDB"/>
      </patternFill>
    </fill>
    <fill>
      <patternFill patternType="solid">
        <fgColor rgb="FFD9D9D9"/>
        <bgColor rgb="FFD9D9D9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rgb="FF333F4F"/>
      </left>
      <right/>
      <top style="medium">
        <color rgb="FF333F4F"/>
      </top>
      <bottom style="thin">
        <color rgb="FFDDEBF7"/>
      </bottom>
      <diagonal/>
    </border>
    <border>
      <left/>
      <right/>
      <top style="medium">
        <color rgb="FF333F4F"/>
      </top>
      <bottom style="medium">
        <color rgb="FF333F4F"/>
      </bottom>
      <diagonal/>
    </border>
    <border>
      <left style="thin">
        <color rgb="FFDDEBF7"/>
      </left>
      <right/>
      <top style="medium">
        <color rgb="FF333F4F"/>
      </top>
      <bottom style="medium">
        <color rgb="FF333F4F"/>
      </bottom>
      <diagonal/>
    </border>
    <border>
      <left style="thin">
        <color rgb="FFDDEBF7"/>
      </left>
      <right style="thin">
        <color rgb="FFDDEBF7"/>
      </right>
      <top style="medium">
        <color rgb="FF333F4F"/>
      </top>
      <bottom style="medium">
        <color rgb="FF333F4F"/>
      </bottom>
      <diagonal/>
    </border>
    <border>
      <left style="thin">
        <color rgb="FFDDEBF7"/>
      </left>
      <right style="medium">
        <color rgb="FF333F4F"/>
      </right>
      <top style="medium">
        <color rgb="FF333F4F"/>
      </top>
      <bottom style="medium">
        <color rgb="FF333F4F"/>
      </bottom>
      <diagonal/>
    </border>
    <border>
      <left style="medium">
        <color rgb="FF333F4F"/>
      </left>
      <right style="medium">
        <color rgb="FF333F4F"/>
      </right>
      <top style="medium">
        <color rgb="FF333F4F"/>
      </top>
      <bottom style="medium">
        <color rgb="FF333F4F"/>
      </bottom>
      <diagonal/>
    </border>
    <border>
      <left style="medium">
        <color rgb="FF333F4F"/>
      </left>
      <right/>
      <top style="medium">
        <color rgb="FF333F4F"/>
      </top>
      <bottom style="medium">
        <color rgb="FF333F4F"/>
      </bottom>
      <diagonal/>
    </border>
    <border>
      <left style="medium">
        <color rgb="FF333F4F"/>
      </left>
      <right style="medium">
        <color rgb="FF333F4F"/>
      </right>
      <top style="thin">
        <color rgb="FFDDEBF7"/>
      </top>
      <bottom/>
      <diagonal/>
    </border>
    <border>
      <left style="medium">
        <color rgb="FF333F4F"/>
      </left>
      <right style="medium">
        <color rgb="FF333F4F"/>
      </right>
      <top style="thin">
        <color rgb="FFDDEBF7"/>
      </top>
      <bottom style="thin">
        <color rgb="FFDDEBF7"/>
      </bottom>
      <diagonal/>
    </border>
    <border>
      <left style="medium">
        <color rgb="FF333F4F"/>
      </left>
      <right style="medium">
        <color rgb="FF333F4F"/>
      </right>
      <top/>
      <bottom style="thin">
        <color rgb="FFDDEBF7"/>
      </bottom>
      <diagonal/>
    </border>
    <border>
      <left style="medium">
        <color rgb="FF333F4F"/>
      </left>
      <right style="medium">
        <color rgb="FF333F4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333F4F"/>
      </left>
      <right/>
      <top style="thin">
        <color rgb="FFDDEBF7"/>
      </top>
      <bottom style="thin">
        <color rgb="FFDDEBF7"/>
      </bottom>
      <diagonal/>
    </border>
    <border>
      <left style="medium">
        <color rgb="FF333F4F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114">
    <xf numFmtId="0" fontId="0" fillId="0" borderId="0" xfId="0"/>
    <xf numFmtId="0" fontId="0" fillId="2" borderId="0" xfId="1" applyFont="1" applyFill="1" applyProtection="1"/>
    <xf numFmtId="0" fontId="0" fillId="0" borderId="0" xfId="1" applyFont="1" applyAlignment="1" applyProtection="1">
      <alignment horizontal="center"/>
    </xf>
    <xf numFmtId="0" fontId="0" fillId="0" borderId="0" xfId="1" applyFont="1" applyProtection="1"/>
    <xf numFmtId="0" fontId="2" fillId="3" borderId="2" xfId="1" applyFont="1" applyFill="1" applyBorder="1" applyAlignment="1" applyProtection="1">
      <alignment vertical="center"/>
    </xf>
    <xf numFmtId="0" fontId="2" fillId="3" borderId="3" xfId="1" applyFont="1" applyFill="1" applyBorder="1" applyAlignment="1" applyProtection="1">
      <alignment vertical="center"/>
    </xf>
    <xf numFmtId="0" fontId="2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center" vertical="top" wrapText="1"/>
    </xf>
    <xf numFmtId="0" fontId="3" fillId="0" borderId="0" xfId="1" applyFont="1" applyAlignment="1" applyProtection="1">
      <alignment horizontal="right" vertical="top" wrapText="1"/>
    </xf>
    <xf numFmtId="0" fontId="6" fillId="3" borderId="9" xfId="1" applyFont="1" applyFill="1" applyBorder="1" applyAlignment="1" applyProtection="1">
      <alignment horizontal="left" vertical="center" wrapText="1"/>
    </xf>
    <xf numFmtId="2" fontId="7" fillId="0" borderId="10" xfId="1" applyNumberFormat="1" applyFont="1" applyBorder="1" applyAlignment="1" applyProtection="1">
      <alignment horizontal="center" vertical="center" wrapText="1"/>
    </xf>
    <xf numFmtId="164" fontId="7" fillId="0" borderId="10" xfId="1" applyNumberFormat="1" applyFont="1" applyBorder="1" applyAlignment="1" applyProtection="1">
      <alignment horizontal="left" vertical="center" wrapText="1"/>
    </xf>
    <xf numFmtId="2" fontId="8" fillId="0" borderId="0" xfId="1" applyNumberFormat="1" applyFont="1" applyAlignment="1" applyProtection="1">
      <alignment horizontal="right" vertical="center" wrapText="1"/>
    </xf>
    <xf numFmtId="164" fontId="7" fillId="0" borderId="9" xfId="1" applyNumberFormat="1" applyFont="1" applyBorder="1" applyAlignment="1" applyProtection="1">
      <alignment horizontal="left" vertical="center" wrapText="1"/>
    </xf>
    <xf numFmtId="0" fontId="6" fillId="3" borderId="8" xfId="1" applyFont="1" applyFill="1" applyBorder="1" applyAlignment="1" applyProtection="1">
      <alignment horizontal="left" vertical="center" wrapText="1"/>
    </xf>
    <xf numFmtId="2" fontId="0" fillId="0" borderId="0" xfId="1" applyNumberFormat="1" applyFont="1" applyAlignment="1" applyProtection="1">
      <alignment horizontal="center"/>
    </xf>
    <xf numFmtId="0" fontId="10" fillId="0" borderId="0" xfId="1" applyFont="1" applyAlignment="1" applyProtection="1">
      <alignment horizontal="left" vertical="center" wrapText="1"/>
    </xf>
    <xf numFmtId="165" fontId="7" fillId="0" borderId="12" xfId="1" applyNumberFormat="1" applyFont="1" applyBorder="1" applyAlignment="1" applyProtection="1">
      <alignment horizontal="center" wrapText="1"/>
    </xf>
    <xf numFmtId="2" fontId="5" fillId="0" borderId="0" xfId="1" applyNumberFormat="1" applyFont="1" applyAlignment="1" applyProtection="1">
      <alignment horizontal="center" vertical="center" wrapText="1"/>
    </xf>
    <xf numFmtId="0" fontId="6" fillId="0" borderId="0" xfId="1" applyFont="1" applyAlignment="1" applyProtection="1">
      <alignment horizontal="left" vertical="center" wrapText="1"/>
    </xf>
    <xf numFmtId="165" fontId="7" fillId="0" borderId="0" xfId="1" applyNumberFormat="1" applyFont="1" applyAlignment="1" applyProtection="1">
      <alignment horizontal="center" wrapText="1"/>
    </xf>
    <xf numFmtId="165" fontId="0" fillId="0" borderId="0" xfId="1" applyNumberFormat="1" applyFont="1" applyAlignment="1" applyProtection="1">
      <alignment horizontal="center" vertical="center"/>
    </xf>
    <xf numFmtId="1" fontId="0" fillId="0" borderId="0" xfId="1" applyNumberFormat="1" applyFont="1" applyAlignment="1" applyProtection="1">
      <alignment horizontal="center" vertical="center"/>
    </xf>
    <xf numFmtId="0" fontId="0" fillId="0" borderId="0" xfId="1" applyFont="1" applyAlignment="1" applyProtection="1">
      <alignment horizontal="center" vertical="center"/>
    </xf>
    <xf numFmtId="0" fontId="11" fillId="8" borderId="0" xfId="1" applyFont="1" applyFill="1" applyAlignment="1" applyProtection="1">
      <alignment horizontal="left" vertical="center" wrapText="1"/>
    </xf>
    <xf numFmtId="2" fontId="0" fillId="0" borderId="0" xfId="1" applyNumberFormat="1" applyFont="1" applyProtection="1"/>
    <xf numFmtId="164" fontId="0" fillId="4" borderId="0" xfId="1" applyNumberFormat="1" applyFont="1" applyFill="1" applyProtection="1"/>
    <xf numFmtId="164" fontId="0" fillId="9" borderId="0" xfId="1" applyNumberFormat="1" applyFont="1" applyFill="1" applyProtection="1"/>
    <xf numFmtId="164" fontId="0" fillId="6" borderId="0" xfId="1" applyNumberFormat="1" applyFont="1" applyFill="1" applyProtection="1"/>
    <xf numFmtId="164" fontId="0" fillId="7" borderId="0" xfId="1" applyNumberFormat="1" applyFont="1" applyFill="1" applyProtection="1"/>
    <xf numFmtId="0" fontId="0" fillId="0" borderId="0" xfId="0" applyAlignment="1">
      <alignment wrapText="1"/>
    </xf>
    <xf numFmtId="0" fontId="0" fillId="0" borderId="0" xfId="1" applyFont="1" applyAlignment="1" applyProtection="1">
      <alignment horizontal="center" vertical="center" wrapText="1"/>
    </xf>
    <xf numFmtId="2" fontId="0" fillId="10" borderId="0" xfId="1" applyNumberFormat="1" applyFont="1" applyFill="1" applyAlignment="1" applyProtection="1">
      <alignment horizontal="center"/>
    </xf>
    <xf numFmtId="2" fontId="0" fillId="0" borderId="0" xfId="1" applyNumberFormat="1" applyFont="1" applyAlignment="1" applyProtection="1">
      <alignment horizontal="center" vertical="center"/>
    </xf>
    <xf numFmtId="0" fontId="6" fillId="0" borderId="11" xfId="1" applyFont="1" applyBorder="1" applyAlignment="1" applyProtection="1">
      <alignment horizontal="left" vertical="center" wrapText="1"/>
    </xf>
    <xf numFmtId="0" fontId="12" fillId="0" borderId="0" xfId="1" applyFont="1" applyAlignment="1" applyProtection="1">
      <alignment horizontal="center" vertical="center"/>
    </xf>
    <xf numFmtId="165" fontId="0" fillId="0" borderId="0" xfId="1" applyNumberFormat="1" applyFont="1" applyAlignment="1" applyProtection="1">
      <alignment horizontal="center"/>
    </xf>
    <xf numFmtId="164" fontId="0" fillId="0" borderId="0" xfId="1" applyNumberFormat="1" applyFont="1" applyAlignment="1" applyProtection="1">
      <alignment horizontal="center" vertical="center"/>
    </xf>
    <xf numFmtId="164" fontId="0" fillId="0" borderId="0" xfId="1" applyNumberFormat="1" applyFont="1" applyProtection="1"/>
    <xf numFmtId="165" fontId="0" fillId="0" borderId="0" xfId="1" applyNumberFormat="1" applyFont="1" applyAlignment="1" applyProtection="1">
      <alignment horizontal="right"/>
    </xf>
    <xf numFmtId="165" fontId="0" fillId="0" borderId="0" xfId="1" applyNumberFormat="1" applyFont="1" applyProtection="1"/>
    <xf numFmtId="0" fontId="0" fillId="0" borderId="0" xfId="1" applyFont="1" applyBorder="1" applyProtection="1"/>
    <xf numFmtId="165" fontId="0" fillId="10" borderId="0" xfId="1" applyNumberFormat="1" applyFont="1" applyFill="1" applyAlignment="1" applyProtection="1">
      <alignment horizontal="center"/>
    </xf>
    <xf numFmtId="0" fontId="14" fillId="0" borderId="0" xfId="1" applyFont="1" applyAlignment="1" applyProtection="1">
      <alignment horizontal="left" vertical="center" wrapText="1"/>
    </xf>
    <xf numFmtId="164" fontId="0" fillId="0" borderId="0" xfId="1" applyNumberFormat="1" applyFont="1" applyBorder="1" applyProtection="1"/>
    <xf numFmtId="2" fontId="0" fillId="0" borderId="0" xfId="1" applyNumberFormat="1" applyFont="1" applyBorder="1" applyProtection="1"/>
    <xf numFmtId="0" fontId="10" fillId="0" borderId="0" xfId="0" applyFont="1" applyAlignment="1">
      <alignment horizontal="left" vertical="center" wrapText="1"/>
    </xf>
    <xf numFmtId="165" fontId="7" fillId="0" borderId="12" xfId="0" applyNumberFormat="1" applyFont="1" applyBorder="1" applyAlignment="1">
      <alignment horizontal="center" wrapText="1"/>
    </xf>
    <xf numFmtId="165" fontId="0" fillId="0" borderId="0" xfId="0" applyNumberFormat="1"/>
    <xf numFmtId="0" fontId="6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15" fillId="11" borderId="0" xfId="0" applyFont="1" applyFill="1" applyAlignment="1">
      <alignment horizontal="left" vertical="center" wrapText="1"/>
    </xf>
    <xf numFmtId="165" fontId="16" fillId="0" borderId="12" xfId="0" applyNumberFormat="1" applyFont="1" applyBorder="1" applyAlignment="1">
      <alignment horizontal="left" wrapText="1"/>
    </xf>
    <xf numFmtId="0" fontId="6" fillId="12" borderId="0" xfId="0" applyFont="1" applyFill="1" applyAlignment="1">
      <alignment horizontal="left" vertical="center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0" fillId="13" borderId="0" xfId="0" applyFill="1"/>
    <xf numFmtId="0" fontId="0" fillId="14" borderId="0" xfId="0" applyFill="1"/>
    <xf numFmtId="0" fontId="6" fillId="0" borderId="0" xfId="0" applyFont="1" applyAlignment="1">
      <alignment horizontal="left" vertical="center" wrapText="1"/>
    </xf>
    <xf numFmtId="165" fontId="7" fillId="0" borderId="0" xfId="0" applyNumberFormat="1" applyFont="1" applyAlignment="1">
      <alignment horizontal="center" wrapText="1"/>
    </xf>
    <xf numFmtId="0" fontId="12" fillId="0" borderId="0" xfId="0" applyFont="1"/>
    <xf numFmtId="1" fontId="0" fillId="0" borderId="0" xfId="0" applyNumberFormat="1"/>
    <xf numFmtId="2" fontId="0" fillId="0" borderId="0" xfId="0" applyNumberFormat="1" applyAlignment="1">
      <alignment wrapText="1"/>
    </xf>
    <xf numFmtId="0" fontId="4" fillId="0" borderId="0" xfId="0" applyFont="1" applyAlignment="1">
      <alignment horizontal="center" textRotation="90" wrapText="1"/>
    </xf>
    <xf numFmtId="1" fontId="0" fillId="0" borderId="0" xfId="0" applyNumberFormat="1" applyAlignment="1">
      <alignment wrapText="1"/>
    </xf>
    <xf numFmtId="0" fontId="3" fillId="4" borderId="4" xfId="1" applyFont="1" applyFill="1" applyBorder="1" applyAlignment="1" applyProtection="1">
      <alignment vertical="center" wrapText="1"/>
    </xf>
    <xf numFmtId="0" fontId="3" fillId="5" borderId="5" xfId="1" applyFont="1" applyFill="1" applyBorder="1" applyAlignment="1" applyProtection="1">
      <alignment vertical="center" wrapText="1"/>
    </xf>
    <xf numFmtId="0" fontId="3" fillId="6" borderId="6" xfId="1" applyFont="1" applyFill="1" applyBorder="1" applyAlignment="1" applyProtection="1">
      <alignment vertical="top" wrapText="1"/>
    </xf>
    <xf numFmtId="0" fontId="3" fillId="7" borderId="6" xfId="1" applyFont="1" applyFill="1" applyBorder="1" applyAlignment="1" applyProtection="1">
      <alignment vertical="top" wrapText="1"/>
    </xf>
    <xf numFmtId="49" fontId="3" fillId="7" borderId="7" xfId="1" applyNumberFormat="1" applyFont="1" applyFill="1" applyBorder="1" applyAlignment="1" applyProtection="1">
      <alignment vertical="top" wrapText="1"/>
    </xf>
    <xf numFmtId="165" fontId="7" fillId="0" borderId="15" xfId="0" applyNumberFormat="1" applyFont="1" applyBorder="1" applyAlignment="1">
      <alignment horizontal="center" wrapText="1"/>
    </xf>
    <xf numFmtId="165" fontId="7" fillId="0" borderId="0" xfId="0" quotePrefix="1" applyNumberFormat="1" applyFont="1" applyAlignment="1">
      <alignment horizontal="center" wrapText="1"/>
    </xf>
    <xf numFmtId="165" fontId="7" fillId="0" borderId="0" xfId="1" applyNumberFormat="1" applyFont="1" applyBorder="1" applyAlignment="1" applyProtection="1">
      <alignment horizontal="center" wrapText="1"/>
    </xf>
    <xf numFmtId="165" fontId="13" fillId="0" borderId="0" xfId="1" applyNumberFormat="1" applyFont="1" applyBorder="1" applyAlignment="1" applyProtection="1">
      <alignment horizontal="center" wrapText="1"/>
    </xf>
    <xf numFmtId="2" fontId="13" fillId="0" borderId="0" xfId="1" applyNumberFormat="1" applyFont="1" applyAlignment="1" applyProtection="1">
      <alignment horizontal="center" vertical="center" wrapText="1"/>
    </xf>
    <xf numFmtId="2" fontId="7" fillId="0" borderId="0" xfId="1" applyNumberFormat="1" applyFont="1" applyAlignment="1" applyProtection="1">
      <alignment horizontal="center" wrapText="1"/>
    </xf>
    <xf numFmtId="1" fontId="13" fillId="0" borderId="0" xfId="1" applyNumberFormat="1" applyFont="1" applyAlignment="1" applyProtection="1">
      <alignment horizontal="center" vertical="center" wrapText="1"/>
    </xf>
    <xf numFmtId="0" fontId="18" fillId="0" borderId="0" xfId="1" applyFont="1" applyAlignment="1" applyProtection="1">
      <alignment horizontal="left" vertical="center" wrapText="1"/>
    </xf>
    <xf numFmtId="164" fontId="7" fillId="0" borderId="0" xfId="1" applyNumberFormat="1" applyFont="1" applyAlignment="1" applyProtection="1">
      <alignment horizontal="center" wrapText="1"/>
    </xf>
    <xf numFmtId="0" fontId="4" fillId="0" borderId="0" xfId="1" applyFont="1" applyBorder="1" applyAlignment="1" applyProtection="1">
      <alignment horizontal="center" textRotation="90" wrapText="1"/>
    </xf>
    <xf numFmtId="0" fontId="0" fillId="15" borderId="0" xfId="0" applyFill="1" applyAlignment="1">
      <alignment wrapText="1"/>
    </xf>
    <xf numFmtId="2" fontId="7" fillId="0" borderId="12" xfId="0" applyNumberFormat="1" applyFont="1" applyBorder="1" applyAlignment="1">
      <alignment horizontal="center" wrapText="1"/>
    </xf>
    <xf numFmtId="2" fontId="7" fillId="0" borderId="15" xfId="0" applyNumberFormat="1" applyFont="1" applyBorder="1" applyAlignment="1">
      <alignment horizontal="center" wrapText="1"/>
    </xf>
    <xf numFmtId="0" fontId="19" fillId="0" borderId="11" xfId="1" applyFont="1" applyBorder="1" applyAlignment="1" applyProtection="1">
      <alignment horizontal="left" vertical="center" wrapText="1"/>
    </xf>
    <xf numFmtId="0" fontId="21" fillId="16" borderId="0" xfId="0" applyFont="1" applyFill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167" fontId="0" fillId="0" borderId="0" xfId="0" applyNumberFormat="1"/>
    <xf numFmtId="0" fontId="6" fillId="0" borderId="8" xfId="1" applyFont="1" applyBorder="1" applyAlignment="1" applyProtection="1">
      <alignment horizontal="left" vertical="center" wrapText="1"/>
    </xf>
    <xf numFmtId="0" fontId="6" fillId="0" borderId="9" xfId="1" applyFont="1" applyBorder="1" applyAlignment="1" applyProtection="1">
      <alignment horizontal="left" vertical="center" wrapText="1"/>
    </xf>
    <xf numFmtId="0" fontId="23" fillId="0" borderId="0" xfId="1" applyFont="1" applyProtection="1"/>
    <xf numFmtId="0" fontId="6" fillId="0" borderId="13" xfId="1" applyFont="1" applyBorder="1" applyAlignment="1" applyProtection="1">
      <alignment horizontal="left" vertical="center" wrapText="1"/>
    </xf>
    <xf numFmtId="0" fontId="6" fillId="0" borderId="14" xfId="1" applyFont="1" applyBorder="1" applyAlignment="1" applyProtection="1">
      <alignment horizontal="left" vertical="center" wrapText="1"/>
    </xf>
    <xf numFmtId="0" fontId="9" fillId="0" borderId="9" xfId="1" applyFont="1" applyBorder="1" applyAlignment="1" applyProtection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2" fontId="7" fillId="0" borderId="12" xfId="1" applyNumberFormat="1" applyFont="1" applyBorder="1" applyAlignment="1" applyProtection="1">
      <alignment horizontal="center" wrapText="1"/>
    </xf>
    <xf numFmtId="166" fontId="0" fillId="4" borderId="0" xfId="1" applyNumberFormat="1" applyFont="1" applyFill="1" applyProtection="1"/>
    <xf numFmtId="166" fontId="0" fillId="9" borderId="0" xfId="1" applyNumberFormat="1" applyFont="1" applyFill="1" applyProtection="1"/>
    <xf numFmtId="166" fontId="0" fillId="6" borderId="0" xfId="1" applyNumberFormat="1" applyFont="1" applyFill="1" applyProtection="1"/>
    <xf numFmtId="166" fontId="0" fillId="7" borderId="0" xfId="1" applyNumberFormat="1" applyFont="1" applyFill="1" applyProtection="1"/>
    <xf numFmtId="168" fontId="7" fillId="0" borderId="0" xfId="1" applyNumberFormat="1" applyFont="1" applyAlignment="1" applyProtection="1">
      <alignment horizontal="center" wrapText="1"/>
    </xf>
    <xf numFmtId="164" fontId="13" fillId="0" borderId="0" xfId="1" applyNumberFormat="1" applyFont="1" applyAlignment="1" applyProtection="1">
      <alignment horizontal="center" vertical="center" wrapText="1"/>
    </xf>
    <xf numFmtId="164" fontId="13" fillId="0" borderId="0" xfId="1" applyNumberFormat="1" applyFont="1" applyBorder="1" applyAlignment="1" applyProtection="1">
      <alignment horizontal="center" wrapText="1"/>
    </xf>
    <xf numFmtId="166" fontId="5" fillId="0" borderId="0" xfId="1" applyNumberFormat="1" applyFont="1" applyAlignment="1" applyProtection="1">
      <alignment horizontal="center" vertical="center" wrapText="1"/>
    </xf>
    <xf numFmtId="49" fontId="22" fillId="7" borderId="6" xfId="1" applyNumberFormat="1" applyFont="1" applyFill="1" applyBorder="1" applyAlignment="1" applyProtection="1">
      <alignment horizontal="right" vertical="top" wrapText="1"/>
    </xf>
    <xf numFmtId="0" fontId="6" fillId="3" borderId="1" xfId="1" applyFont="1" applyFill="1" applyBorder="1" applyAlignment="1" applyProtection="1">
      <alignment horizontal="center" vertical="center"/>
    </xf>
    <xf numFmtId="0" fontId="22" fillId="4" borderId="4" xfId="1" applyFont="1" applyFill="1" applyBorder="1" applyAlignment="1" applyProtection="1">
      <alignment vertical="center" wrapText="1"/>
    </xf>
    <xf numFmtId="0" fontId="22" fillId="5" borderId="5" xfId="1" applyFont="1" applyFill="1" applyBorder="1" applyAlignment="1" applyProtection="1">
      <alignment vertical="center" wrapText="1"/>
    </xf>
    <xf numFmtId="0" fontId="22" fillId="6" borderId="6" xfId="1" applyFont="1" applyFill="1" applyBorder="1" applyAlignment="1" applyProtection="1">
      <alignment horizontal="right" vertical="top" wrapText="1"/>
    </xf>
    <xf numFmtId="0" fontId="22" fillId="7" borderId="6" xfId="1" applyFont="1" applyFill="1" applyBorder="1" applyAlignment="1" applyProtection="1">
      <alignment horizontal="right" vertical="top" wrapText="1"/>
    </xf>
    <xf numFmtId="0" fontId="0" fillId="0" borderId="0" xfId="1" applyFont="1" applyAlignment="1" applyProtection="1">
      <alignment horizontal="left" wrapText="1"/>
    </xf>
    <xf numFmtId="0" fontId="17" fillId="12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0" fillId="12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56028</xdr:colOff>
      <xdr:row>21</xdr:row>
      <xdr:rowOff>56534</xdr:rowOff>
    </xdr:from>
    <xdr:to>
      <xdr:col>40</xdr:col>
      <xdr:colOff>559741</xdr:colOff>
      <xdr:row>35</xdr:row>
      <xdr:rowOff>8999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21403" y="5333384"/>
          <a:ext cx="4732813" cy="2895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56028</xdr:colOff>
      <xdr:row>21</xdr:row>
      <xdr:rowOff>56534</xdr:rowOff>
    </xdr:from>
    <xdr:to>
      <xdr:col>40</xdr:col>
      <xdr:colOff>559741</xdr:colOff>
      <xdr:row>35</xdr:row>
      <xdr:rowOff>8999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82FABF-8672-492A-BE48-6503C10BD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21403" y="5714384"/>
          <a:ext cx="4732813" cy="2895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56028</xdr:colOff>
      <xdr:row>21</xdr:row>
      <xdr:rowOff>56534</xdr:rowOff>
    </xdr:from>
    <xdr:to>
      <xdr:col>40</xdr:col>
      <xdr:colOff>559741</xdr:colOff>
      <xdr:row>35</xdr:row>
      <xdr:rowOff>8999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21403" y="5333384"/>
          <a:ext cx="4732813" cy="28956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56028</xdr:colOff>
      <xdr:row>21</xdr:row>
      <xdr:rowOff>56534</xdr:rowOff>
    </xdr:from>
    <xdr:to>
      <xdr:col>40</xdr:col>
      <xdr:colOff>559741</xdr:colOff>
      <xdr:row>35</xdr:row>
      <xdr:rowOff>8999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03B24C-D8B3-45F3-9DEC-3638A3915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21403" y="5714384"/>
          <a:ext cx="4732813" cy="2895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39"/>
  <sheetViews>
    <sheetView topLeftCell="B1" workbookViewId="0">
      <selection activeCell="D3" sqref="D3:U3"/>
    </sheetView>
  </sheetViews>
  <sheetFormatPr defaultRowHeight="15" x14ac:dyDescent="0.25"/>
  <cols>
    <col min="1" max="2" width="2.85546875" style="1" customWidth="1"/>
    <col min="3" max="3" width="30.5703125" style="3" customWidth="1"/>
    <col min="4" max="4" width="7.28515625" style="3" customWidth="1"/>
    <col min="5" max="21" width="5.5703125" style="3" customWidth="1"/>
    <col min="22" max="22" width="11" style="2" customWidth="1"/>
    <col min="23" max="23" width="10" style="3" customWidth="1"/>
    <col min="24" max="24" width="25.28515625" style="3" customWidth="1"/>
    <col min="25" max="25" width="9.140625" style="3" customWidth="1"/>
    <col min="26" max="31" width="9.140625" style="3"/>
    <col min="32" max="32" width="8.85546875" style="3" customWidth="1"/>
    <col min="33" max="16384" width="9.140625" style="3"/>
  </cols>
  <sheetData>
    <row r="1" spans="1:24" s="1" customFormat="1" ht="7.5" customHeight="1" thickBot="1" x14ac:dyDescent="0.3">
      <c r="V1" s="2"/>
      <c r="W1" s="3"/>
    </row>
    <row r="2" spans="1:24" ht="13.5" customHeight="1" thickBot="1" x14ac:dyDescent="0.3">
      <c r="C2" s="105" t="s">
        <v>0</v>
      </c>
      <c r="D2" s="4"/>
      <c r="E2" s="4"/>
      <c r="F2" s="4"/>
      <c r="G2" s="4"/>
      <c r="H2" s="5" t="s">
        <v>1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6"/>
      <c r="W2" s="6"/>
    </row>
    <row r="3" spans="1:24" ht="15.75" thickBot="1" x14ac:dyDescent="0.3">
      <c r="C3" s="105"/>
      <c r="D3" s="106" t="s">
        <v>102</v>
      </c>
      <c r="E3" s="106"/>
      <c r="F3" s="106"/>
      <c r="G3" s="106"/>
      <c r="H3" s="107" t="s">
        <v>103</v>
      </c>
      <c r="I3" s="107"/>
      <c r="J3" s="107"/>
      <c r="K3" s="107"/>
      <c r="L3" s="108" t="s">
        <v>104</v>
      </c>
      <c r="M3" s="108"/>
      <c r="N3" s="108"/>
      <c r="O3" s="108"/>
      <c r="P3" s="109" t="s">
        <v>105</v>
      </c>
      <c r="Q3" s="109"/>
      <c r="R3" s="109"/>
      <c r="S3" s="104" t="s">
        <v>106</v>
      </c>
      <c r="T3" s="104"/>
      <c r="U3" s="104"/>
      <c r="V3" s="7"/>
      <c r="W3" s="8"/>
    </row>
    <row r="4" spans="1:24" s="1" customFormat="1" ht="28.5" x14ac:dyDescent="0.25">
      <c r="C4" s="14" t="s">
        <v>87</v>
      </c>
      <c r="D4" s="9">
        <v>3.3333333333333335</v>
      </c>
      <c r="E4" s="9">
        <v>2.6666666666666665</v>
      </c>
      <c r="F4" s="9">
        <v>3.3333333333333335</v>
      </c>
      <c r="G4" s="9">
        <v>4.666666666666667</v>
      </c>
      <c r="H4" s="9">
        <v>0.66666666666666663</v>
      </c>
      <c r="I4" s="9">
        <v>0.33333333333333331</v>
      </c>
      <c r="J4" s="9">
        <v>0.33333333333333331</v>
      </c>
      <c r="K4" s="9">
        <v>1</v>
      </c>
      <c r="L4" s="9">
        <v>2.3333333333333335</v>
      </c>
      <c r="M4" s="9">
        <v>1.3333333333333333</v>
      </c>
      <c r="N4" s="9" t="s">
        <v>75</v>
      </c>
      <c r="O4" s="9">
        <v>1</v>
      </c>
      <c r="P4" s="9">
        <v>0.33333333333333331</v>
      </c>
      <c r="Q4" s="9">
        <v>1</v>
      </c>
      <c r="R4" s="9">
        <v>3.3333333333333335</v>
      </c>
      <c r="S4" s="9" t="s">
        <v>75</v>
      </c>
      <c r="T4" s="9">
        <v>0.66666666666666663</v>
      </c>
      <c r="U4" s="9">
        <v>0.33333333333333331</v>
      </c>
      <c r="V4" s="10">
        <f t="shared" ref="V4:V6" si="0">SUM(D4:U4)</f>
        <v>26.666666666666664</v>
      </c>
      <c r="W4" s="11">
        <f t="shared" ref="W4:W13" si="1">V4/$V$14</f>
        <v>1.4084507042253522</v>
      </c>
      <c r="X4" s="12"/>
    </row>
    <row r="5" spans="1:24" s="1" customFormat="1" x14ac:dyDescent="0.25">
      <c r="C5" s="14" t="s">
        <v>88</v>
      </c>
      <c r="D5" s="9">
        <v>1</v>
      </c>
      <c r="E5" s="9" t="s">
        <v>75</v>
      </c>
      <c r="F5" s="9">
        <v>1.5</v>
      </c>
      <c r="G5" s="9">
        <v>1</v>
      </c>
      <c r="H5" s="9" t="s">
        <v>75</v>
      </c>
      <c r="I5" s="9">
        <v>1</v>
      </c>
      <c r="J5" s="9">
        <v>1.5</v>
      </c>
      <c r="K5" s="9">
        <v>1</v>
      </c>
      <c r="L5" s="9">
        <v>2</v>
      </c>
      <c r="M5" s="9">
        <v>3</v>
      </c>
      <c r="N5" s="9">
        <v>5</v>
      </c>
      <c r="O5" s="9">
        <v>6</v>
      </c>
      <c r="P5" s="9">
        <v>1</v>
      </c>
      <c r="Q5" s="9">
        <v>2</v>
      </c>
      <c r="R5" s="9" t="s">
        <v>75</v>
      </c>
      <c r="S5" s="9">
        <v>1.5</v>
      </c>
      <c r="T5" s="9">
        <v>3</v>
      </c>
      <c r="U5" s="9">
        <v>1</v>
      </c>
      <c r="V5" s="10">
        <f t="shared" si="0"/>
        <v>31.5</v>
      </c>
      <c r="W5" s="13">
        <f t="shared" si="1"/>
        <v>1.6637323943661975</v>
      </c>
      <c r="X5" s="12"/>
    </row>
    <row r="6" spans="1:24" s="1" customFormat="1" ht="28.5" x14ac:dyDescent="0.25">
      <c r="C6" s="14" t="s">
        <v>89</v>
      </c>
      <c r="D6" s="9">
        <v>0.75</v>
      </c>
      <c r="E6" s="9">
        <v>1.75</v>
      </c>
      <c r="F6" s="9">
        <v>0.5</v>
      </c>
      <c r="G6" s="9">
        <v>0.75</v>
      </c>
      <c r="H6" s="9">
        <v>0.25</v>
      </c>
      <c r="I6" s="9" t="s">
        <v>75</v>
      </c>
      <c r="J6" s="9">
        <v>0.5</v>
      </c>
      <c r="K6" s="9">
        <v>0.5</v>
      </c>
      <c r="L6" s="9">
        <v>2</v>
      </c>
      <c r="M6" s="9">
        <v>0.25</v>
      </c>
      <c r="N6" s="9" t="s">
        <v>75</v>
      </c>
      <c r="O6" s="9">
        <v>1</v>
      </c>
      <c r="P6" s="9">
        <v>4.5</v>
      </c>
      <c r="Q6" s="9">
        <v>3.5</v>
      </c>
      <c r="R6" s="9">
        <v>1</v>
      </c>
      <c r="S6" s="9">
        <v>1.5</v>
      </c>
      <c r="T6" s="9">
        <v>1.25</v>
      </c>
      <c r="U6" s="9">
        <v>1</v>
      </c>
      <c r="V6" s="10">
        <f t="shared" si="0"/>
        <v>21</v>
      </c>
      <c r="W6" s="13">
        <f t="shared" si="1"/>
        <v>1.109154929577465</v>
      </c>
      <c r="X6" s="12"/>
    </row>
    <row r="7" spans="1:24" s="1" customFormat="1" x14ac:dyDescent="0.25">
      <c r="C7" s="14" t="s">
        <v>90</v>
      </c>
      <c r="D7" s="9">
        <v>2</v>
      </c>
      <c r="E7" s="9">
        <v>0.66666666666666663</v>
      </c>
      <c r="F7" s="9">
        <v>2</v>
      </c>
      <c r="G7" s="9">
        <v>1.6666666666666667</v>
      </c>
      <c r="H7" s="9">
        <v>0.33333333333333331</v>
      </c>
      <c r="I7" s="9">
        <v>0.66666666666666663</v>
      </c>
      <c r="J7" s="9">
        <v>0.33333333333333331</v>
      </c>
      <c r="K7" s="9" t="s">
        <v>75</v>
      </c>
      <c r="L7" s="9">
        <v>4</v>
      </c>
      <c r="M7" s="9">
        <v>1.6666666666666667</v>
      </c>
      <c r="N7" s="9" t="s">
        <v>75</v>
      </c>
      <c r="O7" s="9">
        <v>2</v>
      </c>
      <c r="P7" s="9">
        <v>4</v>
      </c>
      <c r="Q7" s="9">
        <v>1.3333333333333333</v>
      </c>
      <c r="R7" s="9" t="s">
        <v>75</v>
      </c>
      <c r="S7" s="9">
        <v>0.33333333333333331</v>
      </c>
      <c r="T7" s="9" t="s">
        <v>75</v>
      </c>
      <c r="U7" s="9">
        <v>2.6666666666666665</v>
      </c>
      <c r="V7" s="10">
        <f t="shared" ref="V7" si="2">SUM(D7:U7)</f>
        <v>23.666666666666664</v>
      </c>
      <c r="W7" s="13">
        <f t="shared" si="1"/>
        <v>1.25</v>
      </c>
      <c r="X7" s="12"/>
    </row>
    <row r="8" spans="1:24" s="1" customFormat="1" x14ac:dyDescent="0.25">
      <c r="C8" s="14" t="s">
        <v>91</v>
      </c>
      <c r="D8" s="9">
        <v>1</v>
      </c>
      <c r="E8" s="9">
        <v>0.66666666666666663</v>
      </c>
      <c r="F8" s="9">
        <v>1.3333333333333333</v>
      </c>
      <c r="G8" s="9">
        <v>1</v>
      </c>
      <c r="H8" s="9">
        <v>4</v>
      </c>
      <c r="I8" s="9">
        <v>1</v>
      </c>
      <c r="J8" s="9">
        <v>1</v>
      </c>
      <c r="K8" s="9">
        <v>4.666666666666667</v>
      </c>
      <c r="L8" s="9">
        <v>0.33333333333333331</v>
      </c>
      <c r="M8" s="9">
        <v>2.6666666666666665</v>
      </c>
      <c r="N8" s="9" t="s">
        <v>75</v>
      </c>
      <c r="O8" s="9">
        <v>2.6666666666666665</v>
      </c>
      <c r="P8" s="9" t="s">
        <v>75</v>
      </c>
      <c r="Q8" s="9" t="s">
        <v>75</v>
      </c>
      <c r="R8" s="9">
        <v>1.3333333333333333</v>
      </c>
      <c r="S8" s="9">
        <v>2</v>
      </c>
      <c r="T8" s="9" t="s">
        <v>75</v>
      </c>
      <c r="U8" s="9">
        <v>1</v>
      </c>
      <c r="V8" s="10">
        <f t="shared" ref="V8:V13" si="3">SUM(D8:U8)</f>
        <v>24.666666666666668</v>
      </c>
      <c r="W8" s="13">
        <f t="shared" si="1"/>
        <v>1.302816901408451</v>
      </c>
      <c r="X8" s="12"/>
    </row>
    <row r="9" spans="1:24" s="1" customFormat="1" x14ac:dyDescent="0.25">
      <c r="C9" s="14" t="s">
        <v>92</v>
      </c>
      <c r="D9" s="9">
        <v>3.3333333333333335</v>
      </c>
      <c r="E9" s="9">
        <v>2.6666666666666665</v>
      </c>
      <c r="F9" s="9">
        <v>3.3333333333333335</v>
      </c>
      <c r="G9" s="9">
        <v>2</v>
      </c>
      <c r="H9" s="9" t="s">
        <v>75</v>
      </c>
      <c r="I9" s="9">
        <v>4.666666666666667</v>
      </c>
      <c r="J9" s="9">
        <v>4</v>
      </c>
      <c r="K9" s="9">
        <v>1</v>
      </c>
      <c r="L9" s="9">
        <v>1.3333333333333333</v>
      </c>
      <c r="M9" s="9">
        <v>2</v>
      </c>
      <c r="N9" s="9">
        <v>1.6666666666666667</v>
      </c>
      <c r="O9" s="9">
        <v>1.6666666666666667</v>
      </c>
      <c r="P9" s="9" t="s">
        <v>75</v>
      </c>
      <c r="Q9" s="9" t="s">
        <v>75</v>
      </c>
      <c r="R9" s="9">
        <v>1</v>
      </c>
      <c r="S9" s="9">
        <v>2.6666666666666665</v>
      </c>
      <c r="T9" s="9">
        <v>2</v>
      </c>
      <c r="U9" s="9" t="s">
        <v>75</v>
      </c>
      <c r="V9" s="10">
        <f t="shared" si="3"/>
        <v>33.333333333333336</v>
      </c>
      <c r="W9" s="13">
        <f t="shared" si="1"/>
        <v>1.7605633802816907</v>
      </c>
      <c r="X9" s="12"/>
    </row>
    <row r="10" spans="1:24" s="1" customFormat="1" x14ac:dyDescent="0.25">
      <c r="C10" s="14" t="s">
        <v>93</v>
      </c>
      <c r="D10" s="9">
        <v>1.5</v>
      </c>
      <c r="E10" s="9">
        <v>0.5</v>
      </c>
      <c r="F10" s="9">
        <v>1.5</v>
      </c>
      <c r="G10" s="9" t="s">
        <v>75</v>
      </c>
      <c r="H10" s="9" t="s">
        <v>75</v>
      </c>
      <c r="I10" s="9">
        <v>3</v>
      </c>
      <c r="J10" s="9">
        <v>2</v>
      </c>
      <c r="K10" s="9" t="s">
        <v>75</v>
      </c>
      <c r="L10" s="9" t="s">
        <v>75</v>
      </c>
      <c r="M10" s="9">
        <v>6</v>
      </c>
      <c r="N10" s="9">
        <v>1</v>
      </c>
      <c r="O10" s="9">
        <v>2</v>
      </c>
      <c r="P10" s="9" t="s">
        <v>75</v>
      </c>
      <c r="Q10" s="9">
        <v>1</v>
      </c>
      <c r="R10" s="9">
        <v>1</v>
      </c>
      <c r="S10" s="9">
        <v>3</v>
      </c>
      <c r="T10" s="9">
        <v>5</v>
      </c>
      <c r="U10" s="9">
        <v>1</v>
      </c>
      <c r="V10" s="10">
        <f t="shared" si="3"/>
        <v>28.5</v>
      </c>
      <c r="W10" s="13">
        <f t="shared" si="1"/>
        <v>1.5052816901408452</v>
      </c>
      <c r="X10" s="12"/>
    </row>
    <row r="11" spans="1:24" s="1" customFormat="1" x14ac:dyDescent="0.25">
      <c r="C11" s="87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10">
        <f t="shared" si="3"/>
        <v>0</v>
      </c>
      <c r="W11" s="13">
        <f t="shared" si="1"/>
        <v>0</v>
      </c>
      <c r="X11" s="12"/>
    </row>
    <row r="12" spans="1:24" s="1" customFormat="1" x14ac:dyDescent="0.25">
      <c r="C12" s="87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10">
        <f t="shared" si="3"/>
        <v>0</v>
      </c>
      <c r="W12" s="13">
        <f t="shared" si="1"/>
        <v>0</v>
      </c>
      <c r="X12" s="12"/>
    </row>
    <row r="13" spans="1:24" s="1" customFormat="1" x14ac:dyDescent="0.25">
      <c r="C13" s="87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10">
        <f t="shared" si="3"/>
        <v>0</v>
      </c>
      <c r="W13" s="13">
        <f t="shared" si="1"/>
        <v>0</v>
      </c>
      <c r="X13" s="12"/>
    </row>
    <row r="14" spans="1:24" x14ac:dyDescent="0.25">
      <c r="A14" s="3"/>
      <c r="V14" s="15">
        <f>+AVERAGE(V13,V12,V11,V10,V9,V8,V7,V6,V5,V4)</f>
        <v>18.93333333333333</v>
      </c>
      <c r="W14" s="3">
        <v>1</v>
      </c>
      <c r="X14" s="3">
        <f>_xlfn.STDEV.P(W5:W13)</f>
        <v>0.7009424545375097</v>
      </c>
    </row>
    <row r="15" spans="1:24" x14ac:dyDescent="0.25">
      <c r="A15" s="3"/>
      <c r="V15" s="15"/>
    </row>
    <row r="16" spans="1:24" x14ac:dyDescent="0.25">
      <c r="A16" s="3"/>
      <c r="D16" s="89" t="s">
        <v>14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15" t="s">
        <v>94</v>
      </c>
      <c r="X16" s="31" t="s">
        <v>5</v>
      </c>
    </row>
    <row r="17" spans="1:30" x14ac:dyDescent="0.25">
      <c r="A17" s="3"/>
      <c r="D17" s="89">
        <v>0.25</v>
      </c>
      <c r="E17" s="89">
        <v>0.25</v>
      </c>
      <c r="F17" s="89">
        <v>0.25</v>
      </c>
      <c r="G17" s="89">
        <v>0.25</v>
      </c>
      <c r="H17" s="89">
        <v>0.25</v>
      </c>
      <c r="I17" s="89">
        <v>0.25</v>
      </c>
      <c r="J17" s="89">
        <v>0.25</v>
      </c>
      <c r="K17" s="89">
        <v>0.25</v>
      </c>
      <c r="L17" s="89">
        <v>0.25</v>
      </c>
      <c r="M17" s="89">
        <v>0.25</v>
      </c>
      <c r="N17" s="89">
        <v>0.25</v>
      </c>
      <c r="O17" s="89">
        <v>0.25</v>
      </c>
      <c r="P17" s="89">
        <f>1/3</f>
        <v>0.33333333333333331</v>
      </c>
      <c r="Q17" s="89">
        <f t="shared" ref="Q17:U17" si="4">1/3</f>
        <v>0.33333333333333331</v>
      </c>
      <c r="R17" s="89">
        <f t="shared" si="4"/>
        <v>0.33333333333333331</v>
      </c>
      <c r="S17" s="89">
        <f t="shared" si="4"/>
        <v>0.33333333333333331</v>
      </c>
      <c r="T17" s="89">
        <f t="shared" si="4"/>
        <v>0.33333333333333331</v>
      </c>
      <c r="U17" s="89">
        <f t="shared" si="4"/>
        <v>0.33333333333333331</v>
      </c>
      <c r="V17" s="15"/>
    </row>
    <row r="18" spans="1:30" x14ac:dyDescent="0.25">
      <c r="A18" s="3"/>
      <c r="V18" s="15"/>
    </row>
    <row r="19" spans="1:30" x14ac:dyDescent="0.25">
      <c r="A19" s="3"/>
      <c r="C19" s="14" t="s">
        <v>95</v>
      </c>
      <c r="D19" s="3">
        <f>+D4*$D$17</f>
        <v>0.83333333333333337</v>
      </c>
      <c r="E19" s="3">
        <f>+E4*$E$17</f>
        <v>0.66666666666666663</v>
      </c>
      <c r="F19" s="3">
        <f>+F4*$F$17</f>
        <v>0.83333333333333337</v>
      </c>
      <c r="G19" s="3">
        <f t="shared" ref="G19:G24" si="5">+G4*$G$17</f>
        <v>1.1666666666666667</v>
      </c>
      <c r="H19" s="3">
        <f>+H4*$H$17</f>
        <v>0.16666666666666666</v>
      </c>
      <c r="I19" s="3">
        <f>+I4*$I$17</f>
        <v>8.3333333333333329E-2</v>
      </c>
      <c r="J19" s="3">
        <f>+J4*$J$17</f>
        <v>8.3333333333333329E-2</v>
      </c>
      <c r="K19" s="3">
        <f>+K4*$K$17</f>
        <v>0.25</v>
      </c>
      <c r="L19" s="3">
        <f t="shared" ref="L19:L24" si="6">+L4*$L$17</f>
        <v>0.58333333333333337</v>
      </c>
      <c r="M19" s="3">
        <f>+M4*$M$17</f>
        <v>0.33333333333333331</v>
      </c>
      <c r="O19" s="3">
        <f>+O4*$O$17</f>
        <v>0.25</v>
      </c>
      <c r="P19" s="3">
        <f>+P4*$P$17</f>
        <v>0.1111111111111111</v>
      </c>
      <c r="Q19" s="3">
        <f>+Q4*$Q$17</f>
        <v>0.33333333333333331</v>
      </c>
      <c r="R19" s="3">
        <f>+R4*$R$17</f>
        <v>1.1111111111111112</v>
      </c>
      <c r="T19" s="3">
        <f>+T4*$T$17</f>
        <v>0.22222222222222221</v>
      </c>
      <c r="U19" s="3">
        <f>+U4*$U$17</f>
        <v>0.1111111111111111</v>
      </c>
      <c r="V19" s="15">
        <f>+SUM(D19:U19)</f>
        <v>7.1388888888888884</v>
      </c>
      <c r="X19" s="3">
        <f>$V$26/V19</f>
        <v>1.0409949972206782</v>
      </c>
    </row>
    <row r="20" spans="1:30" x14ac:dyDescent="0.25">
      <c r="A20" s="3"/>
      <c r="C20" s="14" t="s">
        <v>96</v>
      </c>
      <c r="D20" s="3">
        <f t="shared" ref="D20:D25" si="7">+D5*$D$17</f>
        <v>0.25</v>
      </c>
      <c r="F20" s="3">
        <f t="shared" ref="F20:F25" si="8">+F5*$F$17</f>
        <v>0.375</v>
      </c>
      <c r="G20" s="3">
        <f t="shared" si="5"/>
        <v>0.25</v>
      </c>
      <c r="I20" s="3">
        <f>+I5*$I$17</f>
        <v>0.25</v>
      </c>
      <c r="J20" s="3">
        <f t="shared" ref="J20:J25" si="9">+J5*$J$17</f>
        <v>0.375</v>
      </c>
      <c r="K20" s="3">
        <f>+K5*$K$17</f>
        <v>0.25</v>
      </c>
      <c r="L20" s="3">
        <f t="shared" si="6"/>
        <v>0.5</v>
      </c>
      <c r="M20" s="3">
        <f t="shared" ref="M20:M25" si="10">+M5*$M$17</f>
        <v>0.75</v>
      </c>
      <c r="N20" s="3">
        <f>+N5*$N$17</f>
        <v>1.25</v>
      </c>
      <c r="O20" s="3">
        <f t="shared" ref="O20:O25" si="11">+O5*$O$17</f>
        <v>1.5</v>
      </c>
      <c r="P20" s="3">
        <f>+P5*$P$17</f>
        <v>0.33333333333333331</v>
      </c>
      <c r="Q20" s="3">
        <f>+Q5*$Q$17</f>
        <v>0.66666666666666663</v>
      </c>
      <c r="S20" s="3">
        <f t="shared" ref="S20:S25" si="12">+S5*$S$17</f>
        <v>0.5</v>
      </c>
      <c r="T20" s="3">
        <f>+T5*$T$17</f>
        <v>1</v>
      </c>
      <c r="U20" s="3">
        <f>+U5*$U$17</f>
        <v>0.33333333333333331</v>
      </c>
      <c r="V20" s="15">
        <f t="shared" ref="V20:V25" si="13">+SUM(D20:U20)</f>
        <v>8.5833333333333339</v>
      </c>
      <c r="X20" s="3">
        <f t="shared" ref="X20:X25" si="14">$V$26/V20</f>
        <v>0.86581137309292644</v>
      </c>
    </row>
    <row r="21" spans="1:30" x14ac:dyDescent="0.25">
      <c r="A21" s="3"/>
      <c r="C21" s="14" t="s">
        <v>97</v>
      </c>
      <c r="D21" s="3">
        <f t="shared" si="7"/>
        <v>0.1875</v>
      </c>
      <c r="E21" s="3">
        <f>+E6*$E$17</f>
        <v>0.4375</v>
      </c>
      <c r="F21" s="3">
        <f t="shared" si="8"/>
        <v>0.125</v>
      </c>
      <c r="G21" s="3">
        <f t="shared" si="5"/>
        <v>0.1875</v>
      </c>
      <c r="H21" s="3">
        <f>+H6*$H$17</f>
        <v>6.25E-2</v>
      </c>
      <c r="J21" s="3">
        <f t="shared" si="9"/>
        <v>0.125</v>
      </c>
      <c r="K21" s="3">
        <f>+K6*$K$17</f>
        <v>0.125</v>
      </c>
      <c r="L21" s="3">
        <f t="shared" si="6"/>
        <v>0.5</v>
      </c>
      <c r="M21" s="3">
        <f t="shared" si="10"/>
        <v>6.25E-2</v>
      </c>
      <c r="O21" s="3">
        <f t="shared" si="11"/>
        <v>0.25</v>
      </c>
      <c r="P21" s="3">
        <f>+P6*$P$17</f>
        <v>1.5</v>
      </c>
      <c r="Q21" s="3">
        <f>+Q6*$Q$17</f>
        <v>1.1666666666666665</v>
      </c>
      <c r="R21" s="3">
        <f>+R6*$R$17</f>
        <v>0.33333333333333331</v>
      </c>
      <c r="S21" s="3">
        <f t="shared" si="12"/>
        <v>0.5</v>
      </c>
      <c r="T21" s="3">
        <f>+T6*$T$17</f>
        <v>0.41666666666666663</v>
      </c>
      <c r="U21" s="3">
        <f>+U6*$U$17</f>
        <v>0.33333333333333331</v>
      </c>
      <c r="V21" s="15">
        <f t="shared" si="13"/>
        <v>6.3124999999999991</v>
      </c>
      <c r="X21" s="3">
        <f t="shared" si="14"/>
        <v>1.1772748703441775</v>
      </c>
    </row>
    <row r="22" spans="1:30" x14ac:dyDescent="0.25">
      <c r="A22" s="3"/>
      <c r="C22" s="14" t="s">
        <v>98</v>
      </c>
      <c r="D22" s="3">
        <f t="shared" si="7"/>
        <v>0.5</v>
      </c>
      <c r="E22" s="3">
        <f>+E7*$E$17</f>
        <v>0.16666666666666666</v>
      </c>
      <c r="F22" s="3">
        <f t="shared" si="8"/>
        <v>0.5</v>
      </c>
      <c r="G22" s="3">
        <f t="shared" si="5"/>
        <v>0.41666666666666669</v>
      </c>
      <c r="H22" s="3">
        <f>+H7*$H$17</f>
        <v>8.3333333333333329E-2</v>
      </c>
      <c r="I22" s="3">
        <f>+I7*$I$17</f>
        <v>0.16666666666666666</v>
      </c>
      <c r="J22" s="3">
        <f t="shared" si="9"/>
        <v>8.3333333333333329E-2</v>
      </c>
      <c r="L22" s="3">
        <f t="shared" si="6"/>
        <v>1</v>
      </c>
      <c r="M22" s="3">
        <f t="shared" si="10"/>
        <v>0.41666666666666669</v>
      </c>
      <c r="O22" s="3">
        <f t="shared" si="11"/>
        <v>0.5</v>
      </c>
      <c r="P22" s="3">
        <f>+P7*$P$17</f>
        <v>1.3333333333333333</v>
      </c>
      <c r="Q22" s="3">
        <f>+Q7*$Q$17</f>
        <v>0.44444444444444442</v>
      </c>
      <c r="S22" s="3">
        <f t="shared" si="12"/>
        <v>0.1111111111111111</v>
      </c>
      <c r="U22" s="3">
        <f>+U7*$U$17</f>
        <v>0.88888888888888884</v>
      </c>
      <c r="V22" s="15">
        <f t="shared" si="13"/>
        <v>6.6111111111111107</v>
      </c>
      <c r="X22" s="3">
        <f t="shared" si="14"/>
        <v>1.1240996398559424</v>
      </c>
    </row>
    <row r="23" spans="1:30" x14ac:dyDescent="0.25">
      <c r="A23" s="3"/>
      <c r="C23" s="14" t="s">
        <v>99</v>
      </c>
      <c r="D23" s="3">
        <f t="shared" si="7"/>
        <v>0.25</v>
      </c>
      <c r="E23" s="3">
        <f>+E8*$E$17</f>
        <v>0.16666666666666666</v>
      </c>
      <c r="F23" s="3">
        <f t="shared" si="8"/>
        <v>0.33333333333333331</v>
      </c>
      <c r="G23" s="3">
        <f t="shared" si="5"/>
        <v>0.25</v>
      </c>
      <c r="H23" s="3">
        <f>+H8*$H$17</f>
        <v>1</v>
      </c>
      <c r="I23" s="3">
        <f>+I8*$I$17</f>
        <v>0.25</v>
      </c>
      <c r="J23" s="3">
        <f t="shared" si="9"/>
        <v>0.25</v>
      </c>
      <c r="K23" s="3">
        <f>+K8*$K$17</f>
        <v>1.1666666666666667</v>
      </c>
      <c r="L23" s="3">
        <f t="shared" si="6"/>
        <v>8.3333333333333329E-2</v>
      </c>
      <c r="M23" s="3">
        <f t="shared" si="10"/>
        <v>0.66666666666666663</v>
      </c>
      <c r="O23" s="3">
        <f t="shared" si="11"/>
        <v>0.66666666666666663</v>
      </c>
      <c r="R23" s="3">
        <f>+R8*$R$17</f>
        <v>0.44444444444444442</v>
      </c>
      <c r="S23" s="3">
        <f t="shared" si="12"/>
        <v>0.66666666666666663</v>
      </c>
      <c r="U23" s="3">
        <f>+U8*$U$17</f>
        <v>0.33333333333333331</v>
      </c>
      <c r="V23" s="15">
        <f t="shared" si="13"/>
        <v>6.5277777777777786</v>
      </c>
      <c r="X23" s="3">
        <f t="shared" si="14"/>
        <v>1.1384498480243161</v>
      </c>
    </row>
    <row r="24" spans="1:30" x14ac:dyDescent="0.25">
      <c r="A24" s="3"/>
      <c r="C24" s="14" t="s">
        <v>100</v>
      </c>
      <c r="D24" s="3">
        <f t="shared" si="7"/>
        <v>0.83333333333333337</v>
      </c>
      <c r="E24" s="3">
        <f>+E9*$E$17</f>
        <v>0.66666666666666663</v>
      </c>
      <c r="F24" s="3">
        <f t="shared" si="8"/>
        <v>0.83333333333333337</v>
      </c>
      <c r="G24" s="3">
        <f t="shared" si="5"/>
        <v>0.5</v>
      </c>
      <c r="I24" s="3">
        <f>+I9*$I$17</f>
        <v>1.1666666666666667</v>
      </c>
      <c r="J24" s="3">
        <f t="shared" si="9"/>
        <v>1</v>
      </c>
      <c r="K24" s="3">
        <f>+K9*$K$17</f>
        <v>0.25</v>
      </c>
      <c r="L24" s="3">
        <f t="shared" si="6"/>
        <v>0.33333333333333331</v>
      </c>
      <c r="M24" s="3">
        <f t="shared" si="10"/>
        <v>0.5</v>
      </c>
      <c r="N24" s="3">
        <f>+N9*$N$17</f>
        <v>0.41666666666666669</v>
      </c>
      <c r="O24" s="3">
        <f t="shared" si="11"/>
        <v>0.41666666666666669</v>
      </c>
      <c r="R24" s="3">
        <f>+R9*$R$17</f>
        <v>0.33333333333333331</v>
      </c>
      <c r="S24" s="3">
        <f t="shared" si="12"/>
        <v>0.88888888888888884</v>
      </c>
      <c r="T24" s="3">
        <f>+T9*$T$17</f>
        <v>0.66666666666666663</v>
      </c>
      <c r="V24" s="15">
        <f t="shared" si="13"/>
        <v>8.8055555555555554</v>
      </c>
      <c r="X24" s="3">
        <f t="shared" si="14"/>
        <v>0.84396124380351512</v>
      </c>
    </row>
    <row r="25" spans="1:30" x14ac:dyDescent="0.25">
      <c r="A25" s="3"/>
      <c r="C25" s="14" t="s">
        <v>101</v>
      </c>
      <c r="D25" s="3">
        <f t="shared" si="7"/>
        <v>0.375</v>
      </c>
      <c r="E25" s="3">
        <f>+E10*$E$17</f>
        <v>0.125</v>
      </c>
      <c r="F25" s="3">
        <f t="shared" si="8"/>
        <v>0.375</v>
      </c>
      <c r="I25" s="3">
        <f>+I10*$I$17</f>
        <v>0.75</v>
      </c>
      <c r="J25" s="3">
        <f t="shared" si="9"/>
        <v>0.5</v>
      </c>
      <c r="M25" s="3">
        <f t="shared" si="10"/>
        <v>1.5</v>
      </c>
      <c r="N25" s="3">
        <f>+N10*$N$17</f>
        <v>0.25</v>
      </c>
      <c r="O25" s="3">
        <f t="shared" si="11"/>
        <v>0.5</v>
      </c>
      <c r="Q25" s="3">
        <f>+Q10*$Q$17</f>
        <v>0.33333333333333331</v>
      </c>
      <c r="R25" s="3">
        <f>+R10*$R$17</f>
        <v>0.33333333333333331</v>
      </c>
      <c r="S25" s="3">
        <f t="shared" si="12"/>
        <v>1</v>
      </c>
      <c r="T25" s="3">
        <f>+T10*$T$17</f>
        <v>1.6666666666666665</v>
      </c>
      <c r="U25" s="3">
        <f>+U10*$U$17</f>
        <v>0.33333333333333331</v>
      </c>
      <c r="V25" s="15">
        <f t="shared" si="13"/>
        <v>8.0416666666666661</v>
      </c>
      <c r="X25" s="3">
        <f t="shared" si="14"/>
        <v>0.92413027387120661</v>
      </c>
    </row>
    <row r="26" spans="1:30" x14ac:dyDescent="0.25">
      <c r="A26" s="3"/>
      <c r="V26" s="15">
        <f>+AVERAGE(V17:V25)</f>
        <v>7.4315476190476195</v>
      </c>
    </row>
    <row r="27" spans="1:30" x14ac:dyDescent="0.25">
      <c r="A27" s="3"/>
    </row>
    <row r="28" spans="1:30" ht="26.25" customHeight="1" x14ac:dyDescent="0.25">
      <c r="A28" s="3"/>
      <c r="C28" s="16" t="s">
        <v>76</v>
      </c>
      <c r="V28" s="15"/>
      <c r="Z28" s="3" t="s">
        <v>79</v>
      </c>
    </row>
    <row r="29" spans="1:30" x14ac:dyDescent="0.25">
      <c r="A29" s="3"/>
      <c r="C29" s="14" t="s">
        <v>95</v>
      </c>
      <c r="D29" s="25">
        <f>IF(D19="","",D19*$X19)</f>
        <v>0.86749583101723193</v>
      </c>
      <c r="E29" s="25">
        <f t="shared" ref="E29:U29" si="15">IF(E19="","",E19*$X19)</f>
        <v>0.69399666481378541</v>
      </c>
      <c r="F29" s="25">
        <f t="shared" si="15"/>
        <v>0.86749583101723193</v>
      </c>
      <c r="G29" s="25">
        <f t="shared" si="15"/>
        <v>1.2144941634241246</v>
      </c>
      <c r="H29" s="25">
        <f t="shared" si="15"/>
        <v>0.17349916620344635</v>
      </c>
      <c r="I29" s="25">
        <f t="shared" si="15"/>
        <v>8.6749583101723177E-2</v>
      </c>
      <c r="J29" s="25">
        <f t="shared" si="15"/>
        <v>8.6749583101723177E-2</v>
      </c>
      <c r="K29" s="25">
        <f t="shared" si="15"/>
        <v>0.26024874930516956</v>
      </c>
      <c r="L29" s="25">
        <f t="shared" si="15"/>
        <v>0.60724708171206232</v>
      </c>
      <c r="M29" s="25">
        <f t="shared" si="15"/>
        <v>0.34699833240689271</v>
      </c>
      <c r="N29" s="25" t="str">
        <f t="shared" si="15"/>
        <v/>
      </c>
      <c r="O29" s="25">
        <f t="shared" si="15"/>
        <v>0.26024874930516956</v>
      </c>
      <c r="P29" s="25">
        <f t="shared" si="15"/>
        <v>0.11566611080229758</v>
      </c>
      <c r="Q29" s="25">
        <f t="shared" si="15"/>
        <v>0.34699833240689271</v>
      </c>
      <c r="R29" s="25">
        <f t="shared" si="15"/>
        <v>1.1566611080229758</v>
      </c>
      <c r="S29" s="25" t="str">
        <f t="shared" si="15"/>
        <v/>
      </c>
      <c r="T29" s="25">
        <f t="shared" si="15"/>
        <v>0.23133222160459516</v>
      </c>
      <c r="U29" s="25">
        <f t="shared" si="15"/>
        <v>0.11566611080229758</v>
      </c>
      <c r="V29" s="17">
        <f>SUM(D29:U29)/18</f>
        <v>0.41286375661375652</v>
      </c>
      <c r="W29" s="18"/>
      <c r="Z29" s="40">
        <f>+SUM(D29:G29)</f>
        <v>3.6434824902723739</v>
      </c>
      <c r="AA29" s="40">
        <f>+SUM(H29:K29)</f>
        <v>0.60724708171206232</v>
      </c>
      <c r="AB29" s="40">
        <f>+SUM(L29:O29)</f>
        <v>1.2144941634241246</v>
      </c>
      <c r="AC29" s="40">
        <f>+SUM(P29:R29)</f>
        <v>1.619325551232166</v>
      </c>
      <c r="AD29" s="40">
        <f>+SUM(S29:U29)</f>
        <v>0.34699833240689271</v>
      </c>
    </row>
    <row r="30" spans="1:30" x14ac:dyDescent="0.25">
      <c r="A30" s="3"/>
      <c r="C30" s="14" t="s">
        <v>96</v>
      </c>
      <c r="D30" s="25">
        <f t="shared" ref="D30:U30" si="16">IF(D20="","",D20*$X20)</f>
        <v>0.21645284327323161</v>
      </c>
      <c r="E30" s="25" t="str">
        <f t="shared" si="16"/>
        <v/>
      </c>
      <c r="F30" s="25">
        <f t="shared" si="16"/>
        <v>0.32467926490984744</v>
      </c>
      <c r="G30" s="25">
        <f t="shared" si="16"/>
        <v>0.21645284327323161</v>
      </c>
      <c r="H30" s="25" t="str">
        <f t="shared" si="16"/>
        <v/>
      </c>
      <c r="I30" s="25">
        <f t="shared" si="16"/>
        <v>0.21645284327323161</v>
      </c>
      <c r="J30" s="25">
        <f t="shared" si="16"/>
        <v>0.32467926490984744</v>
      </c>
      <c r="K30" s="25">
        <f t="shared" si="16"/>
        <v>0.21645284327323161</v>
      </c>
      <c r="L30" s="25">
        <f t="shared" si="16"/>
        <v>0.43290568654646322</v>
      </c>
      <c r="M30" s="25">
        <f t="shared" si="16"/>
        <v>0.64935852981969489</v>
      </c>
      <c r="N30" s="25">
        <f t="shared" si="16"/>
        <v>1.082264216366158</v>
      </c>
      <c r="O30" s="25">
        <f t="shared" si="16"/>
        <v>1.2987170596393898</v>
      </c>
      <c r="P30" s="25">
        <f t="shared" si="16"/>
        <v>0.28860379103097544</v>
      </c>
      <c r="Q30" s="25">
        <f t="shared" si="16"/>
        <v>0.57720758206195089</v>
      </c>
      <c r="R30" s="25" t="str">
        <f t="shared" si="16"/>
        <v/>
      </c>
      <c r="S30" s="25">
        <f t="shared" si="16"/>
        <v>0.43290568654646322</v>
      </c>
      <c r="T30" s="25">
        <f t="shared" si="16"/>
        <v>0.86581137309292644</v>
      </c>
      <c r="U30" s="25">
        <f t="shared" si="16"/>
        <v>0.28860379103097544</v>
      </c>
      <c r="V30" s="17">
        <f t="shared" ref="V30:V35" si="17">SUM(D30:U30)/18</f>
        <v>0.41286375661375657</v>
      </c>
      <c r="W30" s="18"/>
      <c r="Z30" s="40">
        <f t="shared" ref="Z30:Z38" si="18">+SUM(D30:G30)</f>
        <v>0.75758495145631066</v>
      </c>
      <c r="AA30" s="40">
        <f t="shared" ref="AA30:AA38" si="19">+SUM(H30:K30)</f>
        <v>0.75758495145631066</v>
      </c>
      <c r="AB30" s="40">
        <f t="shared" ref="AB30:AB38" si="20">+SUM(L30:O30)</f>
        <v>3.4632454923717062</v>
      </c>
      <c r="AC30" s="40">
        <f t="shared" ref="AC30:AC38" si="21">+SUM(P30:R30)</f>
        <v>0.86581137309292633</v>
      </c>
      <c r="AD30" s="40">
        <f t="shared" ref="AD30:AD38" si="22">+SUM(S30:U30)</f>
        <v>1.5873208506703653</v>
      </c>
    </row>
    <row r="31" spans="1:30" x14ac:dyDescent="0.25">
      <c r="A31" s="3"/>
      <c r="C31" s="14" t="s">
        <v>97</v>
      </c>
      <c r="D31" s="25">
        <f t="shared" ref="D31:U31" si="23">IF(D21="","",D21*$X21)</f>
        <v>0.22073903818953328</v>
      </c>
      <c r="E31" s="25">
        <f t="shared" si="23"/>
        <v>0.51505775577557766</v>
      </c>
      <c r="F31" s="25">
        <f t="shared" si="23"/>
        <v>0.14715935879302219</v>
      </c>
      <c r="G31" s="25">
        <f t="shared" si="23"/>
        <v>0.22073903818953328</v>
      </c>
      <c r="H31" s="25">
        <f>IF(H21="","",H21*$X21)</f>
        <v>7.3579679396511097E-2</v>
      </c>
      <c r="I31" s="25" t="str">
        <f t="shared" si="23"/>
        <v/>
      </c>
      <c r="J31" s="25">
        <f t="shared" si="23"/>
        <v>0.14715935879302219</v>
      </c>
      <c r="K31" s="25">
        <f t="shared" si="23"/>
        <v>0.14715935879302219</v>
      </c>
      <c r="L31" s="25">
        <f t="shared" si="23"/>
        <v>0.58863743517208877</v>
      </c>
      <c r="M31" s="25">
        <f t="shared" si="23"/>
        <v>7.3579679396511097E-2</v>
      </c>
      <c r="N31" s="25" t="str">
        <f t="shared" si="23"/>
        <v/>
      </c>
      <c r="O31" s="25">
        <f t="shared" si="23"/>
        <v>0.29431871758604439</v>
      </c>
      <c r="P31" s="25">
        <f t="shared" si="23"/>
        <v>1.7659123055162662</v>
      </c>
      <c r="Q31" s="25">
        <f t="shared" si="23"/>
        <v>1.3734873487348735</v>
      </c>
      <c r="R31" s="25">
        <f t="shared" si="23"/>
        <v>0.3924249567813925</v>
      </c>
      <c r="S31" s="25">
        <f t="shared" si="23"/>
        <v>0.58863743517208877</v>
      </c>
      <c r="T31" s="25">
        <f t="shared" si="23"/>
        <v>0.49053119597674061</v>
      </c>
      <c r="U31" s="25">
        <f t="shared" si="23"/>
        <v>0.3924249567813925</v>
      </c>
      <c r="V31" s="17">
        <f t="shared" si="17"/>
        <v>0.41286375661375674</v>
      </c>
      <c r="W31" s="18"/>
      <c r="Z31" s="40">
        <f>+SUM(D31:G31)</f>
        <v>1.1036951909476664</v>
      </c>
      <c r="AA31" s="40">
        <f t="shared" si="19"/>
        <v>0.36789839698255544</v>
      </c>
      <c r="AB31" s="40">
        <f t="shared" si="20"/>
        <v>0.95653583215464422</v>
      </c>
      <c r="AC31" s="40">
        <f t="shared" si="21"/>
        <v>3.531824611032532</v>
      </c>
      <c r="AD31" s="40">
        <f t="shared" si="22"/>
        <v>1.4715935879302218</v>
      </c>
    </row>
    <row r="32" spans="1:30" x14ac:dyDescent="0.25">
      <c r="A32" s="3"/>
      <c r="C32" s="14" t="s">
        <v>98</v>
      </c>
      <c r="D32" s="25">
        <f t="shared" ref="D32:U32" si="24">IF(D22="","",D22*$X22)</f>
        <v>0.56204981992797121</v>
      </c>
      <c r="E32" s="25">
        <f t="shared" si="24"/>
        <v>0.18734993997599039</v>
      </c>
      <c r="F32" s="25">
        <f t="shared" si="24"/>
        <v>0.56204981992797121</v>
      </c>
      <c r="G32" s="25">
        <f t="shared" si="24"/>
        <v>0.46837484993997602</v>
      </c>
      <c r="H32" s="25">
        <f t="shared" si="24"/>
        <v>9.3674969987995196E-2</v>
      </c>
      <c r="I32" s="25">
        <f t="shared" si="24"/>
        <v>0.18734993997599039</v>
      </c>
      <c r="J32" s="25">
        <f t="shared" si="24"/>
        <v>9.3674969987995196E-2</v>
      </c>
      <c r="K32" s="25" t="str">
        <f t="shared" si="24"/>
        <v/>
      </c>
      <c r="L32" s="25">
        <f t="shared" si="24"/>
        <v>1.1240996398559424</v>
      </c>
      <c r="M32" s="25">
        <f t="shared" si="24"/>
        <v>0.46837484993997602</v>
      </c>
      <c r="N32" s="25" t="str">
        <f t="shared" si="24"/>
        <v/>
      </c>
      <c r="O32" s="25">
        <f t="shared" si="24"/>
        <v>0.56204981992797121</v>
      </c>
      <c r="P32" s="25">
        <f t="shared" si="24"/>
        <v>1.4987995198079231</v>
      </c>
      <c r="Q32" s="25">
        <f t="shared" si="24"/>
        <v>0.4995998399359744</v>
      </c>
      <c r="R32" s="25" t="str">
        <f t="shared" si="24"/>
        <v/>
      </c>
      <c r="S32" s="25">
        <f t="shared" si="24"/>
        <v>0.1248999599839936</v>
      </c>
      <c r="T32" s="25" t="str">
        <f t="shared" si="24"/>
        <v/>
      </c>
      <c r="U32" s="25">
        <f t="shared" si="24"/>
        <v>0.9991996798719488</v>
      </c>
      <c r="V32" s="17">
        <f t="shared" si="17"/>
        <v>0.41286375661375657</v>
      </c>
      <c r="W32" s="18"/>
      <c r="Z32" s="40">
        <f t="shared" si="18"/>
        <v>1.7798244297719088</v>
      </c>
      <c r="AA32" s="40">
        <f t="shared" si="19"/>
        <v>0.37469987995198079</v>
      </c>
      <c r="AB32" s="40">
        <f t="shared" si="20"/>
        <v>2.1545243097238895</v>
      </c>
      <c r="AC32" s="40">
        <f>+SUM(P32:R32)</f>
        <v>1.9983993597438976</v>
      </c>
      <c r="AD32" s="40">
        <f>+SUM(S32:U32)</f>
        <v>1.1240996398559424</v>
      </c>
    </row>
    <row r="33" spans="1:36" x14ac:dyDescent="0.25">
      <c r="A33" s="3"/>
      <c r="C33" s="14" t="s">
        <v>99</v>
      </c>
      <c r="D33" s="25">
        <f t="shared" ref="D33:U33" si="25">IF(D23="","",D23*$X23)</f>
        <v>0.28461246200607904</v>
      </c>
      <c r="E33" s="25">
        <f t="shared" si="25"/>
        <v>0.18974164133738602</v>
      </c>
      <c r="F33" s="25">
        <f t="shared" si="25"/>
        <v>0.37948328267477205</v>
      </c>
      <c r="G33" s="25">
        <f t="shared" si="25"/>
        <v>0.28461246200607904</v>
      </c>
      <c r="H33" s="25">
        <f t="shared" si="25"/>
        <v>1.1384498480243161</v>
      </c>
      <c r="I33" s="25">
        <f t="shared" si="25"/>
        <v>0.28461246200607904</v>
      </c>
      <c r="J33" s="25">
        <f t="shared" si="25"/>
        <v>0.28461246200607904</v>
      </c>
      <c r="K33" s="25">
        <f t="shared" si="25"/>
        <v>1.3281914893617022</v>
      </c>
      <c r="L33" s="25">
        <f t="shared" si="25"/>
        <v>9.4870820668693012E-2</v>
      </c>
      <c r="M33" s="25">
        <f t="shared" si="25"/>
        <v>0.7589665653495441</v>
      </c>
      <c r="N33" s="25" t="str">
        <f t="shared" si="25"/>
        <v/>
      </c>
      <c r="O33" s="25">
        <f t="shared" si="25"/>
        <v>0.7589665653495441</v>
      </c>
      <c r="P33" s="25" t="str">
        <f t="shared" si="25"/>
        <v/>
      </c>
      <c r="Q33" s="25" t="str">
        <f t="shared" si="25"/>
        <v/>
      </c>
      <c r="R33" s="25">
        <f t="shared" si="25"/>
        <v>0.5059777102330294</v>
      </c>
      <c r="S33" s="25">
        <f t="shared" si="25"/>
        <v>0.7589665653495441</v>
      </c>
      <c r="T33" s="25" t="str">
        <f t="shared" si="25"/>
        <v/>
      </c>
      <c r="U33" s="25">
        <f t="shared" si="25"/>
        <v>0.37948328267477205</v>
      </c>
      <c r="V33" s="17">
        <f t="shared" si="17"/>
        <v>0.41286375661375657</v>
      </c>
      <c r="W33" s="18"/>
      <c r="Z33" s="40">
        <f t="shared" si="18"/>
        <v>1.1384498480243161</v>
      </c>
      <c r="AA33" s="40">
        <f t="shared" si="19"/>
        <v>3.0358662613981764</v>
      </c>
      <c r="AB33" s="40">
        <f t="shared" si="20"/>
        <v>1.6128039513677812</v>
      </c>
      <c r="AC33" s="40">
        <f t="shared" si="21"/>
        <v>0.5059777102330294</v>
      </c>
      <c r="AD33" s="40">
        <f t="shared" si="22"/>
        <v>1.1384498480243161</v>
      </c>
    </row>
    <row r="34" spans="1:36" x14ac:dyDescent="0.25">
      <c r="A34" s="3"/>
      <c r="C34" s="14" t="s">
        <v>100</v>
      </c>
      <c r="D34" s="25">
        <f t="shared" ref="D34:U34" si="26">IF(D24="","",D24*$X24)</f>
        <v>0.7033010365029293</v>
      </c>
      <c r="E34" s="25">
        <f t="shared" si="26"/>
        <v>0.56264082920234337</v>
      </c>
      <c r="F34" s="25">
        <f t="shared" si="26"/>
        <v>0.7033010365029293</v>
      </c>
      <c r="G34" s="25">
        <f t="shared" si="26"/>
        <v>0.42198062190175756</v>
      </c>
      <c r="H34" s="25" t="str">
        <f t="shared" si="26"/>
        <v/>
      </c>
      <c r="I34" s="25">
        <f t="shared" si="26"/>
        <v>0.98462145110410104</v>
      </c>
      <c r="J34" s="25">
        <f t="shared" si="26"/>
        <v>0.84396124380351512</v>
      </c>
      <c r="K34" s="25">
        <f t="shared" si="26"/>
        <v>0.21099031095087878</v>
      </c>
      <c r="L34" s="25">
        <f t="shared" si="26"/>
        <v>0.28132041460117169</v>
      </c>
      <c r="M34" s="25">
        <f t="shared" si="26"/>
        <v>0.42198062190175756</v>
      </c>
      <c r="N34" s="25">
        <f t="shared" si="26"/>
        <v>0.35165051825146465</v>
      </c>
      <c r="O34" s="25">
        <f t="shared" si="26"/>
        <v>0.35165051825146465</v>
      </c>
      <c r="P34" s="25" t="str">
        <f t="shared" si="26"/>
        <v/>
      </c>
      <c r="Q34" s="25" t="str">
        <f t="shared" si="26"/>
        <v/>
      </c>
      <c r="R34" s="25">
        <f t="shared" si="26"/>
        <v>0.28132041460117169</v>
      </c>
      <c r="S34" s="25">
        <f t="shared" si="26"/>
        <v>0.75018777226979116</v>
      </c>
      <c r="T34" s="25">
        <f t="shared" si="26"/>
        <v>0.56264082920234337</v>
      </c>
      <c r="U34" s="25" t="str">
        <f t="shared" si="26"/>
        <v/>
      </c>
      <c r="V34" s="17">
        <f t="shared" si="17"/>
        <v>0.41286375661375663</v>
      </c>
      <c r="W34" s="18"/>
      <c r="Z34" s="40">
        <f t="shared" si="18"/>
        <v>2.3912235241099595</v>
      </c>
      <c r="AA34" s="40">
        <f t="shared" si="19"/>
        <v>2.0395730058584949</v>
      </c>
      <c r="AB34" s="40">
        <f t="shared" si="20"/>
        <v>1.4066020730058586</v>
      </c>
      <c r="AC34" s="40">
        <f t="shared" si="21"/>
        <v>0.28132041460117169</v>
      </c>
      <c r="AD34" s="40">
        <f t="shared" si="22"/>
        <v>1.3128286014721344</v>
      </c>
    </row>
    <row r="35" spans="1:36" x14ac:dyDescent="0.25">
      <c r="A35" s="3"/>
      <c r="C35" s="14" t="s">
        <v>101</v>
      </c>
      <c r="D35" s="25">
        <f t="shared" ref="D35:T35" si="27">IF(D25="","",D25*$X25)</f>
        <v>0.34654885270170249</v>
      </c>
      <c r="E35" s="25">
        <f t="shared" si="27"/>
        <v>0.11551628423390083</v>
      </c>
      <c r="F35" s="25">
        <f>IF(F25="","",F25*$X25)</f>
        <v>0.34654885270170249</v>
      </c>
      <c r="G35" s="25" t="str">
        <f t="shared" si="27"/>
        <v/>
      </c>
      <c r="H35" s="25" t="str">
        <f t="shared" si="27"/>
        <v/>
      </c>
      <c r="I35" s="25">
        <f t="shared" si="27"/>
        <v>0.69309770540340498</v>
      </c>
      <c r="J35" s="25">
        <f t="shared" si="27"/>
        <v>0.4620651369356033</v>
      </c>
      <c r="K35" s="25" t="str">
        <f t="shared" si="27"/>
        <v/>
      </c>
      <c r="L35" s="25" t="str">
        <f t="shared" si="27"/>
        <v/>
      </c>
      <c r="M35" s="25">
        <f t="shared" si="27"/>
        <v>1.38619541080681</v>
      </c>
      <c r="N35" s="25">
        <f t="shared" si="27"/>
        <v>0.23103256846780165</v>
      </c>
      <c r="O35" s="25">
        <f t="shared" si="27"/>
        <v>0.4620651369356033</v>
      </c>
      <c r="P35" s="25" t="str">
        <f t="shared" si="27"/>
        <v/>
      </c>
      <c r="Q35" s="25">
        <f t="shared" si="27"/>
        <v>0.30804342462373552</v>
      </c>
      <c r="R35" s="25">
        <f t="shared" si="27"/>
        <v>0.30804342462373552</v>
      </c>
      <c r="S35" s="25">
        <f t="shared" si="27"/>
        <v>0.92413027387120661</v>
      </c>
      <c r="T35" s="25">
        <f t="shared" si="27"/>
        <v>1.5402171231186776</v>
      </c>
      <c r="U35" s="25">
        <f>IF(U25="","",U25*$X25)</f>
        <v>0.30804342462373552</v>
      </c>
      <c r="V35" s="17">
        <f t="shared" si="17"/>
        <v>0.41286375661375674</v>
      </c>
      <c r="W35" s="18"/>
      <c r="Z35" s="40">
        <f t="shared" si="18"/>
        <v>0.8086139896373058</v>
      </c>
      <c r="AA35" s="40">
        <f t="shared" si="19"/>
        <v>1.1551628423390083</v>
      </c>
      <c r="AB35" s="40">
        <f t="shared" si="20"/>
        <v>2.0792931162102151</v>
      </c>
      <c r="AC35" s="40">
        <f t="shared" si="21"/>
        <v>0.61608684924747104</v>
      </c>
      <c r="AD35" s="40">
        <f t="shared" si="22"/>
        <v>2.7723908216136195</v>
      </c>
    </row>
    <row r="36" spans="1:36" ht="18.75" customHeight="1" x14ac:dyDescent="0.25">
      <c r="A36" s="3"/>
      <c r="C36" s="90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17"/>
      <c r="W36" s="18"/>
      <c r="Z36" s="40">
        <f t="shared" si="18"/>
        <v>0</v>
      </c>
      <c r="AA36" s="40">
        <f t="shared" si="19"/>
        <v>0</v>
      </c>
      <c r="AB36" s="40">
        <f t="shared" si="20"/>
        <v>0</v>
      </c>
      <c r="AC36" s="40">
        <f t="shared" si="21"/>
        <v>0</v>
      </c>
      <c r="AD36" s="40">
        <f t="shared" si="22"/>
        <v>0</v>
      </c>
    </row>
    <row r="37" spans="1:36" ht="18.75" customHeight="1" x14ac:dyDescent="0.25">
      <c r="A37" s="3"/>
      <c r="C37" s="90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17"/>
      <c r="W37" s="18"/>
      <c r="Z37" s="40">
        <f t="shared" si="18"/>
        <v>0</v>
      </c>
      <c r="AA37" s="40">
        <f t="shared" si="19"/>
        <v>0</v>
      </c>
      <c r="AB37" s="40">
        <f t="shared" si="20"/>
        <v>0</v>
      </c>
      <c r="AC37" s="40">
        <f t="shared" si="21"/>
        <v>0</v>
      </c>
      <c r="AD37" s="40">
        <f t="shared" si="22"/>
        <v>0</v>
      </c>
    </row>
    <row r="38" spans="1:36" ht="18.75" customHeight="1" x14ac:dyDescent="0.25">
      <c r="A38" s="3"/>
      <c r="B38" s="3"/>
      <c r="C38" s="91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17"/>
      <c r="W38" s="18"/>
      <c r="Z38" s="40">
        <f t="shared" si="18"/>
        <v>0</v>
      </c>
      <c r="AA38" s="40">
        <f t="shared" si="19"/>
        <v>0</v>
      </c>
      <c r="AB38" s="40">
        <f t="shared" si="20"/>
        <v>0</v>
      </c>
      <c r="AC38" s="40">
        <f t="shared" si="21"/>
        <v>0</v>
      </c>
      <c r="AD38" s="40">
        <f t="shared" si="22"/>
        <v>0</v>
      </c>
    </row>
    <row r="39" spans="1:36" x14ac:dyDescent="0.25">
      <c r="A39" s="3"/>
      <c r="B39" s="3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17"/>
      <c r="W39" s="18"/>
    </row>
    <row r="40" spans="1:36" ht="30" x14ac:dyDescent="0.25">
      <c r="A40" s="3"/>
      <c r="B40" s="3"/>
      <c r="C40" s="43" t="s">
        <v>15</v>
      </c>
      <c r="D40" s="21"/>
      <c r="E40" s="21"/>
      <c r="F40" s="21"/>
      <c r="G40" s="21"/>
      <c r="H40" s="21"/>
      <c r="I40" s="21" t="s">
        <v>77</v>
      </c>
      <c r="J40" s="26">
        <v>0.2</v>
      </c>
      <c r="K40" s="27">
        <v>0.2</v>
      </c>
      <c r="L40" s="28">
        <v>0.2</v>
      </c>
      <c r="M40" s="29">
        <v>0.2</v>
      </c>
      <c r="N40" s="29">
        <v>0.2</v>
      </c>
      <c r="O40" s="21"/>
      <c r="P40" s="21"/>
      <c r="Q40" s="21"/>
      <c r="R40" s="21"/>
      <c r="S40" s="21"/>
      <c r="T40" s="21"/>
      <c r="U40" s="21"/>
      <c r="V40" s="22"/>
      <c r="W40" s="23"/>
    </row>
    <row r="41" spans="1:36" x14ac:dyDescent="0.25">
      <c r="A41" s="3"/>
      <c r="B41" s="3"/>
      <c r="C41" s="24" t="s">
        <v>3</v>
      </c>
      <c r="D41" s="26">
        <v>0.27246666666666669</v>
      </c>
      <c r="E41" s="27">
        <v>0.15765555555555555</v>
      </c>
      <c r="F41" s="28">
        <v>0.1416722222222222</v>
      </c>
      <c r="G41" s="29">
        <v>0.2218472222222222</v>
      </c>
      <c r="H41" s="29">
        <v>0.2063638888888889</v>
      </c>
      <c r="I41" s="25"/>
      <c r="J41" s="25"/>
      <c r="K41" s="25"/>
      <c r="M41" s="25"/>
      <c r="N41" s="25"/>
      <c r="O41" s="25"/>
      <c r="Q41" s="25"/>
      <c r="R41" s="25"/>
      <c r="T41" s="25"/>
      <c r="U41" s="25"/>
      <c r="Z41" t="s">
        <v>4</v>
      </c>
    </row>
    <row r="42" spans="1:36" ht="18" customHeight="1" x14ac:dyDescent="0.25">
      <c r="A42" s="3"/>
      <c r="B42" s="3"/>
      <c r="C42" s="24"/>
      <c r="D42" s="26"/>
      <c r="E42" s="26"/>
      <c r="F42" s="26"/>
      <c r="G42" s="26"/>
      <c r="H42" s="27"/>
      <c r="I42" s="27"/>
      <c r="J42" s="27"/>
      <c r="K42" s="27"/>
      <c r="L42" s="28"/>
      <c r="M42" s="28"/>
      <c r="N42" s="28"/>
      <c r="O42" s="28"/>
      <c r="P42" s="29"/>
      <c r="Q42" s="29"/>
      <c r="R42" s="29"/>
      <c r="S42" s="29"/>
      <c r="T42" s="29"/>
      <c r="U42" s="29"/>
      <c r="X42" t="s">
        <v>78</v>
      </c>
      <c r="Z42" s="31" t="s">
        <v>5</v>
      </c>
      <c r="AE42" t="s">
        <v>6</v>
      </c>
      <c r="AF42"/>
      <c r="AG42"/>
      <c r="AH42"/>
      <c r="AI42"/>
      <c r="AJ42"/>
    </row>
    <row r="43" spans="1:36" x14ac:dyDescent="0.25">
      <c r="A43" s="3"/>
      <c r="B43" s="3"/>
      <c r="C43" s="14" t="s">
        <v>95</v>
      </c>
      <c r="D43" s="25">
        <f>IF(Z29="","",Z29*$J$40)</f>
        <v>0.72869649805447478</v>
      </c>
      <c r="E43" s="25">
        <f>IF(AA29="","",AA29*$K$40)</f>
        <v>0.12144941634241246</v>
      </c>
      <c r="F43" s="25">
        <f>IF(AB29="","",AB29*$L$40)</f>
        <v>0.24289883268482493</v>
      </c>
      <c r="G43" s="25">
        <f>IF(AC29="","",AC29*$M$40)</f>
        <v>0.32386511024643322</v>
      </c>
      <c r="H43" s="25">
        <f>IF(AD29="","",AD29*$N$40)</f>
        <v>6.9399666481378547E-2</v>
      </c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32"/>
      <c r="W43" s="25">
        <f>+SUM(D43:U43)</f>
        <v>1.4863095238095239</v>
      </c>
      <c r="X43" s="33">
        <v>5.4447757111597399</v>
      </c>
      <c r="Z43" s="33">
        <f>$X$53/X43</f>
        <v>0.96790107213832199</v>
      </c>
      <c r="AA43" s="33"/>
      <c r="AB43" s="25"/>
      <c r="AE43"/>
      <c r="AF43">
        <v>0.2112</v>
      </c>
      <c r="AG43">
        <v>0.19639999999999999</v>
      </c>
      <c r="AH43">
        <v>0.17449999999999999</v>
      </c>
      <c r="AI43">
        <v>0.20669999999999999</v>
      </c>
      <c r="AJ43">
        <v>0.2112</v>
      </c>
    </row>
    <row r="44" spans="1:36" x14ac:dyDescent="0.25">
      <c r="A44" s="3"/>
      <c r="B44" s="3"/>
      <c r="C44" s="14" t="s">
        <v>96</v>
      </c>
      <c r="D44" s="25">
        <f t="shared" ref="D44:D49" si="28">IF(Z30="","",Z30*$J$40)</f>
        <v>0.15151699029126214</v>
      </c>
      <c r="E44" s="25">
        <f t="shared" ref="E44:E49" si="29">IF(AA30="","",AA30*$K$40)</f>
        <v>0.15151699029126214</v>
      </c>
      <c r="F44" s="25">
        <f t="shared" ref="F44:F49" si="30">IF(AB30="","",AB30*$L$40)</f>
        <v>0.69264909847434131</v>
      </c>
      <c r="G44" s="25">
        <f t="shared" ref="G44:G49" si="31">IF(AC30="","",AC30*$M$40)</f>
        <v>0.17316227461858527</v>
      </c>
      <c r="H44" s="25">
        <f>IF(AD30="","",AD30*$N$40)</f>
        <v>0.31746417013407308</v>
      </c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32"/>
      <c r="W44" s="25">
        <f t="shared" ref="W44:W49" si="32">+SUM(D44:U44)</f>
        <v>1.4863095238095239</v>
      </c>
      <c r="X44" s="33">
        <v>5.0982456140350862</v>
      </c>
      <c r="Y44" s="33"/>
      <c r="Z44" s="33">
        <f t="shared" ref="Z44:Z49" si="33">$X$53/X44</f>
        <v>1.0336897527801097</v>
      </c>
      <c r="AA44" s="33"/>
      <c r="AB44" s="25"/>
      <c r="AE44"/>
      <c r="AF44">
        <v>0.28399999999999997</v>
      </c>
      <c r="AG44">
        <v>0.2172</v>
      </c>
      <c r="AH44">
        <v>0.22220000000000001</v>
      </c>
      <c r="AI44">
        <v>0.27660000000000001</v>
      </c>
      <c r="AJ44"/>
    </row>
    <row r="45" spans="1:36" x14ac:dyDescent="0.25">
      <c r="A45" s="3"/>
      <c r="B45" s="3"/>
      <c r="C45" s="14" t="s">
        <v>97</v>
      </c>
      <c r="D45" s="25">
        <f t="shared" si="28"/>
        <v>0.2207390381895333</v>
      </c>
      <c r="E45" s="25">
        <f t="shared" si="29"/>
        <v>7.3579679396511097E-2</v>
      </c>
      <c r="F45" s="25">
        <f t="shared" si="30"/>
        <v>0.19130716643092885</v>
      </c>
      <c r="G45" s="25">
        <f t="shared" si="31"/>
        <v>0.70636492220650648</v>
      </c>
      <c r="H45" s="25">
        <f t="shared" ref="H45:H49" si="34">IF(AD31="","",AD31*$N$40)</f>
        <v>0.29431871758604439</v>
      </c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32"/>
      <c r="W45" s="25">
        <f t="shared" si="32"/>
        <v>1.4863095238095241</v>
      </c>
      <c r="X45" s="33">
        <v>5.0315033783783774</v>
      </c>
      <c r="Y45" s="33"/>
      <c r="Z45" s="33">
        <f t="shared" si="33"/>
        <v>1.0474015124447151</v>
      </c>
      <c r="AA45" s="33"/>
      <c r="AE45"/>
      <c r="AF45">
        <v>0.26779999999999998</v>
      </c>
      <c r="AG45">
        <v>0.23799999999999999</v>
      </c>
      <c r="AH45">
        <v>0.2253</v>
      </c>
      <c r="AI45">
        <v>0.26889999999999997</v>
      </c>
      <c r="AJ45"/>
    </row>
    <row r="46" spans="1:36" x14ac:dyDescent="0.25">
      <c r="A46" s="3"/>
      <c r="B46" s="3"/>
      <c r="C46" s="14" t="s">
        <v>98</v>
      </c>
      <c r="D46" s="25">
        <f t="shared" si="28"/>
        <v>0.3559648859543818</v>
      </c>
      <c r="E46" s="25">
        <f t="shared" si="29"/>
        <v>7.493997599039616E-2</v>
      </c>
      <c r="F46" s="25">
        <f t="shared" si="30"/>
        <v>0.43090486194477795</v>
      </c>
      <c r="G46" s="25">
        <f t="shared" si="31"/>
        <v>0.39967987194877952</v>
      </c>
      <c r="H46" s="25">
        <f t="shared" si="34"/>
        <v>0.22481992797118849</v>
      </c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32"/>
      <c r="W46" s="25">
        <f t="shared" si="32"/>
        <v>1.4863095238095239</v>
      </c>
      <c r="X46" s="33">
        <v>5.0839476495726466</v>
      </c>
      <c r="Y46" s="33"/>
      <c r="Z46" s="33">
        <f t="shared" si="33"/>
        <v>1.036596875427543</v>
      </c>
      <c r="AA46" s="33"/>
      <c r="AE46"/>
      <c r="AF46">
        <v>0.31130000000000002</v>
      </c>
      <c r="AG46">
        <v>0.23130000000000001</v>
      </c>
      <c r="AH46">
        <v>0.2354</v>
      </c>
      <c r="AI46">
        <v>0.22209999999999999</v>
      </c>
      <c r="AJ46"/>
    </row>
    <row r="47" spans="1:36" x14ac:dyDescent="0.25">
      <c r="A47" s="3"/>
      <c r="B47" s="3"/>
      <c r="C47" s="14" t="s">
        <v>99</v>
      </c>
      <c r="D47" s="25">
        <f t="shared" si="28"/>
        <v>0.22768996960486323</v>
      </c>
      <c r="E47" s="25">
        <f t="shared" si="29"/>
        <v>0.60717325227963537</v>
      </c>
      <c r="F47" s="25">
        <f t="shared" si="30"/>
        <v>0.32256079027355627</v>
      </c>
      <c r="G47" s="25">
        <f t="shared" si="31"/>
        <v>0.10119554204660589</v>
      </c>
      <c r="H47" s="25">
        <f>IF(AD33="","",AD33*$N$40)</f>
        <v>0.22768996960486323</v>
      </c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32"/>
      <c r="W47" s="25">
        <f t="shared" si="32"/>
        <v>1.4863095238095241</v>
      </c>
      <c r="X47" s="33">
        <v>5.1822350543478244</v>
      </c>
      <c r="Y47" s="33"/>
      <c r="Z47" s="33">
        <f t="shared" si="33"/>
        <v>1.0169365521084854</v>
      </c>
      <c r="AA47" s="33"/>
      <c r="AE47"/>
      <c r="AF47">
        <v>0.39369999999999999</v>
      </c>
      <c r="AG47">
        <v>0.3054</v>
      </c>
      <c r="AH47">
        <v>0.3009</v>
      </c>
      <c r="AI47"/>
      <c r="AJ47"/>
    </row>
    <row r="48" spans="1:36" x14ac:dyDescent="0.25">
      <c r="A48" s="3"/>
      <c r="B48" s="3"/>
      <c r="C48" s="14" t="s">
        <v>100</v>
      </c>
      <c r="D48" s="25">
        <f t="shared" si="28"/>
        <v>0.47824470482199194</v>
      </c>
      <c r="E48" s="25">
        <f t="shared" si="29"/>
        <v>0.40791460117169898</v>
      </c>
      <c r="F48" s="25">
        <f t="shared" si="30"/>
        <v>0.28132041460117174</v>
      </c>
      <c r="G48" s="25">
        <f t="shared" si="31"/>
        <v>5.626408292023434E-2</v>
      </c>
      <c r="H48" s="25">
        <f t="shared" si="34"/>
        <v>0.26256572029442687</v>
      </c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32"/>
      <c r="W48" s="25">
        <f t="shared" si="32"/>
        <v>1.4863095238095239</v>
      </c>
      <c r="X48" s="33">
        <v>5.5015041493775918</v>
      </c>
      <c r="Y48" s="33"/>
      <c r="Z48" s="33">
        <f t="shared" si="33"/>
        <v>0.95792061685174301</v>
      </c>
      <c r="AA48" s="33"/>
      <c r="AE48"/>
      <c r="AF48">
        <v>0.29830000000000001</v>
      </c>
      <c r="AG48">
        <v>0.33110000000000001</v>
      </c>
      <c r="AH48">
        <v>0.37059999999999998</v>
      </c>
      <c r="AI48"/>
      <c r="AJ48"/>
    </row>
    <row r="49" spans="1:32" x14ac:dyDescent="0.25">
      <c r="A49" s="3"/>
      <c r="B49" s="3"/>
      <c r="C49" s="14" t="s">
        <v>101</v>
      </c>
      <c r="D49" s="25">
        <f t="shared" si="28"/>
        <v>0.16172279792746116</v>
      </c>
      <c r="E49" s="25">
        <f t="shared" si="29"/>
        <v>0.23103256846780168</v>
      </c>
      <c r="F49" s="25">
        <f t="shared" si="30"/>
        <v>0.41585862324204304</v>
      </c>
      <c r="G49" s="25">
        <f t="shared" si="31"/>
        <v>0.12321736984949422</v>
      </c>
      <c r="H49" s="25">
        <f t="shared" si="34"/>
        <v>0.5544781643227239</v>
      </c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32"/>
      <c r="W49" s="25">
        <f t="shared" si="32"/>
        <v>1.4863095238095241</v>
      </c>
      <c r="X49" s="33">
        <v>5.5478181818181813</v>
      </c>
      <c r="Y49" s="33"/>
      <c r="Z49" s="33">
        <f t="shared" si="33"/>
        <v>0.94992374942198865</v>
      </c>
      <c r="AA49" s="33"/>
    </row>
    <row r="50" spans="1:32" ht="13.5" customHeight="1" x14ac:dyDescent="0.25">
      <c r="A50" s="3"/>
      <c r="B50" s="3"/>
      <c r="C50" s="92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15"/>
      <c r="W50" s="25"/>
      <c r="X50" s="33"/>
      <c r="Y50" s="33"/>
      <c r="Z50" s="33"/>
      <c r="AA50" s="33"/>
    </row>
    <row r="51" spans="1:32" x14ac:dyDescent="0.25">
      <c r="A51" s="3"/>
      <c r="B51" s="3"/>
      <c r="C51" s="92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15"/>
      <c r="W51" s="25"/>
      <c r="X51" s="33"/>
      <c r="Y51" s="33"/>
      <c r="Z51" s="33"/>
      <c r="AA51" s="33"/>
    </row>
    <row r="52" spans="1:32" ht="16.5" customHeight="1" x14ac:dyDescent="0.25">
      <c r="A52" s="3"/>
      <c r="B52" s="3"/>
      <c r="C52" s="92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15"/>
      <c r="W52" s="25"/>
      <c r="X52" s="33"/>
      <c r="Y52" s="33"/>
      <c r="Z52" s="33"/>
      <c r="AA52" s="33"/>
    </row>
    <row r="53" spans="1:32" x14ac:dyDescent="0.25">
      <c r="A53" s="3"/>
      <c r="B53" s="3"/>
      <c r="C53" s="34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33"/>
      <c r="W53" s="33">
        <f>AVERAGE(W43:W52)</f>
        <v>1.4863095238095241</v>
      </c>
      <c r="X53" s="33">
        <f>AVERAGE(X43:X52)</f>
        <v>5.2700042483842067</v>
      </c>
      <c r="Y53" s="33"/>
      <c r="Z53" s="33">
        <f>AVERAGE(Z43:Z52)</f>
        <v>1.0014814473104152</v>
      </c>
      <c r="AA53" s="33"/>
    </row>
    <row r="54" spans="1:32" ht="30" x14ac:dyDescent="0.25">
      <c r="A54" s="3"/>
      <c r="B54" s="3"/>
      <c r="C54" s="83" t="s">
        <v>81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15"/>
      <c r="W54" s="35"/>
      <c r="X54" s="23"/>
      <c r="Y54" s="33"/>
      <c r="Z54" s="23"/>
      <c r="AA54" s="25"/>
    </row>
    <row r="55" spans="1:32" x14ac:dyDescent="0.25">
      <c r="C55" s="14" t="s">
        <v>95</v>
      </c>
      <c r="D55" s="25">
        <f>IF(D43="","",D43*$Z43)</f>
        <v>0.70530612173036678</v>
      </c>
      <c r="E55" s="25">
        <f>IF(E43="","",E43*$Z43)</f>
        <v>0.11755102028839447</v>
      </c>
      <c r="F55" s="25">
        <f>IF(F43="","",F43*$Z43)</f>
        <v>0.23510204057678893</v>
      </c>
      <c r="G55" s="25">
        <f>IF(G43="","",G43*$Z43)</f>
        <v>0.31346938743571856</v>
      </c>
      <c r="H55" s="25">
        <f>IF(H43="","",H43*$Z43)</f>
        <v>6.7172011593368261E-2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15"/>
      <c r="W55" s="36">
        <f>+SUM(D55:U55)</f>
        <v>1.438600581624637</v>
      </c>
      <c r="X55" s="37">
        <f>+AVERAGE(D55:U55)</f>
        <v>0.28772011632492739</v>
      </c>
      <c r="Y55" s="21"/>
      <c r="Z55" s="33"/>
      <c r="AA55" s="38"/>
    </row>
    <row r="56" spans="1:32" x14ac:dyDescent="0.25">
      <c r="C56" s="14" t="s">
        <v>96</v>
      </c>
      <c r="D56" s="25">
        <f t="shared" ref="D56:H56" si="35">IF(D44="","",D44*$Z44)</f>
        <v>0.15662156023616103</v>
      </c>
      <c r="E56" s="25">
        <f>IF(E44="","",E44*$Z44)</f>
        <v>0.15662156023616103</v>
      </c>
      <c r="F56" s="25">
        <f t="shared" si="35"/>
        <v>0.71598427536530773</v>
      </c>
      <c r="G56" s="25">
        <f t="shared" si="35"/>
        <v>0.17899606884132688</v>
      </c>
      <c r="H56" s="25">
        <f t="shared" si="35"/>
        <v>0.3281594595424327</v>
      </c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15"/>
      <c r="W56" s="36">
        <f t="shared" ref="W56:W61" si="36">+SUM(D56:U56)</f>
        <v>1.5363829242213893</v>
      </c>
      <c r="X56" s="37">
        <f t="shared" ref="X56:X61" si="37">+AVERAGE(D56:U56)</f>
        <v>0.30727658484427789</v>
      </c>
      <c r="Y56" s="39"/>
      <c r="Z56" s="33"/>
      <c r="AA56" s="38"/>
    </row>
    <row r="57" spans="1:32" x14ac:dyDescent="0.25">
      <c r="C57" s="14" t="s">
        <v>97</v>
      </c>
      <c r="D57" s="25">
        <f t="shared" ref="D57:H57" si="38">IF(D45="","",D45*$Z45)</f>
        <v>0.2312024024553089</v>
      </c>
      <c r="E57" s="25">
        <f t="shared" si="38"/>
        <v>7.7067467485102972E-2</v>
      </c>
      <c r="F57" s="25">
        <f t="shared" si="38"/>
        <v>0.20037541546126772</v>
      </c>
      <c r="G57" s="25">
        <f t="shared" si="38"/>
        <v>0.7398476878569884</v>
      </c>
      <c r="H57" s="25">
        <f t="shared" si="38"/>
        <v>0.30826986994041189</v>
      </c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15"/>
      <c r="W57" s="36">
        <f t="shared" si="36"/>
        <v>1.5567628431990799</v>
      </c>
      <c r="X57" s="37">
        <f t="shared" si="37"/>
        <v>0.31135256863981597</v>
      </c>
      <c r="Y57" s="39"/>
      <c r="Z57" s="33"/>
      <c r="AA57" s="38"/>
    </row>
    <row r="58" spans="1:32" x14ac:dyDescent="0.25">
      <c r="C58" s="14" t="s">
        <v>98</v>
      </c>
      <c r="D58" s="25">
        <f t="shared" ref="D58:H58" si="39">IF(D46="","",D46*$Z46)</f>
        <v>0.36899208854223386</v>
      </c>
      <c r="E58" s="25">
        <f t="shared" si="39"/>
        <v>7.7682544956259744E-2</v>
      </c>
      <c r="F58" s="25">
        <f t="shared" si="39"/>
        <v>0.44667463349849357</v>
      </c>
      <c r="G58" s="25">
        <f t="shared" si="39"/>
        <v>0.41430690643338536</v>
      </c>
      <c r="H58" s="25">
        <f t="shared" si="39"/>
        <v>0.23304763486877927</v>
      </c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15"/>
      <c r="W58" s="36">
        <f t="shared" si="36"/>
        <v>1.5407038082991518</v>
      </c>
      <c r="X58" s="37">
        <f t="shared" si="37"/>
        <v>0.30814076165983034</v>
      </c>
      <c r="Y58" s="39"/>
      <c r="Z58" s="33"/>
      <c r="AA58" s="38"/>
    </row>
    <row r="59" spans="1:32" x14ac:dyDescent="0.25">
      <c r="C59" s="14" t="s">
        <v>99</v>
      </c>
      <c r="D59" s="25">
        <f t="shared" ref="D59:H59" si="40">IF(D47="","",D47*$Z47)</f>
        <v>0.23154625263965548</v>
      </c>
      <c r="E59" s="25">
        <f t="shared" si="40"/>
        <v>0.61745667370574797</v>
      </c>
      <c r="F59" s="25">
        <f t="shared" si="40"/>
        <v>0.32802385790617861</v>
      </c>
      <c r="G59" s="25">
        <f t="shared" si="40"/>
        <v>0.10290944561762465</v>
      </c>
      <c r="H59" s="25">
        <f t="shared" si="40"/>
        <v>0.23154625263965548</v>
      </c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15"/>
      <c r="W59" s="36">
        <f t="shared" si="36"/>
        <v>1.5114824825088622</v>
      </c>
      <c r="X59" s="37">
        <f t="shared" si="37"/>
        <v>0.30229649650177243</v>
      </c>
      <c r="Y59" s="39"/>
      <c r="Z59" s="33"/>
      <c r="AA59" s="38"/>
    </row>
    <row r="60" spans="1:32" x14ac:dyDescent="0.25">
      <c r="C60" s="14" t="s">
        <v>100</v>
      </c>
      <c r="D60" s="25">
        <f t="shared" ref="D60:H60" si="41">IF(D48="","",D48*$Z48)</f>
        <v>0.45812046264916229</v>
      </c>
      <c r="E60" s="25">
        <f t="shared" si="41"/>
        <v>0.39074980637722662</v>
      </c>
      <c r="F60" s="25">
        <f t="shared" si="41"/>
        <v>0.26948262508774251</v>
      </c>
      <c r="G60" s="25">
        <f t="shared" si="41"/>
        <v>5.3896525017548498E-2</v>
      </c>
      <c r="H60" s="25">
        <f t="shared" si="41"/>
        <v>0.25151711674855959</v>
      </c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15"/>
      <c r="W60" s="36">
        <f t="shared" si="36"/>
        <v>1.4237665358802394</v>
      </c>
      <c r="X60" s="37">
        <f t="shared" si="37"/>
        <v>0.28475330717604785</v>
      </c>
      <c r="Y60" s="39"/>
      <c r="Z60" s="33"/>
      <c r="AA60" s="38"/>
    </row>
    <row r="61" spans="1:32" x14ac:dyDescent="0.25">
      <c r="C61" s="14" t="s">
        <v>101</v>
      </c>
      <c r="D61" s="25">
        <f t="shared" ref="D61:H61" si="42">IF(D49="","",D49*$Z49)</f>
        <v>0.15362432657426853</v>
      </c>
      <c r="E61" s="25">
        <f t="shared" si="42"/>
        <v>0.21946332367752647</v>
      </c>
      <c r="F61" s="25">
        <f t="shared" si="42"/>
        <v>0.3950339826195477</v>
      </c>
      <c r="G61" s="25">
        <f t="shared" si="42"/>
        <v>0.11704710596134744</v>
      </c>
      <c r="H61" s="25">
        <f t="shared" si="42"/>
        <v>0.52671197682606341</v>
      </c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15"/>
      <c r="W61" s="36">
        <f t="shared" si="36"/>
        <v>1.4118807156587536</v>
      </c>
      <c r="X61" s="37">
        <f t="shared" si="37"/>
        <v>0.28237614313175075</v>
      </c>
      <c r="Y61" s="39"/>
      <c r="Z61" s="33"/>
      <c r="AA61" s="38"/>
    </row>
    <row r="62" spans="1:32" ht="14.25" customHeight="1" x14ac:dyDescent="0.25">
      <c r="A62" s="3"/>
      <c r="B62" s="3"/>
      <c r="C62" s="92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15"/>
      <c r="W62" s="36"/>
      <c r="X62" s="37"/>
      <c r="Y62" s="39"/>
      <c r="Z62" s="33"/>
      <c r="AA62" s="38"/>
    </row>
    <row r="63" spans="1:32" x14ac:dyDescent="0.25">
      <c r="A63" s="3"/>
      <c r="B63" s="3"/>
      <c r="C63" s="92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15"/>
      <c r="W63" s="36"/>
      <c r="X63" s="37"/>
      <c r="Y63" s="39"/>
      <c r="Z63" s="33"/>
      <c r="AA63" s="44"/>
      <c r="AB63" s="41"/>
      <c r="AC63" s="41"/>
      <c r="AD63" s="41"/>
      <c r="AE63" s="41"/>
      <c r="AF63" s="41"/>
    </row>
    <row r="64" spans="1:32" x14ac:dyDescent="0.25">
      <c r="A64" s="3"/>
      <c r="B64" s="3"/>
      <c r="C64" s="92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15"/>
      <c r="W64" s="36"/>
      <c r="X64" s="37"/>
      <c r="Y64" s="39"/>
      <c r="Z64" s="33"/>
      <c r="AA64" s="44"/>
      <c r="AB64" s="41"/>
      <c r="AC64" s="41"/>
      <c r="AD64" s="41"/>
      <c r="AE64" s="41"/>
      <c r="AF64" s="41"/>
    </row>
    <row r="65" spans="3:53" x14ac:dyDescent="0.25">
      <c r="V65" s="15"/>
      <c r="W65" s="15"/>
      <c r="Y65" s="39"/>
      <c r="AA65" s="41"/>
      <c r="AB65" s="41"/>
      <c r="AC65" s="41"/>
      <c r="AD65" s="41"/>
      <c r="AE65" s="41"/>
      <c r="AF65" s="41"/>
    </row>
    <row r="66" spans="3:53" x14ac:dyDescent="0.25">
      <c r="F66" s="40"/>
      <c r="G66" s="40"/>
      <c r="H66" s="40"/>
      <c r="I66" s="40"/>
      <c r="J66" s="40"/>
      <c r="K66" s="40"/>
      <c r="L66" s="40"/>
      <c r="P66" s="40"/>
      <c r="S66" s="40"/>
      <c r="Y66" s="3" t="s">
        <v>7</v>
      </c>
      <c r="Z66" s="3" t="s">
        <v>8</v>
      </c>
      <c r="AA66" s="41"/>
      <c r="AB66" s="41"/>
      <c r="AC66" s="41"/>
      <c r="AD66" s="41"/>
      <c r="AE66" s="41"/>
      <c r="AF66" s="41"/>
    </row>
    <row r="67" spans="3:53" x14ac:dyDescent="0.25">
      <c r="C67" s="14" t="s">
        <v>95</v>
      </c>
      <c r="D67" s="25">
        <f>IF(D55="","",D$41*D55)</f>
        <v>0.19217240796746729</v>
      </c>
      <c r="E67" s="25">
        <f>IF(E55="","",E$41*E55)</f>
        <v>1.8532571409689211E-2</v>
      </c>
      <c r="F67" s="25">
        <f>IF(F55="","",F$41*F55)</f>
        <v>3.3307428537492745E-2</v>
      </c>
      <c r="G67" s="25">
        <f>IF(G55="","",G$41*G55)</f>
        <v>6.9542312854315724E-2</v>
      </c>
      <c r="H67" s="25">
        <f>IF(H55="","",H$41*H55)</f>
        <v>1.3861877536897004E-2</v>
      </c>
      <c r="I67" s="25" t="str">
        <f t="shared" ref="I67:U67" si="43">IF(I55="","",I$42*I55)</f>
        <v/>
      </c>
      <c r="J67" s="25" t="str">
        <f t="shared" si="43"/>
        <v/>
      </c>
      <c r="K67" s="25" t="str">
        <f t="shared" si="43"/>
        <v/>
      </c>
      <c r="L67" s="25" t="str">
        <f t="shared" si="43"/>
        <v/>
      </c>
      <c r="M67" s="25" t="str">
        <f t="shared" si="43"/>
        <v/>
      </c>
      <c r="N67" s="25" t="str">
        <f t="shared" si="43"/>
        <v/>
      </c>
      <c r="O67" s="25" t="str">
        <f t="shared" si="43"/>
        <v/>
      </c>
      <c r="P67" s="25" t="str">
        <f t="shared" si="43"/>
        <v/>
      </c>
      <c r="Q67" s="25" t="str">
        <f t="shared" si="43"/>
        <v/>
      </c>
      <c r="R67" s="25" t="str">
        <f t="shared" si="43"/>
        <v/>
      </c>
      <c r="S67" s="25" t="str">
        <f t="shared" si="43"/>
        <v/>
      </c>
      <c r="T67" s="25" t="str">
        <f t="shared" si="43"/>
        <v/>
      </c>
      <c r="U67" s="25" t="str">
        <f t="shared" si="43"/>
        <v/>
      </c>
      <c r="V67" s="32">
        <f>+SUM(D67:H67)</f>
        <v>0.32741659830586195</v>
      </c>
      <c r="W67" s="42"/>
      <c r="Y67" s="39">
        <f>V67/MAX($V$67:$V$76)*100</f>
        <v>98.833313464560717</v>
      </c>
      <c r="Z67" s="3">
        <f>_xlfn.RANK.EQ(Y67,$Y$67:$Y$76,0)</f>
        <v>2</v>
      </c>
      <c r="AA67" s="45"/>
      <c r="AB67" s="48"/>
      <c r="AC67"/>
      <c r="AD67" s="41"/>
      <c r="AE67" s="76"/>
      <c r="AF67" s="76"/>
      <c r="BA67" s="3">
        <v>9</v>
      </c>
    </row>
    <row r="68" spans="3:53" x14ac:dyDescent="0.25">
      <c r="C68" s="14" t="s">
        <v>96</v>
      </c>
      <c r="D68" s="25">
        <f t="shared" ref="D68:H73" si="44">IF(D56="","",D$41*D56)</f>
        <v>4.2674154445679346E-2</v>
      </c>
      <c r="E68" s="25">
        <f t="shared" si="44"/>
        <v>2.4692259091009874E-2</v>
      </c>
      <c r="F68" s="25">
        <f t="shared" si="44"/>
        <v>0.10143508336717061</v>
      </c>
      <c r="G68" s="25">
        <f t="shared" si="44"/>
        <v>3.9709780661146027E-2</v>
      </c>
      <c r="H68" s="25">
        <f t="shared" si="44"/>
        <v>6.7720262246852417E-2</v>
      </c>
      <c r="I68" s="25" t="str">
        <f t="shared" ref="I68:U73" si="45">IF(I56="","",I$42*I56)</f>
        <v/>
      </c>
      <c r="J68" s="25" t="str">
        <f t="shared" si="45"/>
        <v/>
      </c>
      <c r="K68" s="25" t="str">
        <f t="shared" si="45"/>
        <v/>
      </c>
      <c r="L68" s="25" t="str">
        <f t="shared" si="45"/>
        <v/>
      </c>
      <c r="M68" s="25" t="str">
        <f t="shared" si="45"/>
        <v/>
      </c>
      <c r="N68" s="25" t="str">
        <f t="shared" si="45"/>
        <v/>
      </c>
      <c r="O68" s="25" t="str">
        <f t="shared" si="45"/>
        <v/>
      </c>
      <c r="P68" s="25" t="str">
        <f t="shared" si="45"/>
        <v/>
      </c>
      <c r="Q68" s="25" t="str">
        <f t="shared" si="45"/>
        <v/>
      </c>
      <c r="R68" s="25" t="str">
        <f t="shared" si="45"/>
        <v/>
      </c>
      <c r="S68" s="25" t="str">
        <f t="shared" si="45"/>
        <v/>
      </c>
      <c r="T68" s="25" t="str">
        <f t="shared" si="45"/>
        <v/>
      </c>
      <c r="U68" s="25" t="str">
        <f t="shared" si="45"/>
        <v/>
      </c>
      <c r="V68" s="32">
        <f t="shared" ref="V68:V73" si="46">+SUM(D68:H68)</f>
        <v>0.27623153981185827</v>
      </c>
      <c r="W68" s="42"/>
      <c r="Y68" s="39">
        <f t="shared" ref="Y68:Y73" si="47">V68/MAX($V$67:$V$76)*100</f>
        <v>83.382695026108848</v>
      </c>
      <c r="Z68" s="3">
        <f t="shared" ref="Z68:Z73" si="48">_xlfn.RANK.EQ(Y68,$Y$67:$Y$76,0)</f>
        <v>6</v>
      </c>
      <c r="AA68" s="45"/>
      <c r="AB68" s="48"/>
      <c r="AC68"/>
      <c r="AD68" s="41"/>
      <c r="AE68" s="76"/>
      <c r="AF68" s="76"/>
      <c r="BA68" s="3">
        <v>6</v>
      </c>
    </row>
    <row r="69" spans="3:53" x14ac:dyDescent="0.25">
      <c r="C69" s="14" t="s">
        <v>97</v>
      </c>
      <c r="D69" s="25">
        <f t="shared" si="44"/>
        <v>6.2994947922323172E-2</v>
      </c>
      <c r="E69" s="25">
        <f t="shared" si="44"/>
        <v>1.2150114401623623E-2</v>
      </c>
      <c r="F69" s="25">
        <f t="shared" si="44"/>
        <v>2.8387630387098819E-2</v>
      </c>
      <c r="G69" s="25">
        <f t="shared" si="44"/>
        <v>0.1641331544186066</v>
      </c>
      <c r="H69" s="25">
        <f t="shared" si="44"/>
        <v>6.3615769188175394E-2</v>
      </c>
      <c r="I69" s="25" t="str">
        <f t="shared" si="45"/>
        <v/>
      </c>
      <c r="J69" s="25" t="str">
        <f t="shared" si="45"/>
        <v/>
      </c>
      <c r="K69" s="25" t="str">
        <f t="shared" si="45"/>
        <v/>
      </c>
      <c r="L69" s="25" t="str">
        <f t="shared" si="45"/>
        <v/>
      </c>
      <c r="M69" s="25" t="str">
        <f t="shared" si="45"/>
        <v/>
      </c>
      <c r="N69" s="25" t="str">
        <f t="shared" si="45"/>
        <v/>
      </c>
      <c r="O69" s="25" t="str">
        <f t="shared" si="45"/>
        <v/>
      </c>
      <c r="P69" s="25" t="str">
        <f t="shared" si="45"/>
        <v/>
      </c>
      <c r="Q69" s="25" t="str">
        <f t="shared" si="45"/>
        <v/>
      </c>
      <c r="R69" s="25" t="str">
        <f t="shared" si="45"/>
        <v/>
      </c>
      <c r="S69" s="25" t="str">
        <f t="shared" si="45"/>
        <v/>
      </c>
      <c r="T69" s="25" t="str">
        <f t="shared" si="45"/>
        <v/>
      </c>
      <c r="U69" s="25" t="str">
        <f t="shared" si="45"/>
        <v/>
      </c>
      <c r="V69" s="32">
        <f t="shared" si="46"/>
        <v>0.33128161631782765</v>
      </c>
      <c r="W69" s="42"/>
      <c r="Y69" s="39">
        <f t="shared" si="47"/>
        <v>100</v>
      </c>
      <c r="Z69" s="3">
        <f t="shared" si="48"/>
        <v>1</v>
      </c>
      <c r="AA69" s="45"/>
      <c r="AB69" s="48"/>
      <c r="AC69"/>
      <c r="AD69" s="41"/>
      <c r="AE69" s="76"/>
      <c r="AF69" s="76"/>
      <c r="BA69" s="3">
        <v>3</v>
      </c>
    </row>
    <row r="70" spans="3:53" x14ac:dyDescent="0.25">
      <c r="C70" s="14" t="s">
        <v>98</v>
      </c>
      <c r="D70" s="25">
        <f t="shared" si="44"/>
        <v>0.100538044391474</v>
      </c>
      <c r="E70" s="25">
        <f t="shared" si="44"/>
        <v>1.2247084782048549E-2</v>
      </c>
      <c r="F70" s="25">
        <f t="shared" si="44"/>
        <v>6.3281387938028233E-2</v>
      </c>
      <c r="G70" s="25">
        <f t="shared" si="44"/>
        <v>9.191283633972866E-2</v>
      </c>
      <c r="H70" s="25">
        <f t="shared" si="44"/>
        <v>4.8092616227879116E-2</v>
      </c>
      <c r="I70" s="25" t="str">
        <f t="shared" si="45"/>
        <v/>
      </c>
      <c r="J70" s="25" t="str">
        <f t="shared" si="45"/>
        <v/>
      </c>
      <c r="K70" s="25" t="str">
        <f t="shared" si="45"/>
        <v/>
      </c>
      <c r="L70" s="25" t="str">
        <f t="shared" si="45"/>
        <v/>
      </c>
      <c r="M70" s="25" t="str">
        <f t="shared" si="45"/>
        <v/>
      </c>
      <c r="N70" s="25" t="str">
        <f t="shared" si="45"/>
        <v/>
      </c>
      <c r="O70" s="25" t="str">
        <f t="shared" si="45"/>
        <v/>
      </c>
      <c r="P70" s="25" t="str">
        <f t="shared" si="45"/>
        <v/>
      </c>
      <c r="Q70" s="25" t="str">
        <f t="shared" si="45"/>
        <v/>
      </c>
      <c r="R70" s="25" t="str">
        <f t="shared" si="45"/>
        <v/>
      </c>
      <c r="S70" s="25" t="str">
        <f t="shared" si="45"/>
        <v/>
      </c>
      <c r="T70" s="25" t="str">
        <f t="shared" si="45"/>
        <v/>
      </c>
      <c r="U70" s="25" t="str">
        <f t="shared" si="45"/>
        <v/>
      </c>
      <c r="V70" s="32">
        <f t="shared" si="46"/>
        <v>0.31607196967915857</v>
      </c>
      <c r="W70" s="42"/>
      <c r="Y70" s="39">
        <f t="shared" si="47"/>
        <v>95.408846766771049</v>
      </c>
      <c r="Z70" s="3">
        <f t="shared" si="48"/>
        <v>3</v>
      </c>
      <c r="AA70" s="45"/>
      <c r="AB70" s="48"/>
      <c r="AC70"/>
      <c r="AD70" s="41"/>
      <c r="AE70" s="76"/>
      <c r="AF70" s="76"/>
      <c r="BA70" s="3">
        <v>5</v>
      </c>
    </row>
    <row r="71" spans="3:53" x14ac:dyDescent="0.25">
      <c r="C71" s="14" t="s">
        <v>99</v>
      </c>
      <c r="D71" s="25">
        <f t="shared" si="44"/>
        <v>6.3088635635884807E-2</v>
      </c>
      <c r="E71" s="25">
        <f t="shared" si="44"/>
        <v>9.7345474924565079E-2</v>
      </c>
      <c r="F71" s="25">
        <f t="shared" si="44"/>
        <v>4.6471868891474775E-2</v>
      </c>
      <c r="G71" s="25">
        <f t="shared" si="44"/>
        <v>2.2830174650698865E-2</v>
      </c>
      <c r="H71" s="25">
        <f t="shared" si="44"/>
        <v>4.7782785152368459E-2</v>
      </c>
      <c r="I71" s="25" t="str">
        <f t="shared" si="45"/>
        <v/>
      </c>
      <c r="J71" s="25" t="str">
        <f t="shared" si="45"/>
        <v/>
      </c>
      <c r="K71" s="25" t="str">
        <f t="shared" si="45"/>
        <v/>
      </c>
      <c r="L71" s="25" t="str">
        <f t="shared" si="45"/>
        <v/>
      </c>
      <c r="M71" s="25" t="str">
        <f t="shared" si="45"/>
        <v/>
      </c>
      <c r="N71" s="25" t="str">
        <f t="shared" si="45"/>
        <v/>
      </c>
      <c r="O71" s="25" t="str">
        <f t="shared" si="45"/>
        <v/>
      </c>
      <c r="P71" s="25" t="str">
        <f t="shared" si="45"/>
        <v/>
      </c>
      <c r="Q71" s="25" t="str">
        <f t="shared" si="45"/>
        <v/>
      </c>
      <c r="R71" s="25" t="str">
        <f t="shared" si="45"/>
        <v/>
      </c>
      <c r="S71" s="25" t="str">
        <f t="shared" si="45"/>
        <v/>
      </c>
      <c r="T71" s="25" t="str">
        <f t="shared" si="45"/>
        <v/>
      </c>
      <c r="U71" s="25" t="str">
        <f t="shared" si="45"/>
        <v/>
      </c>
      <c r="V71" s="32">
        <f t="shared" si="46"/>
        <v>0.27751893925499199</v>
      </c>
      <c r="W71" s="42"/>
      <c r="Y71" s="39">
        <f t="shared" si="47"/>
        <v>83.77130682335951</v>
      </c>
      <c r="Z71" s="3">
        <f t="shared" si="48"/>
        <v>5</v>
      </c>
      <c r="AA71" s="45"/>
      <c r="AB71" s="48"/>
      <c r="AC71"/>
      <c r="AD71" s="41"/>
      <c r="AE71" s="76"/>
      <c r="AF71" s="76"/>
      <c r="BA71" s="3">
        <v>10</v>
      </c>
    </row>
    <row r="72" spans="3:53" x14ac:dyDescent="0.25">
      <c r="C72" s="14" t="s">
        <v>100</v>
      </c>
      <c r="D72" s="25">
        <f t="shared" si="44"/>
        <v>0.12482255538980842</v>
      </c>
      <c r="E72" s="25">
        <f t="shared" si="44"/>
        <v>6.1603877807627425E-2</v>
      </c>
      <c r="F72" s="25">
        <f t="shared" si="44"/>
        <v>3.8178202346458447E-2</v>
      </c>
      <c r="G72" s="25">
        <f t="shared" si="44"/>
        <v>1.1956794362573639E-2</v>
      </c>
      <c r="H72" s="25">
        <f t="shared" si="44"/>
        <v>5.1904050334353448E-2</v>
      </c>
      <c r="I72" s="25" t="str">
        <f t="shared" si="45"/>
        <v/>
      </c>
      <c r="J72" s="25" t="str">
        <f t="shared" si="45"/>
        <v/>
      </c>
      <c r="K72" s="25" t="str">
        <f t="shared" si="45"/>
        <v/>
      </c>
      <c r="L72" s="25" t="str">
        <f t="shared" si="45"/>
        <v/>
      </c>
      <c r="M72" s="25" t="str">
        <f t="shared" si="45"/>
        <v/>
      </c>
      <c r="N72" s="25" t="str">
        <f t="shared" si="45"/>
        <v/>
      </c>
      <c r="O72" s="25" t="str">
        <f t="shared" si="45"/>
        <v/>
      </c>
      <c r="P72" s="25" t="str">
        <f t="shared" si="45"/>
        <v/>
      </c>
      <c r="Q72" s="25" t="str">
        <f t="shared" si="45"/>
        <v/>
      </c>
      <c r="R72" s="25" t="str">
        <f t="shared" si="45"/>
        <v/>
      </c>
      <c r="S72" s="25" t="str">
        <f t="shared" si="45"/>
        <v/>
      </c>
      <c r="T72" s="25" t="str">
        <f t="shared" si="45"/>
        <v/>
      </c>
      <c r="U72" s="25" t="str">
        <f t="shared" si="45"/>
        <v/>
      </c>
      <c r="V72" s="32">
        <f t="shared" si="46"/>
        <v>0.28846548024082136</v>
      </c>
      <c r="W72" s="42"/>
      <c r="Y72" s="39">
        <f>V72/MAX($V$67:$V$76)*100</f>
        <v>87.075607589426568</v>
      </c>
      <c r="Z72" s="3">
        <f t="shared" si="48"/>
        <v>4</v>
      </c>
      <c r="AA72" s="45"/>
      <c r="AB72" s="48"/>
      <c r="AC72"/>
      <c r="AD72" s="41"/>
      <c r="AE72" s="76"/>
      <c r="AF72" s="76"/>
      <c r="BA72" s="3">
        <v>4</v>
      </c>
    </row>
    <row r="73" spans="3:53" x14ac:dyDescent="0.25">
      <c r="C73" s="14" t="s">
        <v>101</v>
      </c>
      <c r="D73" s="25">
        <f t="shared" si="44"/>
        <v>4.1857508180602368E-2</v>
      </c>
      <c r="E73" s="25">
        <f t="shared" si="44"/>
        <v>3.4599612218449143E-2</v>
      </c>
      <c r="F73" s="25">
        <f t="shared" si="44"/>
        <v>5.5965342171006023E-2</v>
      </c>
      <c r="G73" s="25">
        <f t="shared" si="44"/>
        <v>2.5966575326675036E-2</v>
      </c>
      <c r="H73" s="25">
        <f t="shared" si="44"/>
        <v>0.10869433186218078</v>
      </c>
      <c r="I73" s="25" t="str">
        <f t="shared" si="45"/>
        <v/>
      </c>
      <c r="J73" s="25" t="str">
        <f t="shared" si="45"/>
        <v/>
      </c>
      <c r="K73" s="25" t="str">
        <f t="shared" si="45"/>
        <v/>
      </c>
      <c r="L73" s="25" t="str">
        <f t="shared" si="45"/>
        <v/>
      </c>
      <c r="M73" s="25" t="str">
        <f t="shared" si="45"/>
        <v/>
      </c>
      <c r="N73" s="25" t="str">
        <f t="shared" si="45"/>
        <v/>
      </c>
      <c r="O73" s="25" t="str">
        <f t="shared" si="45"/>
        <v/>
      </c>
      <c r="P73" s="25" t="str">
        <f t="shared" si="45"/>
        <v/>
      </c>
      <c r="Q73" s="25" t="str">
        <f t="shared" si="45"/>
        <v/>
      </c>
      <c r="R73" s="25" t="str">
        <f t="shared" si="45"/>
        <v/>
      </c>
      <c r="S73" s="25" t="str">
        <f t="shared" si="45"/>
        <v/>
      </c>
      <c r="T73" s="25" t="str">
        <f t="shared" si="45"/>
        <v/>
      </c>
      <c r="U73" s="25" t="str">
        <f t="shared" si="45"/>
        <v/>
      </c>
      <c r="V73" s="32">
        <f t="shared" si="46"/>
        <v>0.26708336975891334</v>
      </c>
      <c r="W73" s="42"/>
      <c r="Y73" s="39">
        <f t="shared" si="47"/>
        <v>80.621246879777573</v>
      </c>
      <c r="Z73" s="3">
        <f t="shared" si="48"/>
        <v>7</v>
      </c>
      <c r="AA73" s="45"/>
      <c r="AB73" s="48"/>
      <c r="AC73"/>
      <c r="AD73" s="41"/>
      <c r="AE73" s="76"/>
      <c r="AF73" s="76"/>
      <c r="BA73" s="3">
        <v>7</v>
      </c>
    </row>
    <row r="74" spans="3:53" ht="16.5" customHeight="1" x14ac:dyDescent="0.25">
      <c r="C74" s="92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32"/>
      <c r="W74" s="42"/>
      <c r="Y74" s="39"/>
      <c r="AA74" s="45"/>
      <c r="AB74" s="48"/>
      <c r="AC74"/>
      <c r="AD74" s="41"/>
      <c r="AE74" s="76"/>
      <c r="AF74" s="76"/>
    </row>
    <row r="75" spans="3:53" x14ac:dyDescent="0.25">
      <c r="C75" s="92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32"/>
      <c r="W75" s="42"/>
      <c r="Y75" s="39"/>
      <c r="AA75" s="45"/>
      <c r="AB75" s="48"/>
      <c r="AC75"/>
      <c r="AD75" s="41"/>
      <c r="AE75" s="76"/>
      <c r="AF75" s="76"/>
    </row>
    <row r="76" spans="3:53" x14ac:dyDescent="0.25">
      <c r="C76" s="92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32"/>
      <c r="W76" s="42"/>
      <c r="Y76" s="39"/>
      <c r="AA76" s="45"/>
      <c r="AB76" s="48"/>
      <c r="AC76"/>
      <c r="AD76" s="41"/>
      <c r="AE76" s="76"/>
      <c r="AF76" s="76"/>
    </row>
    <row r="77" spans="3:53" x14ac:dyDescent="0.25">
      <c r="V77" s="15">
        <f>AVERAGE(V67:V76)</f>
        <v>0.29772421619563333</v>
      </c>
      <c r="W77" s="15"/>
      <c r="Y77" s="25"/>
      <c r="AA77" s="41"/>
      <c r="AB77" s="41"/>
      <c r="AC77" s="41"/>
      <c r="AD77" s="41"/>
      <c r="AE77" s="41"/>
      <c r="AF77" s="41"/>
    </row>
    <row r="78" spans="3:53" x14ac:dyDescent="0.25">
      <c r="Y78" s="25"/>
      <c r="AA78" s="41"/>
      <c r="AB78" s="41"/>
      <c r="AC78" s="41"/>
      <c r="AD78" s="41"/>
      <c r="AE78" s="41"/>
      <c r="AF78" s="41"/>
    </row>
    <row r="79" spans="3:53" x14ac:dyDescent="0.25">
      <c r="C79" s="3" t="s">
        <v>80</v>
      </c>
      <c r="AA79" s="41"/>
      <c r="AB79" s="41"/>
      <c r="AC79" s="41"/>
      <c r="AD79" s="41"/>
      <c r="AE79" s="41"/>
      <c r="AF79" s="41"/>
    </row>
    <row r="80" spans="3:53" ht="15.75" customHeight="1" x14ac:dyDescent="0.25">
      <c r="C80" s="14" t="s">
        <v>95</v>
      </c>
      <c r="D80" s="3">
        <f>IF(D55="","",D55^D$41)</f>
        <v>0.90925974563917589</v>
      </c>
      <c r="E80" s="3">
        <f>IF(E55="","",E55^E$41)</f>
        <v>0.71353622602931899</v>
      </c>
      <c r="F80" s="3">
        <f t="shared" ref="F80:G80" si="49">IF(F55="","",F55^F$41)</f>
        <v>0.81456265789072535</v>
      </c>
      <c r="G80" s="3">
        <f t="shared" si="49"/>
        <v>0.77309397773637301</v>
      </c>
      <c r="H80" s="3">
        <f>IF(H55="","",H55^H$41)</f>
        <v>0.57276177704293185</v>
      </c>
      <c r="V80" s="32">
        <f>+SUM(D80:H80)</f>
        <v>3.7832143843385255</v>
      </c>
      <c r="Y80" s="39">
        <f>V80/MAX($V$80:$V$89)*100</f>
        <v>97.367855190953691</v>
      </c>
      <c r="Z80" s="3">
        <f>_xlfn.RANK.EQ(Y80,$Y$80:$Y$89,0)</f>
        <v>4</v>
      </c>
      <c r="AA80" s="41"/>
      <c r="AB80" s="41"/>
      <c r="AC80" s="41"/>
      <c r="AD80" s="41"/>
      <c r="AE80" s="41"/>
      <c r="AF80" s="41"/>
    </row>
    <row r="81" spans="3:26" x14ac:dyDescent="0.25">
      <c r="C81" s="14" t="s">
        <v>96</v>
      </c>
      <c r="D81" s="3">
        <f>IF(D56="","",D56^D$41)</f>
        <v>0.60342581346874535</v>
      </c>
      <c r="E81" s="3">
        <f t="shared" ref="E81:H81" si="50">IF(E56="","",E56^E$41)</f>
        <v>0.7465585492689425</v>
      </c>
      <c r="F81" s="3">
        <f t="shared" si="50"/>
        <v>0.95377043094189651</v>
      </c>
      <c r="G81" s="3">
        <f t="shared" si="50"/>
        <v>0.68272436840927553</v>
      </c>
      <c r="H81" s="3">
        <f t="shared" si="50"/>
        <v>0.7945795871867396</v>
      </c>
      <c r="V81" s="32">
        <f>+SUM(D81:H81)</f>
        <v>3.7810587492755996</v>
      </c>
      <c r="Y81" s="39">
        <f t="shared" ref="Y81:Y86" si="51">V81/MAX($V$80:$V$89)*100</f>
        <v>97.31237602923332</v>
      </c>
      <c r="Z81" s="3">
        <f t="shared" ref="Z81:Z86" si="52">_xlfn.RANK.EQ(Y81,$Y$80:$Y$89,0)</f>
        <v>5</v>
      </c>
    </row>
    <row r="82" spans="3:26" x14ac:dyDescent="0.25">
      <c r="C82" s="14" t="s">
        <v>97</v>
      </c>
      <c r="D82" s="3">
        <f>IF(D57="","",D57^D$41)</f>
        <v>0.67097928672145646</v>
      </c>
      <c r="E82" s="3">
        <f t="shared" ref="D82:H86" si="53">IF(E57="","",E57^E$41)</f>
        <v>0.66758880146530564</v>
      </c>
      <c r="F82" s="3">
        <f t="shared" si="53"/>
        <v>0.79632573251211647</v>
      </c>
      <c r="G82" s="3">
        <f t="shared" si="53"/>
        <v>0.93534017219744769</v>
      </c>
      <c r="H82" s="3">
        <f t="shared" si="53"/>
        <v>0.78439321797381101</v>
      </c>
      <c r="V82" s="32">
        <f t="shared" ref="V82:V86" si="54">+SUM(D82:H82)</f>
        <v>3.8546272108701372</v>
      </c>
      <c r="Y82" s="39">
        <f t="shared" si="51"/>
        <v>99.205793263216123</v>
      </c>
      <c r="Z82" s="3">
        <f t="shared" si="52"/>
        <v>2</v>
      </c>
    </row>
    <row r="83" spans="3:26" x14ac:dyDescent="0.25">
      <c r="C83" s="14" t="s">
        <v>98</v>
      </c>
      <c r="D83" s="3">
        <f t="shared" si="53"/>
        <v>0.76212565303997948</v>
      </c>
      <c r="E83" s="3">
        <f t="shared" si="53"/>
        <v>0.66842598735987024</v>
      </c>
      <c r="F83" s="3">
        <f t="shared" si="53"/>
        <v>0.89209989493151109</v>
      </c>
      <c r="G83" s="3">
        <f t="shared" si="53"/>
        <v>0.82243955054034201</v>
      </c>
      <c r="H83" s="3">
        <f t="shared" si="53"/>
        <v>0.74039491658675372</v>
      </c>
      <c r="V83" s="32">
        <f t="shared" si="54"/>
        <v>3.8854860024584568</v>
      </c>
      <c r="Y83" s="39">
        <f t="shared" si="51"/>
        <v>100</v>
      </c>
      <c r="Z83" s="3">
        <f t="shared" si="52"/>
        <v>1</v>
      </c>
    </row>
    <row r="84" spans="3:26" x14ac:dyDescent="0.25">
      <c r="C84" s="14" t="s">
        <v>99</v>
      </c>
      <c r="D84" s="3">
        <f t="shared" si="53"/>
        <v>0.67125103361866933</v>
      </c>
      <c r="E84" s="3">
        <f t="shared" si="53"/>
        <v>0.9268041071250569</v>
      </c>
      <c r="F84" s="3">
        <f t="shared" si="53"/>
        <v>0.85392012059942646</v>
      </c>
      <c r="G84" s="3">
        <f t="shared" si="53"/>
        <v>0.60383174026537334</v>
      </c>
      <c r="H84" s="3">
        <f t="shared" si="53"/>
        <v>0.73940805368083207</v>
      </c>
      <c r="V84" s="32">
        <f t="shared" si="54"/>
        <v>3.7952150552893578</v>
      </c>
      <c r="Y84" s="39">
        <f t="shared" si="51"/>
        <v>97.676714132749879</v>
      </c>
      <c r="Z84" s="3">
        <f t="shared" si="52"/>
        <v>3</v>
      </c>
    </row>
    <row r="85" spans="3:26" x14ac:dyDescent="0.25">
      <c r="C85" s="14" t="s">
        <v>100</v>
      </c>
      <c r="D85" s="3">
        <f t="shared" si="53"/>
        <v>0.80840365122250513</v>
      </c>
      <c r="E85" s="3">
        <f t="shared" si="53"/>
        <v>0.86230434431873171</v>
      </c>
      <c r="F85" s="3">
        <f t="shared" si="53"/>
        <v>0.83046632858738845</v>
      </c>
      <c r="G85" s="3">
        <f t="shared" si="53"/>
        <v>0.5231187410107051</v>
      </c>
      <c r="H85" s="3">
        <f t="shared" si="53"/>
        <v>0.75214017644063758</v>
      </c>
      <c r="V85" s="32">
        <f t="shared" si="54"/>
        <v>3.7764332415799675</v>
      </c>
      <c r="Y85" s="39">
        <f t="shared" si="51"/>
        <v>97.193330234377669</v>
      </c>
      <c r="Z85" s="3">
        <f t="shared" si="52"/>
        <v>6</v>
      </c>
    </row>
    <row r="86" spans="3:26" x14ac:dyDescent="0.25">
      <c r="C86" s="14" t="s">
        <v>101</v>
      </c>
      <c r="D86" s="3">
        <f t="shared" si="53"/>
        <v>0.60025732134505039</v>
      </c>
      <c r="E86" s="3">
        <f t="shared" si="53"/>
        <v>0.78733952277377339</v>
      </c>
      <c r="F86" s="3">
        <f t="shared" si="53"/>
        <v>0.87670666293329735</v>
      </c>
      <c r="G86" s="3">
        <f t="shared" si="53"/>
        <v>0.62132439377867199</v>
      </c>
      <c r="H86" s="3">
        <f t="shared" si="53"/>
        <v>0.87607797378441654</v>
      </c>
      <c r="V86" s="32">
        <f t="shared" si="54"/>
        <v>3.7617058746152097</v>
      </c>
      <c r="Y86" s="39">
        <f t="shared" si="51"/>
        <v>96.814294845871842</v>
      </c>
      <c r="Z86" s="3">
        <f t="shared" si="52"/>
        <v>7</v>
      </c>
    </row>
    <row r="87" spans="3:26" x14ac:dyDescent="0.25">
      <c r="C87" s="92"/>
      <c r="V87" s="32"/>
      <c r="Y87" s="39"/>
    </row>
    <row r="88" spans="3:26" x14ac:dyDescent="0.25">
      <c r="C88" s="92"/>
      <c r="V88" s="32"/>
      <c r="Y88" s="39"/>
    </row>
    <row r="89" spans="3:26" x14ac:dyDescent="0.25">
      <c r="C89" s="92"/>
      <c r="V89" s="32"/>
      <c r="Y89" s="39"/>
    </row>
    <row r="90" spans="3:26" x14ac:dyDescent="0.25">
      <c r="V90" s="15">
        <f>AVERAGE(V80:V89)</f>
        <v>3.8053915026324643</v>
      </c>
    </row>
    <row r="112" spans="3:11" x14ac:dyDescent="0.25">
      <c r="C112" s="38"/>
      <c r="D112" s="38"/>
      <c r="E112" s="38"/>
      <c r="F112" s="38"/>
      <c r="G112" s="38"/>
      <c r="H112" s="38"/>
      <c r="I112" s="38"/>
      <c r="J112" s="38"/>
      <c r="K112" s="38"/>
    </row>
    <row r="113" spans="3:14" x14ac:dyDescent="0.25">
      <c r="C113" s="38"/>
      <c r="J113" s="3" t="s">
        <v>9</v>
      </c>
      <c r="K113" s="3" t="s">
        <v>10</v>
      </c>
      <c r="L113" s="3" t="s">
        <v>11</v>
      </c>
      <c r="M113" s="3" t="s">
        <v>12</v>
      </c>
      <c r="N113" s="3" t="s">
        <v>13</v>
      </c>
    </row>
    <row r="114" spans="3:14" x14ac:dyDescent="0.25">
      <c r="D114">
        <v>0.2112</v>
      </c>
      <c r="E114">
        <v>0.19639999999999999</v>
      </c>
      <c r="F114">
        <v>0.17449999999999999</v>
      </c>
      <c r="G114">
        <v>0.20669999999999999</v>
      </c>
      <c r="H114">
        <v>0.2112</v>
      </c>
      <c r="J114" s="40">
        <f>D114/MAX($D114:$H114)*100</f>
        <v>100</v>
      </c>
      <c r="K114" s="40">
        <f>E114/MAX($D114:$H114)*100</f>
        <v>92.992424242424249</v>
      </c>
      <c r="L114" s="40">
        <f>F114/MAX($D114:$H114)*100</f>
        <v>82.623106060606062</v>
      </c>
      <c r="M114" s="40">
        <f>G114/MAX($D114:$H114)*100</f>
        <v>97.869318181818173</v>
      </c>
      <c r="N114" s="40">
        <f>H114/MAX($D114:$H114)*100</f>
        <v>100</v>
      </c>
    </row>
    <row r="115" spans="3:14" x14ac:dyDescent="0.25">
      <c r="D115">
        <v>0.28399999999999997</v>
      </c>
      <c r="E115">
        <v>0.2172</v>
      </c>
      <c r="F115">
        <v>0.22220000000000001</v>
      </c>
      <c r="G115">
        <v>0.27660000000000001</v>
      </c>
      <c r="H115" s="38"/>
      <c r="J115" s="40">
        <f t="shared" ref="J115:M117" si="55">D115/MAX($D115:$H115)*100</f>
        <v>100</v>
      </c>
      <c r="K115" s="40">
        <f t="shared" si="55"/>
        <v>76.478873239436624</v>
      </c>
      <c r="L115" s="40">
        <f t="shared" si="55"/>
        <v>78.239436619718319</v>
      </c>
      <c r="M115" s="40">
        <f t="shared" si="55"/>
        <v>97.394366197183118</v>
      </c>
      <c r="N115" s="40"/>
    </row>
    <row r="116" spans="3:14" x14ac:dyDescent="0.25">
      <c r="D116">
        <v>0.26779999999999998</v>
      </c>
      <c r="E116">
        <v>0.23799999999999999</v>
      </c>
      <c r="F116">
        <v>0.2253</v>
      </c>
      <c r="G116">
        <v>0.26889999999999997</v>
      </c>
      <c r="H116" s="38"/>
      <c r="J116" s="40">
        <f t="shared" si="55"/>
        <v>99.590925994793608</v>
      </c>
      <c r="K116" s="40">
        <f t="shared" si="55"/>
        <v>88.508739308293045</v>
      </c>
      <c r="L116" s="40">
        <f t="shared" si="55"/>
        <v>83.785793975455576</v>
      </c>
      <c r="M116" s="40">
        <f t="shared" si="55"/>
        <v>100</v>
      </c>
      <c r="N116" s="40"/>
    </row>
    <row r="117" spans="3:14" x14ac:dyDescent="0.25">
      <c r="D117">
        <v>0.31130000000000002</v>
      </c>
      <c r="E117">
        <v>0.23130000000000001</v>
      </c>
      <c r="F117">
        <v>0.2354</v>
      </c>
      <c r="G117">
        <v>0.22209999999999999</v>
      </c>
      <c r="H117" s="38"/>
      <c r="J117" s="40">
        <f t="shared" si="55"/>
        <v>100</v>
      </c>
      <c r="K117" s="40">
        <f t="shared" si="55"/>
        <v>74.30131705750081</v>
      </c>
      <c r="L117" s="40">
        <f t="shared" si="55"/>
        <v>75.618374558303884</v>
      </c>
      <c r="M117" s="40">
        <f t="shared" si="55"/>
        <v>71.345968519113384</v>
      </c>
      <c r="N117" s="40"/>
    </row>
    <row r="118" spans="3:14" x14ac:dyDescent="0.25">
      <c r="D118">
        <v>0.39369999999999999</v>
      </c>
      <c r="E118">
        <v>0.3054</v>
      </c>
      <c r="F118">
        <v>0.3009</v>
      </c>
      <c r="G118" s="38"/>
      <c r="H118" s="38"/>
      <c r="J118" s="40">
        <f t="shared" ref="J118:L119" si="56">D118/MAX($D118:$H118)*100</f>
        <v>100</v>
      </c>
      <c r="K118" s="40">
        <f t="shared" si="56"/>
        <v>77.571755143510288</v>
      </c>
      <c r="L118" s="40">
        <f t="shared" si="56"/>
        <v>76.428752857505728</v>
      </c>
      <c r="M118" s="40"/>
      <c r="N118" s="40"/>
    </row>
    <row r="119" spans="3:14" x14ac:dyDescent="0.25">
      <c r="D119">
        <v>0.29830000000000001</v>
      </c>
      <c r="E119">
        <v>0.33110000000000001</v>
      </c>
      <c r="F119">
        <v>0.37059999999999998</v>
      </c>
      <c r="G119" s="38"/>
      <c r="H119" s="38"/>
      <c r="J119" s="40">
        <f t="shared" si="56"/>
        <v>80.491095520777122</v>
      </c>
      <c r="K119" s="40">
        <f t="shared" si="56"/>
        <v>89.341608202914202</v>
      </c>
      <c r="L119" s="40">
        <f t="shared" si="56"/>
        <v>100</v>
      </c>
      <c r="M119" s="40"/>
      <c r="N119" s="40"/>
    </row>
    <row r="121" spans="3:14" x14ac:dyDescent="0.25">
      <c r="D121" s="3">
        <v>0.2</v>
      </c>
      <c r="E121" s="3">
        <v>0.2</v>
      </c>
      <c r="F121" s="3">
        <v>0.2</v>
      </c>
      <c r="G121" s="3">
        <v>0.2</v>
      </c>
      <c r="H121" s="3">
        <v>0.2</v>
      </c>
    </row>
    <row r="122" spans="3:14" x14ac:dyDescent="0.25">
      <c r="D122" s="3">
        <v>0.25</v>
      </c>
      <c r="E122" s="3">
        <v>0.25</v>
      </c>
      <c r="F122" s="3">
        <v>0.25</v>
      </c>
      <c r="G122" s="3">
        <v>0.25</v>
      </c>
    </row>
    <row r="123" spans="3:14" x14ac:dyDescent="0.25">
      <c r="D123" s="3">
        <v>0.25</v>
      </c>
      <c r="E123" s="3">
        <v>0.25</v>
      </c>
      <c r="F123" s="3">
        <v>0.25</v>
      </c>
      <c r="G123" s="3">
        <v>0.25</v>
      </c>
    </row>
    <row r="124" spans="3:14" x14ac:dyDescent="0.25">
      <c r="D124" s="3">
        <v>0.25</v>
      </c>
      <c r="E124" s="3">
        <v>0.25</v>
      </c>
      <c r="F124" s="3">
        <v>0.25</v>
      </c>
      <c r="G124" s="3">
        <v>0.25</v>
      </c>
    </row>
    <row r="125" spans="3:14" x14ac:dyDescent="0.25">
      <c r="D125" s="3">
        <v>0.33</v>
      </c>
      <c r="E125" s="3">
        <v>0.33</v>
      </c>
      <c r="F125" s="3">
        <v>0.33</v>
      </c>
    </row>
    <row r="126" spans="3:14" x14ac:dyDescent="0.25">
      <c r="D126" s="3">
        <v>0.33</v>
      </c>
      <c r="E126" s="3">
        <v>0.33</v>
      </c>
      <c r="F126" s="3">
        <v>0.33</v>
      </c>
    </row>
    <row r="128" spans="3:14" x14ac:dyDescent="0.25">
      <c r="D128" s="3">
        <v>0.3</v>
      </c>
      <c r="E128" s="3">
        <v>0.25</v>
      </c>
      <c r="F128" s="3">
        <v>0.2</v>
      </c>
      <c r="G128" s="3">
        <v>0.1</v>
      </c>
      <c r="H128" s="3">
        <v>0.15</v>
      </c>
    </row>
    <row r="129" spans="4:21" x14ac:dyDescent="0.25">
      <c r="D129" s="3">
        <v>0.3</v>
      </c>
      <c r="E129" s="3">
        <v>0.15</v>
      </c>
      <c r="F129" s="3">
        <v>0.4</v>
      </c>
      <c r="G129" s="3">
        <v>0.15</v>
      </c>
    </row>
    <row r="130" spans="4:21" x14ac:dyDescent="0.25">
      <c r="D130" s="3">
        <v>0.15</v>
      </c>
      <c r="E130" s="3">
        <v>0.4</v>
      </c>
      <c r="F130" s="3">
        <v>0.3</v>
      </c>
      <c r="G130" s="3">
        <v>0.15</v>
      </c>
    </row>
    <row r="131" spans="4:21" x14ac:dyDescent="0.25">
      <c r="D131" s="3">
        <v>0.25</v>
      </c>
      <c r="E131" s="3">
        <v>0.3</v>
      </c>
      <c r="F131" s="3">
        <v>0.2</v>
      </c>
      <c r="G131" s="3">
        <v>0.25</v>
      </c>
    </row>
    <row r="132" spans="4:21" x14ac:dyDescent="0.25">
      <c r="D132" s="3">
        <v>0.3</v>
      </c>
      <c r="E132" s="3">
        <v>0.3</v>
      </c>
      <c r="F132" s="3">
        <v>0.4</v>
      </c>
    </row>
    <row r="133" spans="4:21" x14ac:dyDescent="0.25">
      <c r="D133" s="3">
        <v>0.4</v>
      </c>
      <c r="E133" s="3">
        <v>0.4</v>
      </c>
      <c r="F133" s="3">
        <v>0.2</v>
      </c>
    </row>
    <row r="135" spans="4:21" x14ac:dyDescent="0.25">
      <c r="D135" s="3" t="s">
        <v>14</v>
      </c>
    </row>
    <row r="136" spans="4:21" x14ac:dyDescent="0.25">
      <c r="D136" s="3">
        <v>0.25</v>
      </c>
      <c r="E136" s="3">
        <v>0.25</v>
      </c>
      <c r="F136" s="3">
        <v>0.25</v>
      </c>
      <c r="G136" s="3">
        <v>0.25</v>
      </c>
      <c r="H136" s="3">
        <v>0.25</v>
      </c>
      <c r="I136" s="3">
        <v>0.25</v>
      </c>
      <c r="J136" s="3">
        <v>0.25</v>
      </c>
      <c r="K136" s="3">
        <v>0.25</v>
      </c>
      <c r="L136" s="3">
        <v>0.25</v>
      </c>
      <c r="M136" s="3">
        <v>0.25</v>
      </c>
      <c r="N136" s="3">
        <v>0.25</v>
      </c>
      <c r="O136" s="3">
        <v>0.25</v>
      </c>
      <c r="P136" s="3">
        <f>1/3</f>
        <v>0.33333333333333331</v>
      </c>
      <c r="Q136" s="3">
        <f t="shared" ref="Q136:U136" si="57">1/3</f>
        <v>0.33333333333333331</v>
      </c>
      <c r="R136" s="3">
        <f t="shared" si="57"/>
        <v>0.33333333333333331</v>
      </c>
      <c r="S136" s="3">
        <f t="shared" si="57"/>
        <v>0.33333333333333331</v>
      </c>
      <c r="T136" s="3">
        <f t="shared" si="57"/>
        <v>0.33333333333333331</v>
      </c>
      <c r="U136" s="3">
        <f t="shared" si="57"/>
        <v>0.33333333333333331</v>
      </c>
    </row>
    <row r="138" spans="4:21" x14ac:dyDescent="0.25">
      <c r="D138" s="3">
        <v>0.2112</v>
      </c>
      <c r="H138" s="3">
        <v>0.19639999999999999</v>
      </c>
      <c r="L138" s="3">
        <v>0.17449999999999999</v>
      </c>
      <c r="P138" s="3">
        <v>0.20669999999999999</v>
      </c>
      <c r="S138" s="3">
        <v>0.2112</v>
      </c>
    </row>
    <row r="139" spans="4:21" x14ac:dyDescent="0.25">
      <c r="D139" s="3">
        <v>0.28399999999999997</v>
      </c>
      <c r="E139" s="3">
        <v>0.2172</v>
      </c>
      <c r="F139" s="3">
        <v>0.22220000000000001</v>
      </c>
      <c r="G139" s="3">
        <v>0.27660000000000001</v>
      </c>
      <c r="H139" s="3">
        <v>0.26779999999999998</v>
      </c>
      <c r="I139" s="3">
        <v>0.23799999999999999</v>
      </c>
      <c r="J139" s="3">
        <v>0.2253</v>
      </c>
      <c r="K139" s="3">
        <v>0.26889999999999997</v>
      </c>
      <c r="L139" s="3">
        <v>0.31130000000000002</v>
      </c>
      <c r="M139" s="3">
        <v>0.23130000000000001</v>
      </c>
      <c r="N139" s="3">
        <v>0.2354</v>
      </c>
      <c r="O139" s="3">
        <v>0.22209999999999999</v>
      </c>
      <c r="P139" s="3">
        <v>0.39369999999999999</v>
      </c>
      <c r="Q139" s="3">
        <v>0.3054</v>
      </c>
      <c r="R139" s="3">
        <v>0.3009</v>
      </c>
      <c r="S139" s="3">
        <v>0.29830000000000001</v>
      </c>
      <c r="T139" s="3">
        <v>0.33110000000000001</v>
      </c>
      <c r="U139" s="3">
        <v>0.37059999999999998</v>
      </c>
    </row>
  </sheetData>
  <mergeCells count="6">
    <mergeCell ref="S3:U3"/>
    <mergeCell ref="C2:C3"/>
    <mergeCell ref="D3:G3"/>
    <mergeCell ref="H3:K3"/>
    <mergeCell ref="L3:O3"/>
    <mergeCell ref="P3:R3"/>
  </mergeCells>
  <phoneticPr fontId="25" type="noConversion"/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3B32F-66D1-48F2-8BBE-D2E8C0C0E7E6}">
  <dimension ref="A1:BA139"/>
  <sheetViews>
    <sheetView workbookViewId="0">
      <selection activeCell="A4" sqref="A4:XFD4"/>
    </sheetView>
  </sheetViews>
  <sheetFormatPr defaultRowHeight="15" x14ac:dyDescent="0.25"/>
  <cols>
    <col min="1" max="2" width="2.85546875" style="1" customWidth="1"/>
    <col min="3" max="3" width="30.5703125" style="3" customWidth="1"/>
    <col min="4" max="4" width="7.28515625" style="3" customWidth="1"/>
    <col min="5" max="21" width="5.5703125" style="3" customWidth="1"/>
    <col min="22" max="22" width="11" style="2" customWidth="1"/>
    <col min="23" max="23" width="10" style="3" customWidth="1"/>
    <col min="24" max="24" width="25.28515625" style="3" customWidth="1"/>
    <col min="25" max="25" width="9.140625" style="3" customWidth="1"/>
    <col min="26" max="31" width="9.140625" style="3"/>
    <col min="32" max="32" width="8.85546875" style="3" customWidth="1"/>
    <col min="33" max="16384" width="9.140625" style="3"/>
  </cols>
  <sheetData>
    <row r="1" spans="1:24" s="1" customFormat="1" ht="7.5" customHeight="1" thickBot="1" x14ac:dyDescent="0.3">
      <c r="V1" s="2"/>
      <c r="W1" s="3"/>
    </row>
    <row r="2" spans="1:24" ht="13.5" customHeight="1" thickBot="1" x14ac:dyDescent="0.3">
      <c r="C2" s="105" t="s">
        <v>0</v>
      </c>
      <c r="D2" s="4"/>
      <c r="E2" s="4"/>
      <c r="F2" s="4"/>
      <c r="G2" s="4"/>
      <c r="H2" s="5" t="s">
        <v>1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6"/>
      <c r="W2" s="6"/>
    </row>
    <row r="3" spans="1:24" ht="15.75" customHeight="1" thickBot="1" x14ac:dyDescent="0.3">
      <c r="C3" s="105"/>
      <c r="D3" s="106" t="s">
        <v>102</v>
      </c>
      <c r="E3" s="106"/>
      <c r="F3" s="106"/>
      <c r="G3" s="106"/>
      <c r="H3" s="107" t="s">
        <v>103</v>
      </c>
      <c r="I3" s="107"/>
      <c r="J3" s="107"/>
      <c r="K3" s="107"/>
      <c r="L3" s="108" t="s">
        <v>104</v>
      </c>
      <c r="M3" s="108"/>
      <c r="N3" s="108"/>
      <c r="O3" s="108"/>
      <c r="P3" s="109" t="s">
        <v>105</v>
      </c>
      <c r="Q3" s="109"/>
      <c r="R3" s="109"/>
      <c r="S3" s="104" t="s">
        <v>106</v>
      </c>
      <c r="T3" s="104"/>
      <c r="U3" s="104"/>
      <c r="V3" s="7"/>
      <c r="W3" s="8"/>
    </row>
    <row r="4" spans="1:24" s="1" customFormat="1" x14ac:dyDescent="0.25">
      <c r="C4" s="14" t="s">
        <v>95</v>
      </c>
      <c r="D4" s="9">
        <v>3.3333333333333335</v>
      </c>
      <c r="E4" s="9">
        <v>2.6666666666666665</v>
      </c>
      <c r="F4" s="9">
        <v>3.3333333333333335</v>
      </c>
      <c r="G4" s="9">
        <v>4.666666666666667</v>
      </c>
      <c r="H4" s="9">
        <v>0.66666666666666663</v>
      </c>
      <c r="I4" s="9">
        <v>0.33333333333333331</v>
      </c>
      <c r="J4" s="9">
        <v>0.33333333333333331</v>
      </c>
      <c r="K4" s="9">
        <v>1</v>
      </c>
      <c r="L4" s="9">
        <v>2.3333333333333335</v>
      </c>
      <c r="M4" s="9">
        <v>1.3333333333333333</v>
      </c>
      <c r="N4" s="9" t="s">
        <v>75</v>
      </c>
      <c r="O4" s="9">
        <v>1</v>
      </c>
      <c r="P4" s="9">
        <v>0.33333333333333331</v>
      </c>
      <c r="Q4" s="9">
        <v>1</v>
      </c>
      <c r="R4" s="9">
        <v>3.3333333333333335</v>
      </c>
      <c r="S4" s="9" t="s">
        <v>75</v>
      </c>
      <c r="T4" s="9">
        <v>0.66666666666666663</v>
      </c>
      <c r="U4" s="9">
        <v>0.33333333333333331</v>
      </c>
      <c r="V4" s="10">
        <f t="shared" ref="V4:V13" si="0">SUM(D4:U4)</f>
        <v>26.666666666666664</v>
      </c>
      <c r="W4" s="11">
        <f t="shared" ref="W4:W13" si="1">V4/$V$14</f>
        <v>1.4084507042253522</v>
      </c>
      <c r="X4" s="12"/>
    </row>
    <row r="5" spans="1:24" s="1" customFormat="1" x14ac:dyDescent="0.25">
      <c r="C5" s="14" t="s">
        <v>96</v>
      </c>
      <c r="D5" s="9">
        <v>1</v>
      </c>
      <c r="E5" s="9" t="s">
        <v>75</v>
      </c>
      <c r="F5" s="9">
        <v>1.5</v>
      </c>
      <c r="G5" s="9">
        <v>1</v>
      </c>
      <c r="H5" s="9" t="s">
        <v>75</v>
      </c>
      <c r="I5" s="9">
        <v>1</v>
      </c>
      <c r="J5" s="9">
        <v>1.5</v>
      </c>
      <c r="K5" s="9">
        <v>1</v>
      </c>
      <c r="L5" s="9">
        <v>2</v>
      </c>
      <c r="M5" s="9">
        <v>3</v>
      </c>
      <c r="N5" s="9">
        <v>5</v>
      </c>
      <c r="O5" s="9">
        <v>6</v>
      </c>
      <c r="P5" s="9">
        <v>1</v>
      </c>
      <c r="Q5" s="9">
        <v>2</v>
      </c>
      <c r="R5" s="9" t="s">
        <v>75</v>
      </c>
      <c r="S5" s="9">
        <v>1.5</v>
      </c>
      <c r="T5" s="9">
        <v>3</v>
      </c>
      <c r="U5" s="9">
        <v>1</v>
      </c>
      <c r="V5" s="10">
        <f t="shared" si="0"/>
        <v>31.5</v>
      </c>
      <c r="W5" s="13">
        <f t="shared" si="1"/>
        <v>1.6637323943661975</v>
      </c>
      <c r="X5" s="12"/>
    </row>
    <row r="6" spans="1:24" s="1" customFormat="1" x14ac:dyDescent="0.25">
      <c r="C6" s="14" t="s">
        <v>97</v>
      </c>
      <c r="D6" s="9">
        <v>0.75</v>
      </c>
      <c r="E6" s="9">
        <v>1.75</v>
      </c>
      <c r="F6" s="9">
        <v>0.5</v>
      </c>
      <c r="G6" s="9">
        <v>0.75</v>
      </c>
      <c r="H6" s="9">
        <v>0.25</v>
      </c>
      <c r="I6" s="9" t="s">
        <v>75</v>
      </c>
      <c r="J6" s="9">
        <v>0.5</v>
      </c>
      <c r="K6" s="9">
        <v>0.5</v>
      </c>
      <c r="L6" s="9">
        <v>2</v>
      </c>
      <c r="M6" s="9">
        <v>0.25</v>
      </c>
      <c r="N6" s="9" t="s">
        <v>75</v>
      </c>
      <c r="O6" s="9">
        <v>1</v>
      </c>
      <c r="P6" s="9">
        <v>4.5</v>
      </c>
      <c r="Q6" s="9">
        <v>3.5</v>
      </c>
      <c r="R6" s="9">
        <v>1</v>
      </c>
      <c r="S6" s="9">
        <v>1.5</v>
      </c>
      <c r="T6" s="9">
        <v>1.25</v>
      </c>
      <c r="U6" s="9">
        <v>1</v>
      </c>
      <c r="V6" s="10">
        <f t="shared" si="0"/>
        <v>21</v>
      </c>
      <c r="W6" s="13">
        <f t="shared" si="1"/>
        <v>1.109154929577465</v>
      </c>
      <c r="X6" s="12"/>
    </row>
    <row r="7" spans="1:24" s="1" customFormat="1" x14ac:dyDescent="0.25">
      <c r="C7" s="14" t="s">
        <v>98</v>
      </c>
      <c r="D7" s="9">
        <v>2</v>
      </c>
      <c r="E7" s="9">
        <v>0.66666666666666663</v>
      </c>
      <c r="F7" s="9">
        <v>2</v>
      </c>
      <c r="G7" s="9">
        <v>1.6666666666666667</v>
      </c>
      <c r="H7" s="9">
        <v>0.33333333333333331</v>
      </c>
      <c r="I7" s="9">
        <v>0.66666666666666663</v>
      </c>
      <c r="J7" s="9">
        <v>0.33333333333333331</v>
      </c>
      <c r="K7" s="9" t="s">
        <v>75</v>
      </c>
      <c r="L7" s="9">
        <v>4</v>
      </c>
      <c r="M7" s="9">
        <v>1.6666666666666667</v>
      </c>
      <c r="N7" s="9" t="s">
        <v>75</v>
      </c>
      <c r="O7" s="9">
        <v>2</v>
      </c>
      <c r="P7" s="9">
        <v>4</v>
      </c>
      <c r="Q7" s="9">
        <v>1.3333333333333333</v>
      </c>
      <c r="R7" s="9" t="s">
        <v>75</v>
      </c>
      <c r="S7" s="9">
        <v>0.33333333333333331</v>
      </c>
      <c r="T7" s="9" t="s">
        <v>75</v>
      </c>
      <c r="U7" s="9">
        <v>2.6666666666666665</v>
      </c>
      <c r="V7" s="10">
        <f t="shared" si="0"/>
        <v>23.666666666666664</v>
      </c>
      <c r="W7" s="13">
        <f t="shared" si="1"/>
        <v>1.25</v>
      </c>
      <c r="X7" s="12"/>
    </row>
    <row r="8" spans="1:24" s="1" customFormat="1" x14ac:dyDescent="0.25">
      <c r="C8" s="14" t="s">
        <v>99</v>
      </c>
      <c r="D8" s="9">
        <v>1</v>
      </c>
      <c r="E8" s="9">
        <v>0.66666666666666663</v>
      </c>
      <c r="F8" s="9">
        <v>1.3333333333333333</v>
      </c>
      <c r="G8" s="9">
        <v>1</v>
      </c>
      <c r="H8" s="9">
        <v>4</v>
      </c>
      <c r="I8" s="9">
        <v>1</v>
      </c>
      <c r="J8" s="9">
        <v>1</v>
      </c>
      <c r="K8" s="9">
        <v>4.666666666666667</v>
      </c>
      <c r="L8" s="9">
        <v>0.33333333333333331</v>
      </c>
      <c r="M8" s="9">
        <v>2.6666666666666665</v>
      </c>
      <c r="N8" s="9" t="s">
        <v>75</v>
      </c>
      <c r="O8" s="9">
        <v>2.6666666666666665</v>
      </c>
      <c r="P8" s="9" t="s">
        <v>75</v>
      </c>
      <c r="Q8" s="9" t="s">
        <v>75</v>
      </c>
      <c r="R8" s="9">
        <v>1.3333333333333333</v>
      </c>
      <c r="S8" s="9">
        <v>2</v>
      </c>
      <c r="T8" s="9" t="s">
        <v>75</v>
      </c>
      <c r="U8" s="9">
        <v>1</v>
      </c>
      <c r="V8" s="10">
        <f t="shared" si="0"/>
        <v>24.666666666666668</v>
      </c>
      <c r="W8" s="13">
        <f t="shared" si="1"/>
        <v>1.302816901408451</v>
      </c>
      <c r="X8" s="12"/>
    </row>
    <row r="9" spans="1:24" s="1" customFormat="1" x14ac:dyDescent="0.25">
      <c r="C9" s="14" t="s">
        <v>100</v>
      </c>
      <c r="D9" s="9">
        <v>3.3333333333333335</v>
      </c>
      <c r="E9" s="9">
        <v>2.6666666666666665</v>
      </c>
      <c r="F9" s="9">
        <v>3.3333333333333335</v>
      </c>
      <c r="G9" s="9">
        <v>2</v>
      </c>
      <c r="H9" s="9" t="s">
        <v>75</v>
      </c>
      <c r="I9" s="9">
        <v>4.666666666666667</v>
      </c>
      <c r="J9" s="9">
        <v>4</v>
      </c>
      <c r="K9" s="9">
        <v>1</v>
      </c>
      <c r="L9" s="9">
        <v>1.3333333333333333</v>
      </c>
      <c r="M9" s="9">
        <v>2</v>
      </c>
      <c r="N9" s="9">
        <v>1.6666666666666667</v>
      </c>
      <c r="O9" s="9">
        <v>1.6666666666666667</v>
      </c>
      <c r="P9" s="9" t="s">
        <v>75</v>
      </c>
      <c r="Q9" s="9" t="s">
        <v>75</v>
      </c>
      <c r="R9" s="9">
        <v>1</v>
      </c>
      <c r="S9" s="9">
        <v>2.6666666666666665</v>
      </c>
      <c r="T9" s="9">
        <v>2</v>
      </c>
      <c r="U9" s="9" t="s">
        <v>75</v>
      </c>
      <c r="V9" s="10">
        <f t="shared" si="0"/>
        <v>33.333333333333336</v>
      </c>
      <c r="W9" s="13">
        <f t="shared" si="1"/>
        <v>1.7605633802816907</v>
      </c>
      <c r="X9" s="12"/>
    </row>
    <row r="10" spans="1:24" s="1" customFormat="1" x14ac:dyDescent="0.25">
      <c r="C10" s="14" t="s">
        <v>101</v>
      </c>
      <c r="D10" s="9">
        <v>1.5</v>
      </c>
      <c r="E10" s="9">
        <v>0.5</v>
      </c>
      <c r="F10" s="9">
        <v>1.5</v>
      </c>
      <c r="G10" s="9" t="s">
        <v>75</v>
      </c>
      <c r="H10" s="9" t="s">
        <v>75</v>
      </c>
      <c r="I10" s="9">
        <v>3</v>
      </c>
      <c r="J10" s="9">
        <v>2</v>
      </c>
      <c r="K10" s="9" t="s">
        <v>75</v>
      </c>
      <c r="L10" s="9" t="s">
        <v>75</v>
      </c>
      <c r="M10" s="9">
        <v>6</v>
      </c>
      <c r="N10" s="9">
        <v>1</v>
      </c>
      <c r="O10" s="9">
        <v>2</v>
      </c>
      <c r="P10" s="9" t="s">
        <v>75</v>
      </c>
      <c r="Q10" s="9">
        <v>1</v>
      </c>
      <c r="R10" s="9">
        <v>1</v>
      </c>
      <c r="S10" s="9">
        <v>3</v>
      </c>
      <c r="T10" s="9">
        <v>5</v>
      </c>
      <c r="U10" s="9">
        <v>1</v>
      </c>
      <c r="V10" s="10">
        <f t="shared" si="0"/>
        <v>28.5</v>
      </c>
      <c r="W10" s="13">
        <f t="shared" si="1"/>
        <v>1.5052816901408452</v>
      </c>
      <c r="X10" s="12"/>
    </row>
    <row r="11" spans="1:24" s="1" customFormat="1" x14ac:dyDescent="0.25">
      <c r="C11" s="87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10">
        <f t="shared" si="0"/>
        <v>0</v>
      </c>
      <c r="W11" s="13">
        <f t="shared" si="1"/>
        <v>0</v>
      </c>
      <c r="X11" s="12"/>
    </row>
    <row r="12" spans="1:24" s="1" customFormat="1" x14ac:dyDescent="0.25">
      <c r="C12" s="87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10">
        <f t="shared" si="0"/>
        <v>0</v>
      </c>
      <c r="W12" s="13">
        <f t="shared" si="1"/>
        <v>0</v>
      </c>
      <c r="X12" s="12"/>
    </row>
    <row r="13" spans="1:24" s="1" customFormat="1" x14ac:dyDescent="0.25">
      <c r="C13" s="87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10">
        <f t="shared" si="0"/>
        <v>0</v>
      </c>
      <c r="W13" s="13">
        <f t="shared" si="1"/>
        <v>0</v>
      </c>
      <c r="X13" s="12"/>
    </row>
    <row r="14" spans="1:24" x14ac:dyDescent="0.25">
      <c r="A14" s="3"/>
      <c r="V14" s="15">
        <f>+AVERAGE(V13,V12,V11,V10,V9,V8,V7,V6,V5,V4)</f>
        <v>18.93333333333333</v>
      </c>
      <c r="W14" s="3">
        <v>1</v>
      </c>
      <c r="X14" s="3">
        <f>_xlfn.STDEV.P(W5:W13)</f>
        <v>0.7009424545375097</v>
      </c>
    </row>
    <row r="15" spans="1:24" x14ac:dyDescent="0.25">
      <c r="A15" s="3"/>
      <c r="V15" s="15"/>
    </row>
    <row r="16" spans="1:24" x14ac:dyDescent="0.25">
      <c r="A16" s="3"/>
      <c r="D16" s="89" t="s">
        <v>14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15" t="s">
        <v>94</v>
      </c>
      <c r="X16" s="31" t="s">
        <v>5</v>
      </c>
    </row>
    <row r="17" spans="1:30" x14ac:dyDescent="0.25">
      <c r="A17" s="3"/>
      <c r="D17" s="89">
        <v>0.25</v>
      </c>
      <c r="E17" s="89">
        <v>0.25</v>
      </c>
      <c r="F17" s="89">
        <v>0.25</v>
      </c>
      <c r="G17" s="89">
        <v>0.25</v>
      </c>
      <c r="H17" s="89">
        <v>0.25</v>
      </c>
      <c r="I17" s="89">
        <v>0.25</v>
      </c>
      <c r="J17" s="89">
        <v>0.25</v>
      </c>
      <c r="K17" s="89">
        <v>0.25</v>
      </c>
      <c r="L17" s="89">
        <v>0.25</v>
      </c>
      <c r="M17" s="89">
        <v>0.25</v>
      </c>
      <c r="N17" s="89">
        <v>0.25</v>
      </c>
      <c r="O17" s="89">
        <v>0.25</v>
      </c>
      <c r="P17" s="89">
        <f>1/3</f>
        <v>0.33333333333333331</v>
      </c>
      <c r="Q17" s="89">
        <f t="shared" ref="Q17:U17" si="2">1/3</f>
        <v>0.33333333333333331</v>
      </c>
      <c r="R17" s="89">
        <f t="shared" si="2"/>
        <v>0.33333333333333331</v>
      </c>
      <c r="S17" s="89">
        <f t="shared" si="2"/>
        <v>0.33333333333333331</v>
      </c>
      <c r="T17" s="89">
        <f t="shared" si="2"/>
        <v>0.33333333333333331</v>
      </c>
      <c r="U17" s="89">
        <f t="shared" si="2"/>
        <v>0.33333333333333331</v>
      </c>
      <c r="V17" s="15"/>
    </row>
    <row r="18" spans="1:30" x14ac:dyDescent="0.25">
      <c r="A18" s="3"/>
      <c r="V18" s="15"/>
    </row>
    <row r="19" spans="1:30" x14ac:dyDescent="0.25">
      <c r="A19" s="3"/>
      <c r="C19" s="14" t="s">
        <v>95</v>
      </c>
      <c r="D19" s="3">
        <f>+D4*$D$17</f>
        <v>0.83333333333333337</v>
      </c>
      <c r="E19" s="3">
        <f>+E4*$E$17</f>
        <v>0.66666666666666663</v>
      </c>
      <c r="F19" s="3">
        <f>+F4*$F$17</f>
        <v>0.83333333333333337</v>
      </c>
      <c r="G19" s="3">
        <f t="shared" ref="G19:G24" si="3">+G4*$G$17</f>
        <v>1.1666666666666667</v>
      </c>
      <c r="H19" s="3">
        <f>+H4*$H$17</f>
        <v>0.16666666666666666</v>
      </c>
      <c r="I19" s="3">
        <f>+I4*$I$17</f>
        <v>8.3333333333333329E-2</v>
      </c>
      <c r="J19" s="3">
        <f>+J4*$J$17</f>
        <v>8.3333333333333329E-2</v>
      </c>
      <c r="K19" s="3">
        <f>+K4*$K$17</f>
        <v>0.25</v>
      </c>
      <c r="L19" s="3">
        <f t="shared" ref="L19:L24" si="4">+L4*$L$17</f>
        <v>0.58333333333333337</v>
      </c>
      <c r="M19" s="3">
        <f>+M4*$M$17</f>
        <v>0.33333333333333331</v>
      </c>
      <c r="O19" s="3">
        <f>+O4*$O$17</f>
        <v>0.25</v>
      </c>
      <c r="P19" s="3">
        <f>+P4*$P$17</f>
        <v>0.1111111111111111</v>
      </c>
      <c r="Q19" s="3">
        <f>+Q4*$Q$17</f>
        <v>0.33333333333333331</v>
      </c>
      <c r="R19" s="3">
        <f>+R4*$R$17</f>
        <v>1.1111111111111112</v>
      </c>
      <c r="T19" s="3">
        <f>+T4*$T$17</f>
        <v>0.22222222222222221</v>
      </c>
      <c r="U19" s="3">
        <f>+U4*$U$17</f>
        <v>0.1111111111111111</v>
      </c>
      <c r="V19" s="15">
        <f>+SUM(D19:U19)</f>
        <v>7.1388888888888884</v>
      </c>
      <c r="X19" s="3">
        <f>$V$26/V19</f>
        <v>1.0409949972206782</v>
      </c>
    </row>
    <row r="20" spans="1:30" x14ac:dyDescent="0.25">
      <c r="A20" s="3"/>
      <c r="C20" s="14" t="s">
        <v>96</v>
      </c>
      <c r="D20" s="3">
        <f t="shared" ref="D20:D25" si="5">+D5*$D$17</f>
        <v>0.25</v>
      </c>
      <c r="F20" s="3">
        <f t="shared" ref="F20:F25" si="6">+F5*$F$17</f>
        <v>0.375</v>
      </c>
      <c r="G20" s="3">
        <f t="shared" si="3"/>
        <v>0.25</v>
      </c>
      <c r="I20" s="3">
        <f>+I5*$I$17</f>
        <v>0.25</v>
      </c>
      <c r="J20" s="3">
        <f t="shared" ref="J20:J25" si="7">+J5*$J$17</f>
        <v>0.375</v>
      </c>
      <c r="K20" s="3">
        <f>+K5*$K$17</f>
        <v>0.25</v>
      </c>
      <c r="L20" s="3">
        <f t="shared" si="4"/>
        <v>0.5</v>
      </c>
      <c r="M20" s="3">
        <f t="shared" ref="M20:M25" si="8">+M5*$M$17</f>
        <v>0.75</v>
      </c>
      <c r="N20" s="3">
        <f>+N5*$N$17</f>
        <v>1.25</v>
      </c>
      <c r="O20" s="3">
        <f t="shared" ref="O20:O25" si="9">+O5*$O$17</f>
        <v>1.5</v>
      </c>
      <c r="P20" s="3">
        <f>+P5*$P$17</f>
        <v>0.33333333333333331</v>
      </c>
      <c r="Q20" s="3">
        <f>+Q5*$Q$17</f>
        <v>0.66666666666666663</v>
      </c>
      <c r="S20" s="3">
        <f t="shared" ref="S20:S25" si="10">+S5*$S$17</f>
        <v>0.5</v>
      </c>
      <c r="T20" s="3">
        <f>+T5*$T$17</f>
        <v>1</v>
      </c>
      <c r="U20" s="3">
        <f>+U5*$U$17</f>
        <v>0.33333333333333331</v>
      </c>
      <c r="V20" s="15">
        <f t="shared" ref="V20:V25" si="11">+SUM(D20:U20)</f>
        <v>8.5833333333333339</v>
      </c>
      <c r="X20" s="3">
        <f t="shared" ref="X20:X25" si="12">$V$26/V20</f>
        <v>0.86581137309292644</v>
      </c>
    </row>
    <row r="21" spans="1:30" x14ac:dyDescent="0.25">
      <c r="A21" s="3"/>
      <c r="C21" s="14" t="s">
        <v>97</v>
      </c>
      <c r="D21" s="3">
        <f t="shared" si="5"/>
        <v>0.1875</v>
      </c>
      <c r="E21" s="3">
        <f>+E6*$E$17</f>
        <v>0.4375</v>
      </c>
      <c r="F21" s="3">
        <f t="shared" si="6"/>
        <v>0.125</v>
      </c>
      <c r="G21" s="3">
        <f t="shared" si="3"/>
        <v>0.1875</v>
      </c>
      <c r="H21" s="3">
        <f>+H6*$H$17</f>
        <v>6.25E-2</v>
      </c>
      <c r="J21" s="3">
        <f t="shared" si="7"/>
        <v>0.125</v>
      </c>
      <c r="K21" s="3">
        <f>+K6*$K$17</f>
        <v>0.125</v>
      </c>
      <c r="L21" s="3">
        <f t="shared" si="4"/>
        <v>0.5</v>
      </c>
      <c r="M21" s="3">
        <f t="shared" si="8"/>
        <v>6.25E-2</v>
      </c>
      <c r="O21" s="3">
        <f t="shared" si="9"/>
        <v>0.25</v>
      </c>
      <c r="P21" s="3">
        <f>+P6*$P$17</f>
        <v>1.5</v>
      </c>
      <c r="Q21" s="3">
        <f>+Q6*$Q$17</f>
        <v>1.1666666666666665</v>
      </c>
      <c r="R21" s="3">
        <f>+R6*$R$17</f>
        <v>0.33333333333333331</v>
      </c>
      <c r="S21" s="3">
        <f t="shared" si="10"/>
        <v>0.5</v>
      </c>
      <c r="T21" s="3">
        <f>+T6*$T$17</f>
        <v>0.41666666666666663</v>
      </c>
      <c r="U21" s="3">
        <f>+U6*$U$17</f>
        <v>0.33333333333333331</v>
      </c>
      <c r="V21" s="15">
        <f t="shared" si="11"/>
        <v>6.3124999999999991</v>
      </c>
      <c r="X21" s="3">
        <f t="shared" si="12"/>
        <v>1.1772748703441775</v>
      </c>
    </row>
    <row r="22" spans="1:30" x14ac:dyDescent="0.25">
      <c r="A22" s="3"/>
      <c r="C22" s="14" t="s">
        <v>98</v>
      </c>
      <c r="D22" s="3">
        <f t="shared" si="5"/>
        <v>0.5</v>
      </c>
      <c r="E22" s="3">
        <f>+E7*$E$17</f>
        <v>0.16666666666666666</v>
      </c>
      <c r="F22" s="3">
        <f t="shared" si="6"/>
        <v>0.5</v>
      </c>
      <c r="G22" s="3">
        <f t="shared" si="3"/>
        <v>0.41666666666666669</v>
      </c>
      <c r="H22" s="3">
        <f>+H7*$H$17</f>
        <v>8.3333333333333329E-2</v>
      </c>
      <c r="I22" s="3">
        <f>+I7*$I$17</f>
        <v>0.16666666666666666</v>
      </c>
      <c r="J22" s="3">
        <f t="shared" si="7"/>
        <v>8.3333333333333329E-2</v>
      </c>
      <c r="L22" s="3">
        <f t="shared" si="4"/>
        <v>1</v>
      </c>
      <c r="M22" s="3">
        <f t="shared" si="8"/>
        <v>0.41666666666666669</v>
      </c>
      <c r="O22" s="3">
        <f t="shared" si="9"/>
        <v>0.5</v>
      </c>
      <c r="P22" s="3">
        <f>+P7*$P$17</f>
        <v>1.3333333333333333</v>
      </c>
      <c r="Q22" s="3">
        <f>+Q7*$Q$17</f>
        <v>0.44444444444444442</v>
      </c>
      <c r="S22" s="3">
        <f t="shared" si="10"/>
        <v>0.1111111111111111</v>
      </c>
      <c r="U22" s="3">
        <f>+U7*$U$17</f>
        <v>0.88888888888888884</v>
      </c>
      <c r="V22" s="15">
        <f t="shared" si="11"/>
        <v>6.6111111111111107</v>
      </c>
      <c r="X22" s="3">
        <f t="shared" si="12"/>
        <v>1.1240996398559424</v>
      </c>
    </row>
    <row r="23" spans="1:30" x14ac:dyDescent="0.25">
      <c r="A23" s="3"/>
      <c r="C23" s="14" t="s">
        <v>99</v>
      </c>
      <c r="D23" s="3">
        <f t="shared" si="5"/>
        <v>0.25</v>
      </c>
      <c r="E23" s="3">
        <f>+E8*$E$17</f>
        <v>0.16666666666666666</v>
      </c>
      <c r="F23" s="3">
        <f t="shared" si="6"/>
        <v>0.33333333333333331</v>
      </c>
      <c r="G23" s="3">
        <f t="shared" si="3"/>
        <v>0.25</v>
      </c>
      <c r="H23" s="3">
        <f>+H8*$H$17</f>
        <v>1</v>
      </c>
      <c r="I23" s="3">
        <f>+I8*$I$17</f>
        <v>0.25</v>
      </c>
      <c r="J23" s="3">
        <f t="shared" si="7"/>
        <v>0.25</v>
      </c>
      <c r="K23" s="3">
        <f>+K8*$K$17</f>
        <v>1.1666666666666667</v>
      </c>
      <c r="L23" s="3">
        <f t="shared" si="4"/>
        <v>8.3333333333333329E-2</v>
      </c>
      <c r="M23" s="3">
        <f t="shared" si="8"/>
        <v>0.66666666666666663</v>
      </c>
      <c r="O23" s="3">
        <f t="shared" si="9"/>
        <v>0.66666666666666663</v>
      </c>
      <c r="R23" s="3">
        <f>+R8*$R$17</f>
        <v>0.44444444444444442</v>
      </c>
      <c r="S23" s="3">
        <f t="shared" si="10"/>
        <v>0.66666666666666663</v>
      </c>
      <c r="U23" s="3">
        <f>+U8*$U$17</f>
        <v>0.33333333333333331</v>
      </c>
      <c r="V23" s="15">
        <f t="shared" si="11"/>
        <v>6.5277777777777786</v>
      </c>
      <c r="X23" s="3">
        <f t="shared" si="12"/>
        <v>1.1384498480243161</v>
      </c>
    </row>
    <row r="24" spans="1:30" x14ac:dyDescent="0.25">
      <c r="A24" s="3"/>
      <c r="C24" s="14" t="s">
        <v>100</v>
      </c>
      <c r="D24" s="3">
        <f t="shared" si="5"/>
        <v>0.83333333333333337</v>
      </c>
      <c r="E24" s="3">
        <f>+E9*$E$17</f>
        <v>0.66666666666666663</v>
      </c>
      <c r="F24" s="3">
        <f t="shared" si="6"/>
        <v>0.83333333333333337</v>
      </c>
      <c r="G24" s="3">
        <f t="shared" si="3"/>
        <v>0.5</v>
      </c>
      <c r="I24" s="3">
        <f>+I9*$I$17</f>
        <v>1.1666666666666667</v>
      </c>
      <c r="J24" s="3">
        <f t="shared" si="7"/>
        <v>1</v>
      </c>
      <c r="K24" s="3">
        <f>+K9*$K$17</f>
        <v>0.25</v>
      </c>
      <c r="L24" s="3">
        <f t="shared" si="4"/>
        <v>0.33333333333333331</v>
      </c>
      <c r="M24" s="3">
        <f t="shared" si="8"/>
        <v>0.5</v>
      </c>
      <c r="N24" s="3">
        <f>+N9*$N$17</f>
        <v>0.41666666666666669</v>
      </c>
      <c r="O24" s="3">
        <f t="shared" si="9"/>
        <v>0.41666666666666669</v>
      </c>
      <c r="R24" s="3">
        <f>+R9*$R$17</f>
        <v>0.33333333333333331</v>
      </c>
      <c r="S24" s="3">
        <f t="shared" si="10"/>
        <v>0.88888888888888884</v>
      </c>
      <c r="T24" s="3">
        <f>+T9*$T$17</f>
        <v>0.66666666666666663</v>
      </c>
      <c r="V24" s="15">
        <f t="shared" si="11"/>
        <v>8.8055555555555554</v>
      </c>
      <c r="X24" s="3">
        <f t="shared" si="12"/>
        <v>0.84396124380351512</v>
      </c>
    </row>
    <row r="25" spans="1:30" x14ac:dyDescent="0.25">
      <c r="A25" s="3"/>
      <c r="C25" s="14" t="s">
        <v>101</v>
      </c>
      <c r="D25" s="3">
        <f t="shared" si="5"/>
        <v>0.375</v>
      </c>
      <c r="E25" s="3">
        <f>+E10*$E$17</f>
        <v>0.125</v>
      </c>
      <c r="F25" s="3">
        <f t="shared" si="6"/>
        <v>0.375</v>
      </c>
      <c r="I25" s="3">
        <f>+I10*$I$17</f>
        <v>0.75</v>
      </c>
      <c r="J25" s="3">
        <f t="shared" si="7"/>
        <v>0.5</v>
      </c>
      <c r="M25" s="3">
        <f t="shared" si="8"/>
        <v>1.5</v>
      </c>
      <c r="N25" s="3">
        <f>+N10*$N$17</f>
        <v>0.25</v>
      </c>
      <c r="O25" s="3">
        <f t="shared" si="9"/>
        <v>0.5</v>
      </c>
      <c r="Q25" s="3">
        <f>+Q10*$Q$17</f>
        <v>0.33333333333333331</v>
      </c>
      <c r="R25" s="3">
        <f>+R10*$R$17</f>
        <v>0.33333333333333331</v>
      </c>
      <c r="S25" s="3">
        <f t="shared" si="10"/>
        <v>1</v>
      </c>
      <c r="T25" s="3">
        <f>+T10*$T$17</f>
        <v>1.6666666666666665</v>
      </c>
      <c r="U25" s="3">
        <f>+U10*$U$17</f>
        <v>0.33333333333333331</v>
      </c>
      <c r="V25" s="15">
        <f t="shared" si="11"/>
        <v>8.0416666666666661</v>
      </c>
      <c r="X25" s="3">
        <f t="shared" si="12"/>
        <v>0.92413027387120661</v>
      </c>
    </row>
    <row r="26" spans="1:30" x14ac:dyDescent="0.25">
      <c r="A26" s="3"/>
      <c r="V26" s="15">
        <f>+AVERAGE(V17:V25)</f>
        <v>7.4315476190476195</v>
      </c>
    </row>
    <row r="27" spans="1:30" x14ac:dyDescent="0.25">
      <c r="A27" s="3"/>
    </row>
    <row r="28" spans="1:30" ht="26.25" customHeight="1" x14ac:dyDescent="0.25">
      <c r="A28" s="3"/>
      <c r="C28" s="16" t="s">
        <v>76</v>
      </c>
      <c r="V28" s="15"/>
      <c r="Z28" s="3" t="s">
        <v>79</v>
      </c>
    </row>
    <row r="29" spans="1:30" x14ac:dyDescent="0.25">
      <c r="A29" s="3"/>
      <c r="C29" s="14" t="s">
        <v>95</v>
      </c>
      <c r="D29" s="25">
        <f>IF(D19="","",D19*$X19)</f>
        <v>0.86749583101723193</v>
      </c>
      <c r="E29" s="25">
        <f t="shared" ref="E29:U29" si="13">IF(E19="","",E19*$X19)</f>
        <v>0.69399666481378541</v>
      </c>
      <c r="F29" s="25">
        <f t="shared" si="13"/>
        <v>0.86749583101723193</v>
      </c>
      <c r="G29" s="25">
        <f t="shared" si="13"/>
        <v>1.2144941634241246</v>
      </c>
      <c r="H29" s="25">
        <f t="shared" si="13"/>
        <v>0.17349916620344635</v>
      </c>
      <c r="I29" s="25">
        <f t="shared" si="13"/>
        <v>8.6749583101723177E-2</v>
      </c>
      <c r="J29" s="25">
        <f t="shared" si="13"/>
        <v>8.6749583101723177E-2</v>
      </c>
      <c r="K29" s="25">
        <f t="shared" si="13"/>
        <v>0.26024874930516956</v>
      </c>
      <c r="L29" s="25">
        <f t="shared" si="13"/>
        <v>0.60724708171206232</v>
      </c>
      <c r="M29" s="25">
        <f t="shared" si="13"/>
        <v>0.34699833240689271</v>
      </c>
      <c r="N29" s="25" t="str">
        <f t="shared" si="13"/>
        <v/>
      </c>
      <c r="O29" s="25">
        <f t="shared" si="13"/>
        <v>0.26024874930516956</v>
      </c>
      <c r="P29" s="25">
        <f t="shared" si="13"/>
        <v>0.11566611080229758</v>
      </c>
      <c r="Q29" s="25">
        <f t="shared" si="13"/>
        <v>0.34699833240689271</v>
      </c>
      <c r="R29" s="25">
        <f t="shared" si="13"/>
        <v>1.1566611080229758</v>
      </c>
      <c r="S29" s="25" t="str">
        <f t="shared" si="13"/>
        <v/>
      </c>
      <c r="T29" s="25">
        <f t="shared" si="13"/>
        <v>0.23133222160459516</v>
      </c>
      <c r="U29" s="25">
        <f t="shared" si="13"/>
        <v>0.11566611080229758</v>
      </c>
      <c r="V29" s="17">
        <f>SUM(D29:U29)/18</f>
        <v>0.41286375661375652</v>
      </c>
      <c r="W29" s="18"/>
      <c r="Z29" s="40">
        <f>+SUM(D29:G29)</f>
        <v>3.6434824902723739</v>
      </c>
      <c r="AA29" s="40">
        <f>+SUM(H29:K29)</f>
        <v>0.60724708171206232</v>
      </c>
      <c r="AB29" s="40">
        <f>+SUM(L29:O29)</f>
        <v>1.2144941634241246</v>
      </c>
      <c r="AC29" s="40">
        <f>+SUM(P29:R29)</f>
        <v>1.619325551232166</v>
      </c>
      <c r="AD29" s="40">
        <f>+SUM(S29:U29)</f>
        <v>0.34699833240689271</v>
      </c>
    </row>
    <row r="30" spans="1:30" x14ac:dyDescent="0.25">
      <c r="A30" s="3"/>
      <c r="C30" s="14" t="s">
        <v>96</v>
      </c>
      <c r="D30" s="25">
        <f t="shared" ref="D30:U35" si="14">IF(D20="","",D20*$X20)</f>
        <v>0.21645284327323161</v>
      </c>
      <c r="E30" s="25" t="str">
        <f t="shared" si="14"/>
        <v/>
      </c>
      <c r="F30" s="25">
        <f t="shared" si="14"/>
        <v>0.32467926490984744</v>
      </c>
      <c r="G30" s="25">
        <f t="shared" si="14"/>
        <v>0.21645284327323161</v>
      </c>
      <c r="H30" s="25" t="str">
        <f t="shared" si="14"/>
        <v/>
      </c>
      <c r="I30" s="25">
        <f t="shared" si="14"/>
        <v>0.21645284327323161</v>
      </c>
      <c r="J30" s="25">
        <f t="shared" si="14"/>
        <v>0.32467926490984744</v>
      </c>
      <c r="K30" s="25">
        <f t="shared" si="14"/>
        <v>0.21645284327323161</v>
      </c>
      <c r="L30" s="25">
        <f t="shared" si="14"/>
        <v>0.43290568654646322</v>
      </c>
      <c r="M30" s="25">
        <f t="shared" si="14"/>
        <v>0.64935852981969489</v>
      </c>
      <c r="N30" s="25">
        <f t="shared" si="14"/>
        <v>1.082264216366158</v>
      </c>
      <c r="O30" s="25">
        <f t="shared" si="14"/>
        <v>1.2987170596393898</v>
      </c>
      <c r="P30" s="25">
        <f t="shared" si="14"/>
        <v>0.28860379103097544</v>
      </c>
      <c r="Q30" s="25">
        <f t="shared" si="14"/>
        <v>0.57720758206195089</v>
      </c>
      <c r="R30" s="25" t="str">
        <f t="shared" si="14"/>
        <v/>
      </c>
      <c r="S30" s="25">
        <f t="shared" si="14"/>
        <v>0.43290568654646322</v>
      </c>
      <c r="T30" s="25">
        <f t="shared" si="14"/>
        <v>0.86581137309292644</v>
      </c>
      <c r="U30" s="25">
        <f t="shared" si="14"/>
        <v>0.28860379103097544</v>
      </c>
      <c r="V30" s="17">
        <f t="shared" ref="V30:V35" si="15">SUM(D30:U30)/18</f>
        <v>0.41286375661375657</v>
      </c>
      <c r="W30" s="18"/>
      <c r="Z30" s="40">
        <f t="shared" ref="Z30:Z38" si="16">+SUM(D30:G30)</f>
        <v>0.75758495145631066</v>
      </c>
      <c r="AA30" s="40">
        <f t="shared" ref="AA30:AA38" si="17">+SUM(H30:K30)</f>
        <v>0.75758495145631066</v>
      </c>
      <c r="AB30" s="40">
        <f t="shared" ref="AB30:AB38" si="18">+SUM(L30:O30)</f>
        <v>3.4632454923717062</v>
      </c>
      <c r="AC30" s="40">
        <f t="shared" ref="AC30:AC38" si="19">+SUM(P30:R30)</f>
        <v>0.86581137309292633</v>
      </c>
      <c r="AD30" s="40">
        <f t="shared" ref="AD30:AD38" si="20">+SUM(S30:U30)</f>
        <v>1.5873208506703653</v>
      </c>
    </row>
    <row r="31" spans="1:30" x14ac:dyDescent="0.25">
      <c r="A31" s="3"/>
      <c r="C31" s="14" t="s">
        <v>97</v>
      </c>
      <c r="D31" s="25">
        <f t="shared" si="14"/>
        <v>0.22073903818953328</v>
      </c>
      <c r="E31" s="25">
        <f t="shared" si="14"/>
        <v>0.51505775577557766</v>
      </c>
      <c r="F31" s="25">
        <f t="shared" si="14"/>
        <v>0.14715935879302219</v>
      </c>
      <c r="G31" s="25">
        <f t="shared" si="14"/>
        <v>0.22073903818953328</v>
      </c>
      <c r="H31" s="25">
        <f>IF(H21="","",H21*$X21)</f>
        <v>7.3579679396511097E-2</v>
      </c>
      <c r="I31" s="25" t="str">
        <f t="shared" si="14"/>
        <v/>
      </c>
      <c r="J31" s="25">
        <f t="shared" si="14"/>
        <v>0.14715935879302219</v>
      </c>
      <c r="K31" s="25">
        <f t="shared" si="14"/>
        <v>0.14715935879302219</v>
      </c>
      <c r="L31" s="25">
        <f t="shared" si="14"/>
        <v>0.58863743517208877</v>
      </c>
      <c r="M31" s="25">
        <f t="shared" si="14"/>
        <v>7.3579679396511097E-2</v>
      </c>
      <c r="N31" s="25" t="str">
        <f t="shared" si="14"/>
        <v/>
      </c>
      <c r="O31" s="25">
        <f t="shared" si="14"/>
        <v>0.29431871758604439</v>
      </c>
      <c r="P31" s="25">
        <f t="shared" si="14"/>
        <v>1.7659123055162662</v>
      </c>
      <c r="Q31" s="25">
        <f t="shared" si="14"/>
        <v>1.3734873487348735</v>
      </c>
      <c r="R31" s="25">
        <f t="shared" si="14"/>
        <v>0.3924249567813925</v>
      </c>
      <c r="S31" s="25">
        <f t="shared" si="14"/>
        <v>0.58863743517208877</v>
      </c>
      <c r="T31" s="25">
        <f t="shared" si="14"/>
        <v>0.49053119597674061</v>
      </c>
      <c r="U31" s="25">
        <f t="shared" si="14"/>
        <v>0.3924249567813925</v>
      </c>
      <c r="V31" s="17">
        <f t="shared" si="15"/>
        <v>0.41286375661375674</v>
      </c>
      <c r="W31" s="18"/>
      <c r="Z31" s="40">
        <f>+SUM(D31:G31)</f>
        <v>1.1036951909476664</v>
      </c>
      <c r="AA31" s="40">
        <f t="shared" si="17"/>
        <v>0.36789839698255544</v>
      </c>
      <c r="AB31" s="40">
        <f t="shared" si="18"/>
        <v>0.95653583215464422</v>
      </c>
      <c r="AC31" s="40">
        <f t="shared" si="19"/>
        <v>3.531824611032532</v>
      </c>
      <c r="AD31" s="40">
        <f t="shared" si="20"/>
        <v>1.4715935879302218</v>
      </c>
    </row>
    <row r="32" spans="1:30" x14ac:dyDescent="0.25">
      <c r="A32" s="3"/>
      <c r="C32" s="14" t="s">
        <v>98</v>
      </c>
      <c r="D32" s="25">
        <f t="shared" si="14"/>
        <v>0.56204981992797121</v>
      </c>
      <c r="E32" s="25">
        <f t="shared" si="14"/>
        <v>0.18734993997599039</v>
      </c>
      <c r="F32" s="25">
        <f t="shared" si="14"/>
        <v>0.56204981992797121</v>
      </c>
      <c r="G32" s="25">
        <f t="shared" si="14"/>
        <v>0.46837484993997602</v>
      </c>
      <c r="H32" s="25">
        <f t="shared" si="14"/>
        <v>9.3674969987995196E-2</v>
      </c>
      <c r="I32" s="25">
        <f t="shared" si="14"/>
        <v>0.18734993997599039</v>
      </c>
      <c r="J32" s="25">
        <f t="shared" si="14"/>
        <v>9.3674969987995196E-2</v>
      </c>
      <c r="K32" s="25" t="str">
        <f t="shared" si="14"/>
        <v/>
      </c>
      <c r="L32" s="25">
        <f t="shared" si="14"/>
        <v>1.1240996398559424</v>
      </c>
      <c r="M32" s="25">
        <f t="shared" si="14"/>
        <v>0.46837484993997602</v>
      </c>
      <c r="N32" s="25" t="str">
        <f t="shared" si="14"/>
        <v/>
      </c>
      <c r="O32" s="25">
        <f t="shared" si="14"/>
        <v>0.56204981992797121</v>
      </c>
      <c r="P32" s="25">
        <f t="shared" si="14"/>
        <v>1.4987995198079231</v>
      </c>
      <c r="Q32" s="25">
        <f t="shared" si="14"/>
        <v>0.4995998399359744</v>
      </c>
      <c r="R32" s="25" t="str">
        <f t="shared" si="14"/>
        <v/>
      </c>
      <c r="S32" s="25">
        <f t="shared" si="14"/>
        <v>0.1248999599839936</v>
      </c>
      <c r="T32" s="25" t="str">
        <f t="shared" si="14"/>
        <v/>
      </c>
      <c r="U32" s="25">
        <f t="shared" si="14"/>
        <v>0.9991996798719488</v>
      </c>
      <c r="V32" s="17">
        <f t="shared" si="15"/>
        <v>0.41286375661375657</v>
      </c>
      <c r="W32" s="18"/>
      <c r="Z32" s="40">
        <f t="shared" si="16"/>
        <v>1.7798244297719088</v>
      </c>
      <c r="AA32" s="40">
        <f t="shared" si="17"/>
        <v>0.37469987995198079</v>
      </c>
      <c r="AB32" s="40">
        <f t="shared" si="18"/>
        <v>2.1545243097238895</v>
      </c>
      <c r="AC32" s="40">
        <f>+SUM(P32:R32)</f>
        <v>1.9983993597438976</v>
      </c>
      <c r="AD32" s="40">
        <f>+SUM(S32:U32)</f>
        <v>1.1240996398559424</v>
      </c>
    </row>
    <row r="33" spans="1:36" x14ac:dyDescent="0.25">
      <c r="A33" s="3"/>
      <c r="C33" s="14" t="s">
        <v>99</v>
      </c>
      <c r="D33" s="25">
        <f t="shared" si="14"/>
        <v>0.28461246200607904</v>
      </c>
      <c r="E33" s="25">
        <f t="shared" si="14"/>
        <v>0.18974164133738602</v>
      </c>
      <c r="F33" s="25">
        <f t="shared" si="14"/>
        <v>0.37948328267477205</v>
      </c>
      <c r="G33" s="25">
        <f t="shared" si="14"/>
        <v>0.28461246200607904</v>
      </c>
      <c r="H33" s="25">
        <f t="shared" si="14"/>
        <v>1.1384498480243161</v>
      </c>
      <c r="I33" s="25">
        <f t="shared" si="14"/>
        <v>0.28461246200607904</v>
      </c>
      <c r="J33" s="25">
        <f t="shared" si="14"/>
        <v>0.28461246200607904</v>
      </c>
      <c r="K33" s="25">
        <f t="shared" si="14"/>
        <v>1.3281914893617022</v>
      </c>
      <c r="L33" s="25">
        <f t="shared" si="14"/>
        <v>9.4870820668693012E-2</v>
      </c>
      <c r="M33" s="25">
        <f t="shared" si="14"/>
        <v>0.7589665653495441</v>
      </c>
      <c r="N33" s="25" t="str">
        <f t="shared" si="14"/>
        <v/>
      </c>
      <c r="O33" s="25">
        <f t="shared" si="14"/>
        <v>0.7589665653495441</v>
      </c>
      <c r="P33" s="25" t="str">
        <f t="shared" si="14"/>
        <v/>
      </c>
      <c r="Q33" s="25" t="str">
        <f t="shared" si="14"/>
        <v/>
      </c>
      <c r="R33" s="25">
        <f t="shared" si="14"/>
        <v>0.5059777102330294</v>
      </c>
      <c r="S33" s="25">
        <f t="shared" si="14"/>
        <v>0.7589665653495441</v>
      </c>
      <c r="T33" s="25" t="str">
        <f t="shared" si="14"/>
        <v/>
      </c>
      <c r="U33" s="25">
        <f t="shared" si="14"/>
        <v>0.37948328267477205</v>
      </c>
      <c r="V33" s="17">
        <f t="shared" si="15"/>
        <v>0.41286375661375657</v>
      </c>
      <c r="W33" s="18"/>
      <c r="Z33" s="40">
        <f t="shared" si="16"/>
        <v>1.1384498480243161</v>
      </c>
      <c r="AA33" s="40">
        <f t="shared" si="17"/>
        <v>3.0358662613981764</v>
      </c>
      <c r="AB33" s="40">
        <f t="shared" si="18"/>
        <v>1.6128039513677812</v>
      </c>
      <c r="AC33" s="40">
        <f t="shared" si="19"/>
        <v>0.5059777102330294</v>
      </c>
      <c r="AD33" s="40">
        <f t="shared" si="20"/>
        <v>1.1384498480243161</v>
      </c>
    </row>
    <row r="34" spans="1:36" x14ac:dyDescent="0.25">
      <c r="A34" s="3"/>
      <c r="C34" s="14" t="s">
        <v>100</v>
      </c>
      <c r="D34" s="25">
        <f t="shared" si="14"/>
        <v>0.7033010365029293</v>
      </c>
      <c r="E34" s="25">
        <f t="shared" si="14"/>
        <v>0.56264082920234337</v>
      </c>
      <c r="F34" s="25">
        <f t="shared" si="14"/>
        <v>0.7033010365029293</v>
      </c>
      <c r="G34" s="25">
        <f t="shared" si="14"/>
        <v>0.42198062190175756</v>
      </c>
      <c r="H34" s="25" t="str">
        <f t="shared" si="14"/>
        <v/>
      </c>
      <c r="I34" s="25">
        <f t="shared" si="14"/>
        <v>0.98462145110410104</v>
      </c>
      <c r="J34" s="25">
        <f t="shared" si="14"/>
        <v>0.84396124380351512</v>
      </c>
      <c r="K34" s="25">
        <f t="shared" si="14"/>
        <v>0.21099031095087878</v>
      </c>
      <c r="L34" s="25">
        <f t="shared" si="14"/>
        <v>0.28132041460117169</v>
      </c>
      <c r="M34" s="25">
        <f t="shared" si="14"/>
        <v>0.42198062190175756</v>
      </c>
      <c r="N34" s="25">
        <f t="shared" si="14"/>
        <v>0.35165051825146465</v>
      </c>
      <c r="O34" s="25">
        <f t="shared" si="14"/>
        <v>0.35165051825146465</v>
      </c>
      <c r="P34" s="25" t="str">
        <f t="shared" si="14"/>
        <v/>
      </c>
      <c r="Q34" s="25" t="str">
        <f t="shared" si="14"/>
        <v/>
      </c>
      <c r="R34" s="25">
        <f t="shared" si="14"/>
        <v>0.28132041460117169</v>
      </c>
      <c r="S34" s="25">
        <f t="shared" si="14"/>
        <v>0.75018777226979116</v>
      </c>
      <c r="T34" s="25">
        <f t="shared" si="14"/>
        <v>0.56264082920234337</v>
      </c>
      <c r="U34" s="25" t="str">
        <f t="shared" si="14"/>
        <v/>
      </c>
      <c r="V34" s="17">
        <f t="shared" si="15"/>
        <v>0.41286375661375663</v>
      </c>
      <c r="W34" s="18"/>
      <c r="Z34" s="40">
        <f t="shared" si="16"/>
        <v>2.3912235241099595</v>
      </c>
      <c r="AA34" s="40">
        <f t="shared" si="17"/>
        <v>2.0395730058584949</v>
      </c>
      <c r="AB34" s="40">
        <f t="shared" si="18"/>
        <v>1.4066020730058586</v>
      </c>
      <c r="AC34" s="40">
        <f t="shared" si="19"/>
        <v>0.28132041460117169</v>
      </c>
      <c r="AD34" s="40">
        <f t="shared" si="20"/>
        <v>1.3128286014721344</v>
      </c>
    </row>
    <row r="35" spans="1:36" x14ac:dyDescent="0.25">
      <c r="A35" s="3"/>
      <c r="C35" s="14" t="s">
        <v>101</v>
      </c>
      <c r="D35" s="25">
        <f t="shared" si="14"/>
        <v>0.34654885270170249</v>
      </c>
      <c r="E35" s="25">
        <f t="shared" si="14"/>
        <v>0.11551628423390083</v>
      </c>
      <c r="F35" s="25">
        <f>IF(F25="","",F25*$X25)</f>
        <v>0.34654885270170249</v>
      </c>
      <c r="G35" s="25" t="str">
        <f t="shared" si="14"/>
        <v/>
      </c>
      <c r="H35" s="25" t="str">
        <f t="shared" si="14"/>
        <v/>
      </c>
      <c r="I35" s="25">
        <f t="shared" si="14"/>
        <v>0.69309770540340498</v>
      </c>
      <c r="J35" s="25">
        <f t="shared" si="14"/>
        <v>0.4620651369356033</v>
      </c>
      <c r="K35" s="25" t="str">
        <f t="shared" si="14"/>
        <v/>
      </c>
      <c r="L35" s="25" t="str">
        <f t="shared" si="14"/>
        <v/>
      </c>
      <c r="M35" s="25">
        <f t="shared" si="14"/>
        <v>1.38619541080681</v>
      </c>
      <c r="N35" s="25">
        <f t="shared" si="14"/>
        <v>0.23103256846780165</v>
      </c>
      <c r="O35" s="25">
        <f t="shared" si="14"/>
        <v>0.4620651369356033</v>
      </c>
      <c r="P35" s="25" t="str">
        <f t="shared" si="14"/>
        <v/>
      </c>
      <c r="Q35" s="25">
        <f t="shared" si="14"/>
        <v>0.30804342462373552</v>
      </c>
      <c r="R35" s="25">
        <f t="shared" si="14"/>
        <v>0.30804342462373552</v>
      </c>
      <c r="S35" s="25">
        <f t="shared" si="14"/>
        <v>0.92413027387120661</v>
      </c>
      <c r="T35" s="25">
        <f t="shared" si="14"/>
        <v>1.5402171231186776</v>
      </c>
      <c r="U35" s="25">
        <f>IF(U25="","",U25*$X25)</f>
        <v>0.30804342462373552</v>
      </c>
      <c r="V35" s="17">
        <f t="shared" si="15"/>
        <v>0.41286375661375674</v>
      </c>
      <c r="W35" s="18"/>
      <c r="Z35" s="40">
        <f t="shared" si="16"/>
        <v>0.8086139896373058</v>
      </c>
      <c r="AA35" s="40">
        <f t="shared" si="17"/>
        <v>1.1551628423390083</v>
      </c>
      <c r="AB35" s="40">
        <f t="shared" si="18"/>
        <v>2.0792931162102151</v>
      </c>
      <c r="AC35" s="40">
        <f t="shared" si="19"/>
        <v>0.61608684924747104</v>
      </c>
      <c r="AD35" s="40">
        <f t="shared" si="20"/>
        <v>2.7723908216136195</v>
      </c>
    </row>
    <row r="36" spans="1:36" ht="18.75" customHeight="1" x14ac:dyDescent="0.25">
      <c r="A36" s="3"/>
      <c r="C36" s="90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17"/>
      <c r="W36" s="18"/>
      <c r="Z36" s="40">
        <f t="shared" si="16"/>
        <v>0</v>
      </c>
      <c r="AA36" s="40">
        <f t="shared" si="17"/>
        <v>0</v>
      </c>
      <c r="AB36" s="40">
        <f t="shared" si="18"/>
        <v>0</v>
      </c>
      <c r="AC36" s="40">
        <f t="shared" si="19"/>
        <v>0</v>
      </c>
      <c r="AD36" s="40">
        <f t="shared" si="20"/>
        <v>0</v>
      </c>
    </row>
    <row r="37" spans="1:36" ht="18.75" customHeight="1" x14ac:dyDescent="0.25">
      <c r="A37" s="3"/>
      <c r="C37" s="90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17"/>
      <c r="W37" s="18"/>
      <c r="Z37" s="40">
        <f t="shared" si="16"/>
        <v>0</v>
      </c>
      <c r="AA37" s="40">
        <f t="shared" si="17"/>
        <v>0</v>
      </c>
      <c r="AB37" s="40">
        <f t="shared" si="18"/>
        <v>0</v>
      </c>
      <c r="AC37" s="40">
        <f t="shared" si="19"/>
        <v>0</v>
      </c>
      <c r="AD37" s="40">
        <f t="shared" si="20"/>
        <v>0</v>
      </c>
    </row>
    <row r="38" spans="1:36" ht="18.75" customHeight="1" x14ac:dyDescent="0.25">
      <c r="A38" s="3"/>
      <c r="B38" s="3"/>
      <c r="C38" s="91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17"/>
      <c r="W38" s="18"/>
      <c r="Z38" s="40">
        <f t="shared" si="16"/>
        <v>0</v>
      </c>
      <c r="AA38" s="40">
        <f t="shared" si="17"/>
        <v>0</v>
      </c>
      <c r="AB38" s="40">
        <f t="shared" si="18"/>
        <v>0</v>
      </c>
      <c r="AC38" s="40">
        <f t="shared" si="19"/>
        <v>0</v>
      </c>
      <c r="AD38" s="40">
        <f t="shared" si="20"/>
        <v>0</v>
      </c>
    </row>
    <row r="39" spans="1:36" x14ac:dyDescent="0.25">
      <c r="A39" s="3"/>
      <c r="B39" s="3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17"/>
      <c r="W39" s="18"/>
    </row>
    <row r="40" spans="1:36" ht="30" x14ac:dyDescent="0.25">
      <c r="A40" s="3"/>
      <c r="B40" s="3"/>
      <c r="C40" s="43" t="s">
        <v>15</v>
      </c>
      <c r="D40" s="21"/>
      <c r="E40" s="21"/>
      <c r="F40" s="21"/>
      <c r="G40" s="21"/>
      <c r="H40" s="21"/>
      <c r="I40" s="21" t="s">
        <v>77</v>
      </c>
      <c r="J40" s="26">
        <v>0.2</v>
      </c>
      <c r="K40" s="27">
        <v>0.2</v>
      </c>
      <c r="L40" s="28">
        <v>0.2</v>
      </c>
      <c r="M40" s="29">
        <v>0.2</v>
      </c>
      <c r="N40" s="29">
        <v>0.2</v>
      </c>
      <c r="O40" s="21"/>
      <c r="P40" s="21"/>
      <c r="Q40" s="21"/>
      <c r="R40" s="21"/>
      <c r="S40" s="21"/>
      <c r="T40" s="21"/>
      <c r="U40" s="21"/>
      <c r="V40" s="22"/>
      <c r="W40" s="23"/>
    </row>
    <row r="41" spans="1:36" x14ac:dyDescent="0.25">
      <c r="A41" s="3"/>
      <c r="B41" s="3"/>
      <c r="C41" s="24" t="s">
        <v>3</v>
      </c>
      <c r="D41" s="26">
        <v>0.2</v>
      </c>
      <c r="E41" s="27">
        <v>0.2</v>
      </c>
      <c r="F41" s="28">
        <v>0.2</v>
      </c>
      <c r="G41" s="29">
        <v>0.2</v>
      </c>
      <c r="H41" s="29">
        <v>0.2</v>
      </c>
      <c r="I41" s="25"/>
      <c r="J41" s="25"/>
      <c r="K41" s="25"/>
      <c r="M41" s="25"/>
      <c r="N41" s="25"/>
      <c r="O41" s="25"/>
      <c r="Q41" s="25"/>
      <c r="R41" s="25"/>
      <c r="T41" s="25"/>
      <c r="U41" s="25"/>
      <c r="Z41" t="s">
        <v>4</v>
      </c>
    </row>
    <row r="42" spans="1:36" ht="18" customHeight="1" x14ac:dyDescent="0.25">
      <c r="A42" s="3"/>
      <c r="B42" s="3"/>
      <c r="C42" s="24"/>
      <c r="D42" s="26"/>
      <c r="E42" s="26"/>
      <c r="F42" s="26"/>
      <c r="G42" s="26"/>
      <c r="H42" s="27"/>
      <c r="I42" s="27"/>
      <c r="J42" s="27"/>
      <c r="K42" s="27"/>
      <c r="L42" s="28"/>
      <c r="M42" s="28"/>
      <c r="N42" s="28"/>
      <c r="O42" s="28"/>
      <c r="P42" s="29"/>
      <c r="Q42" s="29"/>
      <c r="R42" s="29"/>
      <c r="S42" s="29"/>
      <c r="T42" s="29"/>
      <c r="U42" s="29"/>
      <c r="X42" t="s">
        <v>78</v>
      </c>
      <c r="Z42" s="31" t="s">
        <v>5</v>
      </c>
      <c r="AE42" t="s">
        <v>6</v>
      </c>
      <c r="AF42"/>
      <c r="AG42"/>
      <c r="AH42"/>
      <c r="AI42"/>
      <c r="AJ42"/>
    </row>
    <row r="43" spans="1:36" x14ac:dyDescent="0.25">
      <c r="A43" s="3"/>
      <c r="B43" s="3"/>
      <c r="C43" s="14" t="s">
        <v>95</v>
      </c>
      <c r="D43" s="25">
        <f>IF(Z29="","",Z29*$J$40)</f>
        <v>0.72869649805447478</v>
      </c>
      <c r="E43" s="25">
        <f>IF(AA29="","",AA29*$K$40)</f>
        <v>0.12144941634241246</v>
      </c>
      <c r="F43" s="25">
        <f>IF(AB29="","",AB29*$L$40)</f>
        <v>0.24289883268482493</v>
      </c>
      <c r="G43" s="25">
        <f>IF(AC29="","",AC29*$M$40)</f>
        <v>0.32386511024643322</v>
      </c>
      <c r="H43" s="25">
        <f>IF(AD29="","",AD29*$N$40)</f>
        <v>6.9399666481378547E-2</v>
      </c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32"/>
      <c r="W43" s="25">
        <f>+SUM(D43:U43)</f>
        <v>1.4863095238095239</v>
      </c>
      <c r="X43" s="33">
        <v>5.4447757111597399</v>
      </c>
      <c r="Z43" s="33">
        <f>$X$53/X43</f>
        <v>0.96790107213832199</v>
      </c>
      <c r="AA43" s="33"/>
      <c r="AB43" s="25"/>
      <c r="AE43"/>
      <c r="AF43">
        <v>0.2112</v>
      </c>
      <c r="AG43">
        <v>0.19639999999999999</v>
      </c>
      <c r="AH43">
        <v>0.17449999999999999</v>
      </c>
      <c r="AI43">
        <v>0.20669999999999999</v>
      </c>
      <c r="AJ43">
        <v>0.2112</v>
      </c>
    </row>
    <row r="44" spans="1:36" x14ac:dyDescent="0.25">
      <c r="A44" s="3"/>
      <c r="B44" s="3"/>
      <c r="C44" s="14" t="s">
        <v>96</v>
      </c>
      <c r="D44" s="25">
        <f t="shared" ref="D44:D49" si="21">IF(Z30="","",Z30*$J$40)</f>
        <v>0.15151699029126214</v>
      </c>
      <c r="E44" s="25">
        <f t="shared" ref="E44:E49" si="22">IF(AA30="","",AA30*$K$40)</f>
        <v>0.15151699029126214</v>
      </c>
      <c r="F44" s="25">
        <f t="shared" ref="F44:F49" si="23">IF(AB30="","",AB30*$L$40)</f>
        <v>0.69264909847434131</v>
      </c>
      <c r="G44" s="25">
        <f t="shared" ref="G44:G49" si="24">IF(AC30="","",AC30*$M$40)</f>
        <v>0.17316227461858527</v>
      </c>
      <c r="H44" s="25">
        <f>IF(AD30="","",AD30*$N$40)</f>
        <v>0.31746417013407308</v>
      </c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32"/>
      <c r="W44" s="25">
        <f t="shared" ref="W44:W49" si="25">+SUM(D44:U44)</f>
        <v>1.4863095238095239</v>
      </c>
      <c r="X44" s="33">
        <v>5.0982456140350862</v>
      </c>
      <c r="Y44" s="33"/>
      <c r="Z44" s="33">
        <f t="shared" ref="Z44:Z49" si="26">$X$53/X44</f>
        <v>1.0336897527801097</v>
      </c>
      <c r="AA44" s="33"/>
      <c r="AB44" s="25"/>
      <c r="AE44"/>
      <c r="AF44">
        <v>0.28399999999999997</v>
      </c>
      <c r="AG44">
        <v>0.2172</v>
      </c>
      <c r="AH44">
        <v>0.22220000000000001</v>
      </c>
      <c r="AI44">
        <v>0.27660000000000001</v>
      </c>
      <c r="AJ44"/>
    </row>
    <row r="45" spans="1:36" x14ac:dyDescent="0.25">
      <c r="A45" s="3"/>
      <c r="B45" s="3"/>
      <c r="C45" s="14" t="s">
        <v>97</v>
      </c>
      <c r="D45" s="25">
        <f t="shared" si="21"/>
        <v>0.2207390381895333</v>
      </c>
      <c r="E45" s="25">
        <f t="shared" si="22"/>
        <v>7.3579679396511097E-2</v>
      </c>
      <c r="F45" s="25">
        <f t="shared" si="23"/>
        <v>0.19130716643092885</v>
      </c>
      <c r="G45" s="25">
        <f t="shared" si="24"/>
        <v>0.70636492220650648</v>
      </c>
      <c r="H45" s="25">
        <f t="shared" ref="H45:H49" si="27">IF(AD31="","",AD31*$N$40)</f>
        <v>0.29431871758604439</v>
      </c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32"/>
      <c r="W45" s="25">
        <f t="shared" si="25"/>
        <v>1.4863095238095241</v>
      </c>
      <c r="X45" s="33">
        <v>5.0315033783783774</v>
      </c>
      <c r="Y45" s="33"/>
      <c r="Z45" s="33">
        <f t="shared" si="26"/>
        <v>1.0474015124447151</v>
      </c>
      <c r="AA45" s="33"/>
      <c r="AE45"/>
      <c r="AF45">
        <v>0.26779999999999998</v>
      </c>
      <c r="AG45">
        <v>0.23799999999999999</v>
      </c>
      <c r="AH45">
        <v>0.2253</v>
      </c>
      <c r="AI45">
        <v>0.26889999999999997</v>
      </c>
      <c r="AJ45"/>
    </row>
    <row r="46" spans="1:36" x14ac:dyDescent="0.25">
      <c r="A46" s="3"/>
      <c r="B46" s="3"/>
      <c r="C46" s="14" t="s">
        <v>98</v>
      </c>
      <c r="D46" s="25">
        <f t="shared" si="21"/>
        <v>0.3559648859543818</v>
      </c>
      <c r="E46" s="25">
        <f t="shared" si="22"/>
        <v>7.493997599039616E-2</v>
      </c>
      <c r="F46" s="25">
        <f t="shared" si="23"/>
        <v>0.43090486194477795</v>
      </c>
      <c r="G46" s="25">
        <f t="shared" si="24"/>
        <v>0.39967987194877952</v>
      </c>
      <c r="H46" s="25">
        <f t="shared" si="27"/>
        <v>0.22481992797118849</v>
      </c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32"/>
      <c r="W46" s="25">
        <f t="shared" si="25"/>
        <v>1.4863095238095239</v>
      </c>
      <c r="X46" s="33">
        <v>5.0839476495726466</v>
      </c>
      <c r="Y46" s="33"/>
      <c r="Z46" s="33">
        <f t="shared" si="26"/>
        <v>1.036596875427543</v>
      </c>
      <c r="AA46" s="33"/>
      <c r="AE46"/>
      <c r="AF46">
        <v>0.31130000000000002</v>
      </c>
      <c r="AG46">
        <v>0.23130000000000001</v>
      </c>
      <c r="AH46">
        <v>0.2354</v>
      </c>
      <c r="AI46">
        <v>0.22209999999999999</v>
      </c>
      <c r="AJ46"/>
    </row>
    <row r="47" spans="1:36" x14ac:dyDescent="0.25">
      <c r="A47" s="3"/>
      <c r="B47" s="3"/>
      <c r="C47" s="14" t="s">
        <v>99</v>
      </c>
      <c r="D47" s="25">
        <f t="shared" si="21"/>
        <v>0.22768996960486323</v>
      </c>
      <c r="E47" s="25">
        <f t="shared" si="22"/>
        <v>0.60717325227963537</v>
      </c>
      <c r="F47" s="25">
        <f t="shared" si="23"/>
        <v>0.32256079027355627</v>
      </c>
      <c r="G47" s="25">
        <f t="shared" si="24"/>
        <v>0.10119554204660589</v>
      </c>
      <c r="H47" s="25">
        <f>IF(AD33="","",AD33*$N$40)</f>
        <v>0.22768996960486323</v>
      </c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32"/>
      <c r="W47" s="25">
        <f t="shared" si="25"/>
        <v>1.4863095238095241</v>
      </c>
      <c r="X47" s="33">
        <v>5.1822350543478244</v>
      </c>
      <c r="Y47" s="33"/>
      <c r="Z47" s="33">
        <f t="shared" si="26"/>
        <v>1.0169365521084854</v>
      </c>
      <c r="AA47" s="33"/>
      <c r="AE47"/>
      <c r="AF47">
        <v>0.39369999999999999</v>
      </c>
      <c r="AG47">
        <v>0.3054</v>
      </c>
      <c r="AH47">
        <v>0.3009</v>
      </c>
      <c r="AI47"/>
      <c r="AJ47"/>
    </row>
    <row r="48" spans="1:36" x14ac:dyDescent="0.25">
      <c r="A48" s="3"/>
      <c r="B48" s="3"/>
      <c r="C48" s="14" t="s">
        <v>100</v>
      </c>
      <c r="D48" s="25">
        <f t="shared" si="21"/>
        <v>0.47824470482199194</v>
      </c>
      <c r="E48" s="25">
        <f t="shared" si="22"/>
        <v>0.40791460117169898</v>
      </c>
      <c r="F48" s="25">
        <f t="shared" si="23"/>
        <v>0.28132041460117174</v>
      </c>
      <c r="G48" s="25">
        <f t="shared" si="24"/>
        <v>5.626408292023434E-2</v>
      </c>
      <c r="H48" s="25">
        <f t="shared" si="27"/>
        <v>0.26256572029442687</v>
      </c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32"/>
      <c r="W48" s="25">
        <f t="shared" si="25"/>
        <v>1.4863095238095239</v>
      </c>
      <c r="X48" s="33">
        <v>5.5015041493775918</v>
      </c>
      <c r="Y48" s="33"/>
      <c r="Z48" s="33">
        <f t="shared" si="26"/>
        <v>0.95792061685174301</v>
      </c>
      <c r="AA48" s="33"/>
      <c r="AE48"/>
      <c r="AF48">
        <v>0.29830000000000001</v>
      </c>
      <c r="AG48">
        <v>0.33110000000000001</v>
      </c>
      <c r="AH48">
        <v>0.37059999999999998</v>
      </c>
      <c r="AI48"/>
      <c r="AJ48"/>
    </row>
    <row r="49" spans="1:32" x14ac:dyDescent="0.25">
      <c r="A49" s="3"/>
      <c r="B49" s="3"/>
      <c r="C49" s="14" t="s">
        <v>101</v>
      </c>
      <c r="D49" s="25">
        <f t="shared" si="21"/>
        <v>0.16172279792746116</v>
      </c>
      <c r="E49" s="25">
        <f t="shared" si="22"/>
        <v>0.23103256846780168</v>
      </c>
      <c r="F49" s="25">
        <f t="shared" si="23"/>
        <v>0.41585862324204304</v>
      </c>
      <c r="G49" s="25">
        <f t="shared" si="24"/>
        <v>0.12321736984949422</v>
      </c>
      <c r="H49" s="25">
        <f t="shared" si="27"/>
        <v>0.5544781643227239</v>
      </c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32"/>
      <c r="W49" s="25">
        <f t="shared" si="25"/>
        <v>1.4863095238095241</v>
      </c>
      <c r="X49" s="33">
        <v>5.5478181818181813</v>
      </c>
      <c r="Y49" s="33"/>
      <c r="Z49" s="33">
        <f t="shared" si="26"/>
        <v>0.94992374942198865</v>
      </c>
      <c r="AA49" s="33"/>
    </row>
    <row r="50" spans="1:32" ht="13.5" customHeight="1" x14ac:dyDescent="0.25">
      <c r="A50" s="3"/>
      <c r="B50" s="3"/>
      <c r="C50" s="92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15"/>
      <c r="W50" s="25"/>
      <c r="X50" s="33"/>
      <c r="Y50" s="33"/>
      <c r="Z50" s="33"/>
      <c r="AA50" s="33"/>
    </row>
    <row r="51" spans="1:32" x14ac:dyDescent="0.25">
      <c r="A51" s="3"/>
      <c r="B51" s="3"/>
      <c r="C51" s="92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15"/>
      <c r="W51" s="25"/>
      <c r="X51" s="33"/>
      <c r="Y51" s="33"/>
      <c r="Z51" s="33"/>
      <c r="AA51" s="33"/>
    </row>
    <row r="52" spans="1:32" ht="16.5" customHeight="1" x14ac:dyDescent="0.25">
      <c r="A52" s="3"/>
      <c r="B52" s="3"/>
      <c r="C52" s="92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15"/>
      <c r="W52" s="25"/>
      <c r="X52" s="33"/>
      <c r="Y52" s="33"/>
      <c r="Z52" s="33"/>
      <c r="AA52" s="33"/>
    </row>
    <row r="53" spans="1:32" x14ac:dyDescent="0.25">
      <c r="A53" s="3"/>
      <c r="B53" s="3"/>
      <c r="C53" s="34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33"/>
      <c r="W53" s="33">
        <f>AVERAGE(W43:W52)</f>
        <v>1.4863095238095241</v>
      </c>
      <c r="X53" s="33">
        <f>AVERAGE(X43:X52)</f>
        <v>5.2700042483842067</v>
      </c>
      <c r="Y53" s="33"/>
      <c r="Z53" s="33">
        <f>AVERAGE(Z43:Z52)</f>
        <v>1.0014814473104152</v>
      </c>
      <c r="AA53" s="33"/>
    </row>
    <row r="54" spans="1:32" ht="30" x14ac:dyDescent="0.25">
      <c r="A54" s="3"/>
      <c r="B54" s="3"/>
      <c r="C54" s="83" t="s">
        <v>81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15"/>
      <c r="W54" s="35"/>
      <c r="X54" s="23"/>
      <c r="Y54" s="33"/>
      <c r="Z54" s="23"/>
      <c r="AA54" s="25"/>
    </row>
    <row r="55" spans="1:32" x14ac:dyDescent="0.25">
      <c r="C55" s="14" t="s">
        <v>95</v>
      </c>
      <c r="D55" s="25">
        <f>IF(D43="","",D43*$Z43)</f>
        <v>0.70530612173036678</v>
      </c>
      <c r="E55" s="25">
        <f>IF(E43="","",E43*$Z43)</f>
        <v>0.11755102028839447</v>
      </c>
      <c r="F55" s="25">
        <f>IF(F43="","",F43*$Z43)</f>
        <v>0.23510204057678893</v>
      </c>
      <c r="G55" s="25">
        <f>IF(G43="","",G43*$Z43)</f>
        <v>0.31346938743571856</v>
      </c>
      <c r="H55" s="25">
        <f>IF(H43="","",H43*$Z43)</f>
        <v>6.7172011593368261E-2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15"/>
      <c r="W55" s="36">
        <f>+SUM(D55:U55)</f>
        <v>1.438600581624637</v>
      </c>
      <c r="X55" s="37">
        <f>+AVERAGE(D55:U55)</f>
        <v>0.28772011632492739</v>
      </c>
      <c r="Y55" s="21"/>
      <c r="Z55" s="33"/>
      <c r="AA55" s="38"/>
    </row>
    <row r="56" spans="1:32" x14ac:dyDescent="0.25">
      <c r="C56" s="14" t="s">
        <v>96</v>
      </c>
      <c r="D56" s="25">
        <f t="shared" ref="D56:H61" si="28">IF(D44="","",D44*$Z44)</f>
        <v>0.15662156023616103</v>
      </c>
      <c r="E56" s="25">
        <f>IF(E44="","",E44*$Z44)</f>
        <v>0.15662156023616103</v>
      </c>
      <c r="F56" s="25">
        <f t="shared" si="28"/>
        <v>0.71598427536530773</v>
      </c>
      <c r="G56" s="25">
        <f t="shared" si="28"/>
        <v>0.17899606884132688</v>
      </c>
      <c r="H56" s="25">
        <f t="shared" si="28"/>
        <v>0.3281594595424327</v>
      </c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15"/>
      <c r="W56" s="36">
        <f t="shared" ref="W56:W61" si="29">+SUM(D56:U56)</f>
        <v>1.5363829242213893</v>
      </c>
      <c r="X56" s="37">
        <f t="shared" ref="X56:X61" si="30">+AVERAGE(D56:U56)</f>
        <v>0.30727658484427789</v>
      </c>
      <c r="Y56" s="39"/>
      <c r="Z56" s="33"/>
      <c r="AA56" s="38"/>
    </row>
    <row r="57" spans="1:32" x14ac:dyDescent="0.25">
      <c r="C57" s="14" t="s">
        <v>97</v>
      </c>
      <c r="D57" s="25">
        <f t="shared" si="28"/>
        <v>0.2312024024553089</v>
      </c>
      <c r="E57" s="25">
        <f t="shared" si="28"/>
        <v>7.7067467485102972E-2</v>
      </c>
      <c r="F57" s="25">
        <f t="shared" si="28"/>
        <v>0.20037541546126772</v>
      </c>
      <c r="G57" s="25">
        <f t="shared" si="28"/>
        <v>0.7398476878569884</v>
      </c>
      <c r="H57" s="25">
        <f t="shared" si="28"/>
        <v>0.30826986994041189</v>
      </c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15"/>
      <c r="W57" s="36">
        <f t="shared" si="29"/>
        <v>1.5567628431990799</v>
      </c>
      <c r="X57" s="37">
        <f t="shared" si="30"/>
        <v>0.31135256863981597</v>
      </c>
      <c r="Y57" s="39"/>
      <c r="Z57" s="33"/>
      <c r="AA57" s="38"/>
    </row>
    <row r="58" spans="1:32" x14ac:dyDescent="0.25">
      <c r="C58" s="14" t="s">
        <v>98</v>
      </c>
      <c r="D58" s="25">
        <f t="shared" si="28"/>
        <v>0.36899208854223386</v>
      </c>
      <c r="E58" s="25">
        <f t="shared" si="28"/>
        <v>7.7682544956259744E-2</v>
      </c>
      <c r="F58" s="25">
        <f t="shared" si="28"/>
        <v>0.44667463349849357</v>
      </c>
      <c r="G58" s="25">
        <f t="shared" si="28"/>
        <v>0.41430690643338536</v>
      </c>
      <c r="H58" s="25">
        <f t="shared" si="28"/>
        <v>0.23304763486877927</v>
      </c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15"/>
      <c r="W58" s="36">
        <f t="shared" si="29"/>
        <v>1.5407038082991518</v>
      </c>
      <c r="X58" s="37">
        <f t="shared" si="30"/>
        <v>0.30814076165983034</v>
      </c>
      <c r="Y58" s="39"/>
      <c r="Z58" s="33"/>
      <c r="AA58" s="38"/>
    </row>
    <row r="59" spans="1:32" x14ac:dyDescent="0.25">
      <c r="C59" s="14" t="s">
        <v>99</v>
      </c>
      <c r="D59" s="25">
        <f t="shared" si="28"/>
        <v>0.23154625263965548</v>
      </c>
      <c r="E59" s="25">
        <f t="shared" si="28"/>
        <v>0.61745667370574797</v>
      </c>
      <c r="F59" s="25">
        <f t="shared" si="28"/>
        <v>0.32802385790617861</v>
      </c>
      <c r="G59" s="25">
        <f t="shared" si="28"/>
        <v>0.10290944561762465</v>
      </c>
      <c r="H59" s="25">
        <f t="shared" si="28"/>
        <v>0.23154625263965548</v>
      </c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15"/>
      <c r="W59" s="36">
        <f t="shared" si="29"/>
        <v>1.5114824825088622</v>
      </c>
      <c r="X59" s="37">
        <f t="shared" si="30"/>
        <v>0.30229649650177243</v>
      </c>
      <c r="Y59" s="39"/>
      <c r="Z59" s="33"/>
      <c r="AA59" s="38"/>
    </row>
    <row r="60" spans="1:32" x14ac:dyDescent="0.25">
      <c r="C60" s="14" t="s">
        <v>100</v>
      </c>
      <c r="D60" s="25">
        <f t="shared" si="28"/>
        <v>0.45812046264916229</v>
      </c>
      <c r="E60" s="25">
        <f t="shared" si="28"/>
        <v>0.39074980637722662</v>
      </c>
      <c r="F60" s="25">
        <f t="shared" si="28"/>
        <v>0.26948262508774251</v>
      </c>
      <c r="G60" s="25">
        <f t="shared" si="28"/>
        <v>5.3896525017548498E-2</v>
      </c>
      <c r="H60" s="25">
        <f t="shared" si="28"/>
        <v>0.25151711674855959</v>
      </c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15"/>
      <c r="W60" s="36">
        <f t="shared" si="29"/>
        <v>1.4237665358802394</v>
      </c>
      <c r="X60" s="37">
        <f t="shared" si="30"/>
        <v>0.28475330717604785</v>
      </c>
      <c r="Y60" s="39"/>
      <c r="Z60" s="33"/>
      <c r="AA60" s="38"/>
    </row>
    <row r="61" spans="1:32" x14ac:dyDescent="0.25">
      <c r="C61" s="14" t="s">
        <v>101</v>
      </c>
      <c r="D61" s="25">
        <f t="shared" si="28"/>
        <v>0.15362432657426853</v>
      </c>
      <c r="E61" s="25">
        <f t="shared" si="28"/>
        <v>0.21946332367752647</v>
      </c>
      <c r="F61" s="25">
        <f t="shared" si="28"/>
        <v>0.3950339826195477</v>
      </c>
      <c r="G61" s="25">
        <f t="shared" si="28"/>
        <v>0.11704710596134744</v>
      </c>
      <c r="H61" s="25">
        <f t="shared" si="28"/>
        <v>0.52671197682606341</v>
      </c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15"/>
      <c r="W61" s="36">
        <f t="shared" si="29"/>
        <v>1.4118807156587536</v>
      </c>
      <c r="X61" s="37">
        <f t="shared" si="30"/>
        <v>0.28237614313175075</v>
      </c>
      <c r="Y61" s="39"/>
      <c r="Z61" s="33"/>
      <c r="AA61" s="38"/>
    </row>
    <row r="62" spans="1:32" ht="14.25" customHeight="1" x14ac:dyDescent="0.25">
      <c r="A62" s="3"/>
      <c r="B62" s="3"/>
      <c r="C62" s="92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15"/>
      <c r="W62" s="36"/>
      <c r="X62" s="37"/>
      <c r="Y62" s="39"/>
      <c r="Z62" s="33"/>
      <c r="AA62" s="38"/>
    </row>
    <row r="63" spans="1:32" x14ac:dyDescent="0.25">
      <c r="A63" s="3"/>
      <c r="B63" s="3"/>
      <c r="C63" s="92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15"/>
      <c r="W63" s="36"/>
      <c r="X63" s="37"/>
      <c r="Y63" s="39"/>
      <c r="Z63" s="33"/>
      <c r="AA63" s="44"/>
      <c r="AB63" s="41"/>
      <c r="AC63" s="41"/>
      <c r="AD63" s="41"/>
      <c r="AE63" s="41"/>
      <c r="AF63" s="41"/>
    </row>
    <row r="64" spans="1:32" x14ac:dyDescent="0.25">
      <c r="A64" s="3"/>
      <c r="B64" s="3"/>
      <c r="C64" s="92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15"/>
      <c r="W64" s="36"/>
      <c r="X64" s="37"/>
      <c r="Y64" s="39"/>
      <c r="Z64" s="33"/>
      <c r="AA64" s="44"/>
      <c r="AB64" s="41"/>
      <c r="AC64" s="41"/>
      <c r="AD64" s="41"/>
      <c r="AE64" s="41"/>
      <c r="AF64" s="41"/>
    </row>
    <row r="65" spans="3:53" x14ac:dyDescent="0.25">
      <c r="V65" s="15"/>
      <c r="W65" s="15"/>
      <c r="Y65" s="39"/>
      <c r="AA65" s="41"/>
      <c r="AB65" s="41"/>
      <c r="AC65" s="41"/>
      <c r="AD65" s="41"/>
      <c r="AE65" s="41"/>
      <c r="AF65" s="41"/>
    </row>
    <row r="66" spans="3:53" x14ac:dyDescent="0.25">
      <c r="F66" s="40"/>
      <c r="G66" s="40"/>
      <c r="H66" s="40"/>
      <c r="I66" s="40"/>
      <c r="J66" s="40"/>
      <c r="K66" s="40"/>
      <c r="L66" s="40"/>
      <c r="P66" s="40"/>
      <c r="S66" s="40"/>
      <c r="Y66" s="3" t="s">
        <v>7</v>
      </c>
      <c r="Z66" s="3" t="s">
        <v>8</v>
      </c>
      <c r="AA66" s="41"/>
      <c r="AB66" s="41"/>
      <c r="AC66" s="41"/>
      <c r="AD66" s="41"/>
      <c r="AE66" s="41"/>
      <c r="AF66" s="41"/>
    </row>
    <row r="67" spans="3:53" x14ac:dyDescent="0.25">
      <c r="C67" s="14" t="s">
        <v>95</v>
      </c>
      <c r="D67" s="25">
        <f>IF(D55="","",D$41*D55)</f>
        <v>0.14106122434607335</v>
      </c>
      <c r="E67" s="25">
        <f>IF(E55="","",E$41*E55)</f>
        <v>2.3510204057678896E-2</v>
      </c>
      <c r="F67" s="25">
        <f>IF(F55="","",F$41*F55)</f>
        <v>4.7020408115357792E-2</v>
      </c>
      <c r="G67" s="25">
        <f>IF(G55="","",G$41*G55)</f>
        <v>6.2693877487143709E-2</v>
      </c>
      <c r="H67" s="25">
        <f>IF(H55="","",H$41*H55)</f>
        <v>1.3434402318673653E-2</v>
      </c>
      <c r="I67" s="25" t="str">
        <f t="shared" ref="I67:U73" si="31">IF(I55="","",I$42*I55)</f>
        <v/>
      </c>
      <c r="J67" s="25" t="str">
        <f t="shared" si="31"/>
        <v/>
      </c>
      <c r="K67" s="25" t="str">
        <f t="shared" si="31"/>
        <v/>
      </c>
      <c r="L67" s="25" t="str">
        <f t="shared" si="31"/>
        <v/>
      </c>
      <c r="M67" s="25" t="str">
        <f t="shared" si="31"/>
        <v/>
      </c>
      <c r="N67" s="25" t="str">
        <f t="shared" si="31"/>
        <v/>
      </c>
      <c r="O67" s="25" t="str">
        <f t="shared" si="31"/>
        <v/>
      </c>
      <c r="P67" s="25" t="str">
        <f t="shared" si="31"/>
        <v/>
      </c>
      <c r="Q67" s="25" t="str">
        <f t="shared" si="31"/>
        <v/>
      </c>
      <c r="R67" s="25" t="str">
        <f t="shared" si="31"/>
        <v/>
      </c>
      <c r="S67" s="25" t="str">
        <f t="shared" si="31"/>
        <v/>
      </c>
      <c r="T67" s="25" t="str">
        <f t="shared" si="31"/>
        <v/>
      </c>
      <c r="U67" s="25" t="str">
        <f t="shared" si="31"/>
        <v/>
      </c>
      <c r="V67" s="32">
        <f>+SUM(D67:H67)</f>
        <v>0.28772011632492739</v>
      </c>
      <c r="W67" s="42"/>
      <c r="Y67" s="39">
        <f>V67/MAX($V$67:$V$76)*100</f>
        <v>92.409745511935228</v>
      </c>
      <c r="Z67" s="3">
        <f>_xlfn.RANK.EQ(Y67,$Y$67:$Y$76,0)</f>
        <v>5</v>
      </c>
      <c r="AA67" s="45"/>
      <c r="AB67" s="48"/>
      <c r="AC67"/>
      <c r="AD67" s="41"/>
      <c r="AE67" s="76"/>
      <c r="AF67" s="76"/>
      <c r="BA67" s="3">
        <v>9</v>
      </c>
    </row>
    <row r="68" spans="3:53" x14ac:dyDescent="0.25">
      <c r="C68" s="14" t="s">
        <v>96</v>
      </c>
      <c r="D68" s="25">
        <f t="shared" ref="D68:H73" si="32">IF(D56="","",D$41*D56)</f>
        <v>3.1324312047232204E-2</v>
      </c>
      <c r="E68" s="25">
        <f t="shared" si="32"/>
        <v>3.1324312047232204E-2</v>
      </c>
      <c r="F68" s="25">
        <f t="shared" si="32"/>
        <v>0.14319685507306154</v>
      </c>
      <c r="G68" s="25">
        <f t="shared" si="32"/>
        <v>3.5799213768265378E-2</v>
      </c>
      <c r="H68" s="25">
        <f t="shared" si="32"/>
        <v>6.5631891908486548E-2</v>
      </c>
      <c r="I68" s="25" t="str">
        <f t="shared" si="31"/>
        <v/>
      </c>
      <c r="J68" s="25" t="str">
        <f t="shared" si="31"/>
        <v/>
      </c>
      <c r="K68" s="25" t="str">
        <f t="shared" si="31"/>
        <v/>
      </c>
      <c r="L68" s="25" t="str">
        <f t="shared" si="31"/>
        <v/>
      </c>
      <c r="M68" s="25" t="str">
        <f t="shared" si="31"/>
        <v/>
      </c>
      <c r="N68" s="25" t="str">
        <f t="shared" si="31"/>
        <v/>
      </c>
      <c r="O68" s="25" t="str">
        <f t="shared" si="31"/>
        <v/>
      </c>
      <c r="P68" s="25" t="str">
        <f t="shared" si="31"/>
        <v/>
      </c>
      <c r="Q68" s="25" t="str">
        <f t="shared" si="31"/>
        <v/>
      </c>
      <c r="R68" s="25" t="str">
        <f t="shared" si="31"/>
        <v/>
      </c>
      <c r="S68" s="25" t="str">
        <f t="shared" si="31"/>
        <v/>
      </c>
      <c r="T68" s="25" t="str">
        <f t="shared" si="31"/>
        <v/>
      </c>
      <c r="U68" s="25" t="str">
        <f t="shared" si="31"/>
        <v/>
      </c>
      <c r="V68" s="32">
        <f t="shared" ref="V68:V73" si="33">+SUM(D68:H68)</f>
        <v>0.30727658484427789</v>
      </c>
      <c r="W68" s="42"/>
      <c r="Y68" s="39">
        <f t="shared" ref="Y68:Y73" si="34">V68/MAX($V$67:$V$76)*100</f>
        <v>98.690878378378386</v>
      </c>
      <c r="Z68" s="3">
        <f t="shared" ref="Z68:Z73" si="35">_xlfn.RANK.EQ(Y68,$Y$67:$Y$76,0)</f>
        <v>3</v>
      </c>
      <c r="AA68" s="45"/>
      <c r="AB68" s="48"/>
      <c r="AC68"/>
      <c r="AD68" s="41"/>
      <c r="AE68" s="76"/>
      <c r="AF68" s="76"/>
      <c r="BA68" s="3">
        <v>6</v>
      </c>
    </row>
    <row r="69" spans="3:53" x14ac:dyDescent="0.25">
      <c r="C69" s="14" t="s">
        <v>97</v>
      </c>
      <c r="D69" s="25">
        <f t="shared" si="32"/>
        <v>4.6240480491061782E-2</v>
      </c>
      <c r="E69" s="25">
        <f t="shared" si="32"/>
        <v>1.5413493497020595E-2</v>
      </c>
      <c r="F69" s="25">
        <f t="shared" si="32"/>
        <v>4.0075083092253549E-2</v>
      </c>
      <c r="G69" s="25">
        <f t="shared" si="32"/>
        <v>0.14796953757139769</v>
      </c>
      <c r="H69" s="25">
        <f t="shared" si="32"/>
        <v>6.1653973988082381E-2</v>
      </c>
      <c r="I69" s="25" t="str">
        <f t="shared" si="31"/>
        <v/>
      </c>
      <c r="J69" s="25" t="str">
        <f t="shared" si="31"/>
        <v/>
      </c>
      <c r="K69" s="25" t="str">
        <f t="shared" si="31"/>
        <v/>
      </c>
      <c r="L69" s="25" t="str">
        <f t="shared" si="31"/>
        <v/>
      </c>
      <c r="M69" s="25" t="str">
        <f t="shared" si="31"/>
        <v/>
      </c>
      <c r="N69" s="25" t="str">
        <f t="shared" si="31"/>
        <v/>
      </c>
      <c r="O69" s="25" t="str">
        <f t="shared" si="31"/>
        <v/>
      </c>
      <c r="P69" s="25" t="str">
        <f t="shared" si="31"/>
        <v/>
      </c>
      <c r="Q69" s="25" t="str">
        <f t="shared" si="31"/>
        <v/>
      </c>
      <c r="R69" s="25" t="str">
        <f t="shared" si="31"/>
        <v/>
      </c>
      <c r="S69" s="25" t="str">
        <f t="shared" si="31"/>
        <v/>
      </c>
      <c r="T69" s="25" t="str">
        <f t="shared" si="31"/>
        <v/>
      </c>
      <c r="U69" s="25" t="str">
        <f t="shared" si="31"/>
        <v/>
      </c>
      <c r="V69" s="32">
        <f t="shared" si="33"/>
        <v>0.31135256863981597</v>
      </c>
      <c r="W69" s="42"/>
      <c r="Y69" s="39">
        <f t="shared" si="34"/>
        <v>100</v>
      </c>
      <c r="Z69" s="3">
        <f t="shared" si="35"/>
        <v>1</v>
      </c>
      <c r="AA69" s="45"/>
      <c r="AB69" s="48"/>
      <c r="AC69"/>
      <c r="AD69" s="41"/>
      <c r="AE69" s="76"/>
      <c r="AF69" s="76"/>
      <c r="BA69" s="3">
        <v>3</v>
      </c>
    </row>
    <row r="70" spans="3:53" x14ac:dyDescent="0.25">
      <c r="C70" s="14" t="s">
        <v>98</v>
      </c>
      <c r="D70" s="25">
        <f t="shared" si="32"/>
        <v>7.3798417708446779E-2</v>
      </c>
      <c r="E70" s="25">
        <f t="shared" si="32"/>
        <v>1.553650899125195E-2</v>
      </c>
      <c r="F70" s="25">
        <f t="shared" si="32"/>
        <v>8.9334926699698725E-2</v>
      </c>
      <c r="G70" s="25">
        <f t="shared" si="32"/>
        <v>8.2861381286677083E-2</v>
      </c>
      <c r="H70" s="25">
        <f t="shared" si="32"/>
        <v>4.6609526973755859E-2</v>
      </c>
      <c r="I70" s="25" t="str">
        <f t="shared" si="31"/>
        <v/>
      </c>
      <c r="J70" s="25" t="str">
        <f t="shared" si="31"/>
        <v/>
      </c>
      <c r="K70" s="25" t="str">
        <f t="shared" si="31"/>
        <v/>
      </c>
      <c r="L70" s="25" t="str">
        <f t="shared" si="31"/>
        <v/>
      </c>
      <c r="M70" s="25" t="str">
        <f t="shared" si="31"/>
        <v/>
      </c>
      <c r="N70" s="25" t="str">
        <f t="shared" si="31"/>
        <v/>
      </c>
      <c r="O70" s="25" t="str">
        <f t="shared" si="31"/>
        <v/>
      </c>
      <c r="P70" s="25" t="str">
        <f t="shared" si="31"/>
        <v/>
      </c>
      <c r="Q70" s="25" t="str">
        <f t="shared" si="31"/>
        <v/>
      </c>
      <c r="R70" s="25" t="str">
        <f t="shared" si="31"/>
        <v/>
      </c>
      <c r="S70" s="25" t="str">
        <f t="shared" si="31"/>
        <v/>
      </c>
      <c r="T70" s="25" t="str">
        <f t="shared" si="31"/>
        <v/>
      </c>
      <c r="U70" s="25" t="str">
        <f t="shared" si="31"/>
        <v/>
      </c>
      <c r="V70" s="32">
        <f t="shared" si="33"/>
        <v>0.3081407616598304</v>
      </c>
      <c r="W70" s="42"/>
      <c r="Y70" s="39">
        <f t="shared" si="34"/>
        <v>98.968434082937947</v>
      </c>
      <c r="Z70" s="3">
        <f t="shared" si="35"/>
        <v>2</v>
      </c>
      <c r="AA70" s="45"/>
      <c r="AB70" s="48"/>
      <c r="AC70"/>
      <c r="AD70" s="41"/>
      <c r="AE70" s="76"/>
      <c r="AF70" s="76"/>
      <c r="BA70" s="3">
        <v>5</v>
      </c>
    </row>
    <row r="71" spans="3:53" x14ac:dyDescent="0.25">
      <c r="C71" s="14" t="s">
        <v>99</v>
      </c>
      <c r="D71" s="25">
        <f t="shared" si="32"/>
        <v>4.6309250527931098E-2</v>
      </c>
      <c r="E71" s="25">
        <f t="shared" si="32"/>
        <v>0.12349133474114959</v>
      </c>
      <c r="F71" s="25">
        <f t="shared" si="32"/>
        <v>6.5604771581235719E-2</v>
      </c>
      <c r="G71" s="25">
        <f t="shared" si="32"/>
        <v>2.0581889123524932E-2</v>
      </c>
      <c r="H71" s="25">
        <f t="shared" si="32"/>
        <v>4.6309250527931098E-2</v>
      </c>
      <c r="I71" s="25" t="str">
        <f t="shared" si="31"/>
        <v/>
      </c>
      <c r="J71" s="25" t="str">
        <f t="shared" si="31"/>
        <v/>
      </c>
      <c r="K71" s="25" t="str">
        <f t="shared" si="31"/>
        <v/>
      </c>
      <c r="L71" s="25" t="str">
        <f t="shared" si="31"/>
        <v/>
      </c>
      <c r="M71" s="25" t="str">
        <f t="shared" si="31"/>
        <v/>
      </c>
      <c r="N71" s="25" t="str">
        <f t="shared" si="31"/>
        <v/>
      </c>
      <c r="O71" s="25" t="str">
        <f t="shared" si="31"/>
        <v/>
      </c>
      <c r="P71" s="25" t="str">
        <f t="shared" si="31"/>
        <v/>
      </c>
      <c r="Q71" s="25" t="str">
        <f t="shared" si="31"/>
        <v/>
      </c>
      <c r="R71" s="25" t="str">
        <f t="shared" si="31"/>
        <v/>
      </c>
      <c r="S71" s="25" t="str">
        <f t="shared" si="31"/>
        <v/>
      </c>
      <c r="T71" s="25" t="str">
        <f t="shared" si="31"/>
        <v/>
      </c>
      <c r="U71" s="25" t="str">
        <f t="shared" si="31"/>
        <v/>
      </c>
      <c r="V71" s="32">
        <f t="shared" si="33"/>
        <v>0.30229649650177248</v>
      </c>
      <c r="W71" s="42"/>
      <c r="Y71" s="39">
        <f t="shared" si="34"/>
        <v>97.091377091377112</v>
      </c>
      <c r="Z71" s="3">
        <f t="shared" si="35"/>
        <v>4</v>
      </c>
      <c r="AA71" s="45"/>
      <c r="AB71" s="48"/>
      <c r="AC71"/>
      <c r="AD71" s="41"/>
      <c r="AE71" s="76"/>
      <c r="AF71" s="76"/>
      <c r="BA71" s="3">
        <v>10</v>
      </c>
    </row>
    <row r="72" spans="3:53" x14ac:dyDescent="0.25">
      <c r="C72" s="14" t="s">
        <v>100</v>
      </c>
      <c r="D72" s="25">
        <f t="shared" si="32"/>
        <v>9.162409252983246E-2</v>
      </c>
      <c r="E72" s="25">
        <f t="shared" si="32"/>
        <v>7.8149961275445323E-2</v>
      </c>
      <c r="F72" s="25">
        <f t="shared" si="32"/>
        <v>5.3896525017548505E-2</v>
      </c>
      <c r="G72" s="25">
        <f t="shared" si="32"/>
        <v>1.0779305003509701E-2</v>
      </c>
      <c r="H72" s="25">
        <f t="shared" si="32"/>
        <v>5.0303423349711919E-2</v>
      </c>
      <c r="I72" s="25" t="str">
        <f t="shared" si="31"/>
        <v/>
      </c>
      <c r="J72" s="25" t="str">
        <f t="shared" si="31"/>
        <v/>
      </c>
      <c r="K72" s="25" t="str">
        <f t="shared" si="31"/>
        <v/>
      </c>
      <c r="L72" s="25" t="str">
        <f t="shared" si="31"/>
        <v/>
      </c>
      <c r="M72" s="25" t="str">
        <f t="shared" si="31"/>
        <v/>
      </c>
      <c r="N72" s="25" t="str">
        <f t="shared" si="31"/>
        <v/>
      </c>
      <c r="O72" s="25" t="str">
        <f t="shared" si="31"/>
        <v/>
      </c>
      <c r="P72" s="25" t="str">
        <f t="shared" si="31"/>
        <v/>
      </c>
      <c r="Q72" s="25" t="str">
        <f t="shared" si="31"/>
        <v/>
      </c>
      <c r="R72" s="25" t="str">
        <f t="shared" si="31"/>
        <v/>
      </c>
      <c r="S72" s="25" t="str">
        <f t="shared" si="31"/>
        <v/>
      </c>
      <c r="T72" s="25" t="str">
        <f t="shared" si="31"/>
        <v/>
      </c>
      <c r="U72" s="25" t="str">
        <f t="shared" si="31"/>
        <v/>
      </c>
      <c r="V72" s="32">
        <f t="shared" si="33"/>
        <v>0.28475330717604791</v>
      </c>
      <c r="W72" s="42"/>
      <c r="Y72" s="39">
        <f>V72/MAX($V$67:$V$76)*100</f>
        <v>91.456867826730843</v>
      </c>
      <c r="Z72" s="3">
        <f t="shared" si="35"/>
        <v>6</v>
      </c>
      <c r="AA72" s="45"/>
      <c r="AB72" s="48"/>
      <c r="AC72"/>
      <c r="AD72" s="41"/>
      <c r="AE72" s="76"/>
      <c r="AF72" s="76"/>
      <c r="BA72" s="3">
        <v>4</v>
      </c>
    </row>
    <row r="73" spans="3:53" x14ac:dyDescent="0.25">
      <c r="C73" s="14" t="s">
        <v>101</v>
      </c>
      <c r="D73" s="25">
        <f t="shared" si="32"/>
        <v>3.0724865314853706E-2</v>
      </c>
      <c r="E73" s="25">
        <f t="shared" si="32"/>
        <v>4.3892664735505293E-2</v>
      </c>
      <c r="F73" s="25">
        <f t="shared" si="32"/>
        <v>7.9006796523909545E-2</v>
      </c>
      <c r="G73" s="25">
        <f t="shared" si="32"/>
        <v>2.3409421192269492E-2</v>
      </c>
      <c r="H73" s="25">
        <f t="shared" si="32"/>
        <v>0.10534239536521268</v>
      </c>
      <c r="I73" s="25" t="str">
        <f t="shared" si="31"/>
        <v/>
      </c>
      <c r="J73" s="25" t="str">
        <f t="shared" si="31"/>
        <v/>
      </c>
      <c r="K73" s="25" t="str">
        <f t="shared" si="31"/>
        <v/>
      </c>
      <c r="L73" s="25" t="str">
        <f t="shared" si="31"/>
        <v/>
      </c>
      <c r="M73" s="25" t="str">
        <f t="shared" si="31"/>
        <v/>
      </c>
      <c r="N73" s="25" t="str">
        <f t="shared" si="31"/>
        <v/>
      </c>
      <c r="O73" s="25" t="str">
        <f t="shared" si="31"/>
        <v/>
      </c>
      <c r="P73" s="25" t="str">
        <f t="shared" si="31"/>
        <v/>
      </c>
      <c r="Q73" s="25" t="str">
        <f t="shared" si="31"/>
        <v/>
      </c>
      <c r="R73" s="25" t="str">
        <f t="shared" si="31"/>
        <v/>
      </c>
      <c r="S73" s="25" t="str">
        <f t="shared" si="31"/>
        <v/>
      </c>
      <c r="T73" s="25" t="str">
        <f t="shared" si="31"/>
        <v/>
      </c>
      <c r="U73" s="25" t="str">
        <f t="shared" si="31"/>
        <v/>
      </c>
      <c r="V73" s="32">
        <f t="shared" si="33"/>
        <v>0.28237614313175075</v>
      </c>
      <c r="W73" s="42"/>
      <c r="Y73" s="39">
        <f t="shared" si="34"/>
        <v>90.693371943371943</v>
      </c>
      <c r="Z73" s="3">
        <f t="shared" si="35"/>
        <v>7</v>
      </c>
      <c r="AA73" s="45"/>
      <c r="AB73" s="48"/>
      <c r="AC73"/>
      <c r="AD73" s="41"/>
      <c r="AE73" s="76"/>
      <c r="AF73" s="76"/>
      <c r="BA73" s="3">
        <v>7</v>
      </c>
    </row>
    <row r="74" spans="3:53" ht="16.5" customHeight="1" x14ac:dyDescent="0.25">
      <c r="C74" s="92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32"/>
      <c r="W74" s="42"/>
      <c r="Y74" s="39"/>
      <c r="AA74" s="45"/>
      <c r="AB74" s="48"/>
      <c r="AC74"/>
      <c r="AD74" s="41"/>
      <c r="AE74" s="76"/>
      <c r="AF74" s="76"/>
    </row>
    <row r="75" spans="3:53" x14ac:dyDescent="0.25">
      <c r="C75" s="92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32"/>
      <c r="W75" s="42"/>
      <c r="Y75" s="39"/>
      <c r="AA75" s="45"/>
      <c r="AB75" s="48"/>
      <c r="AC75"/>
      <c r="AD75" s="41"/>
      <c r="AE75" s="76"/>
      <c r="AF75" s="76"/>
    </row>
    <row r="76" spans="3:53" x14ac:dyDescent="0.25">
      <c r="C76" s="92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32"/>
      <c r="W76" s="42"/>
      <c r="Y76" s="39"/>
      <c r="AA76" s="45"/>
      <c r="AB76" s="48"/>
      <c r="AC76"/>
      <c r="AD76" s="41"/>
      <c r="AE76" s="76"/>
      <c r="AF76" s="76"/>
    </row>
    <row r="77" spans="3:53" x14ac:dyDescent="0.25">
      <c r="V77" s="15">
        <f>AVERAGE(V67:V76)</f>
        <v>0.29770228261120329</v>
      </c>
      <c r="W77" s="15"/>
      <c r="Y77" s="25"/>
      <c r="AA77" s="41"/>
      <c r="AB77" s="41"/>
      <c r="AC77" s="41"/>
      <c r="AD77" s="41"/>
      <c r="AE77" s="41"/>
      <c r="AF77" s="41"/>
    </row>
    <row r="78" spans="3:53" x14ac:dyDescent="0.25">
      <c r="Y78" s="25"/>
      <c r="AA78" s="41"/>
      <c r="AB78" s="41"/>
      <c r="AC78" s="41"/>
      <c r="AD78" s="41"/>
      <c r="AE78" s="41"/>
      <c r="AF78" s="41"/>
    </row>
    <row r="79" spans="3:53" x14ac:dyDescent="0.25">
      <c r="C79" s="3" t="s">
        <v>80</v>
      </c>
      <c r="AA79" s="41"/>
      <c r="AB79" s="41"/>
      <c r="AC79" s="41"/>
      <c r="AD79" s="41"/>
      <c r="AE79" s="41"/>
      <c r="AF79" s="41"/>
    </row>
    <row r="80" spans="3:53" ht="15.75" customHeight="1" x14ac:dyDescent="0.25">
      <c r="C80" s="14" t="s">
        <v>95</v>
      </c>
      <c r="D80" s="3">
        <f>IF(D55="","",D55^D$41)</f>
        <v>0.93255730987773378</v>
      </c>
      <c r="E80" s="3">
        <f>IF(E55="","",E55^E$41)</f>
        <v>0.6516963379512315</v>
      </c>
      <c r="F80" s="3">
        <f t="shared" ref="F80:G80" si="36">IF(F55="","",F55^F$41)</f>
        <v>0.74860251136217137</v>
      </c>
      <c r="G80" s="3">
        <f t="shared" si="36"/>
        <v>0.79293762750382624</v>
      </c>
      <c r="H80" s="3">
        <f>IF(H55="","",H55^H$41)</f>
        <v>0.58269014217553983</v>
      </c>
      <c r="V80" s="32">
        <f>+SUM(D80:H80)</f>
        <v>3.7084839288705029</v>
      </c>
      <c r="Y80" s="39">
        <f>V80/MAX($V$80:$V$89)*100</f>
        <v>96.175486439784748</v>
      </c>
      <c r="Z80" s="3">
        <f>_xlfn.RANK.EQ(Y80,$Y$80:$Y$89,0)</f>
        <v>7</v>
      </c>
      <c r="AA80" s="41"/>
      <c r="AB80" s="41"/>
      <c r="AC80" s="41"/>
      <c r="AD80" s="41"/>
      <c r="AE80" s="41"/>
      <c r="AF80" s="41"/>
    </row>
    <row r="81" spans="3:26" x14ac:dyDescent="0.25">
      <c r="C81" s="14" t="s">
        <v>96</v>
      </c>
      <c r="D81" s="3">
        <f>IF(D56="","",D56^D$41)</f>
        <v>0.69019261680496724</v>
      </c>
      <c r="E81" s="3">
        <f t="shared" ref="D81:H86" si="37">IF(E56="","",E56^E$41)</f>
        <v>0.69019261680496724</v>
      </c>
      <c r="F81" s="3">
        <f t="shared" si="37"/>
        <v>0.93536409899096407</v>
      </c>
      <c r="G81" s="3">
        <f t="shared" si="37"/>
        <v>0.70887343027983796</v>
      </c>
      <c r="H81" s="3">
        <f t="shared" si="37"/>
        <v>0.80023397420484921</v>
      </c>
      <c r="V81" s="32">
        <f>+SUM(D81:H81)</f>
        <v>3.8248567370855859</v>
      </c>
      <c r="Y81" s="39">
        <f t="shared" ref="Y81:Y86" si="38">V81/MAX($V$80:$V$89)*100</f>
        <v>99.193488311470958</v>
      </c>
      <c r="Z81" s="3">
        <f t="shared" ref="Z81:Z86" si="39">_xlfn.RANK.EQ(Y81,$Y$80:$Y$89,0)</f>
        <v>3</v>
      </c>
    </row>
    <row r="82" spans="3:26" x14ac:dyDescent="0.25">
      <c r="C82" s="14" t="s">
        <v>97</v>
      </c>
      <c r="D82" s="3">
        <f>IF(D57="","",D57^D$41)</f>
        <v>0.7461024541549629</v>
      </c>
      <c r="E82" s="3">
        <f t="shared" si="37"/>
        <v>0.59892744928149588</v>
      </c>
      <c r="F82" s="3">
        <f t="shared" si="37"/>
        <v>0.72505155310303104</v>
      </c>
      <c r="G82" s="3">
        <f t="shared" si="37"/>
        <v>0.94151764636754109</v>
      </c>
      <c r="H82" s="3">
        <f t="shared" si="37"/>
        <v>0.79028950730596514</v>
      </c>
      <c r="V82" s="32">
        <f t="shared" ref="V82:V86" si="40">+SUM(D82:H82)</f>
        <v>3.8018886102129961</v>
      </c>
      <c r="Y82" s="39">
        <f t="shared" si="38"/>
        <v>98.597834988724912</v>
      </c>
      <c r="Z82" s="3">
        <f t="shared" si="39"/>
        <v>4</v>
      </c>
    </row>
    <row r="83" spans="3:26" x14ac:dyDescent="0.25">
      <c r="C83" s="14" t="s">
        <v>98</v>
      </c>
      <c r="D83" s="3">
        <f t="shared" si="37"/>
        <v>0.81922540346606854</v>
      </c>
      <c r="E83" s="3">
        <f t="shared" si="37"/>
        <v>0.59988042295878052</v>
      </c>
      <c r="F83" s="3">
        <f t="shared" si="37"/>
        <v>0.85113462410291385</v>
      </c>
      <c r="G83" s="3">
        <f t="shared" si="37"/>
        <v>0.83842541516752189</v>
      </c>
      <c r="H83" s="3">
        <f t="shared" si="37"/>
        <v>0.74728960294939573</v>
      </c>
      <c r="V83" s="32">
        <f t="shared" si="40"/>
        <v>3.8559554686446802</v>
      </c>
      <c r="Y83" s="39">
        <f t="shared" si="38"/>
        <v>100</v>
      </c>
      <c r="Z83" s="3">
        <f t="shared" si="39"/>
        <v>1</v>
      </c>
    </row>
    <row r="84" spans="3:26" x14ac:dyDescent="0.25">
      <c r="C84" s="14" t="s">
        <v>99</v>
      </c>
      <c r="D84" s="3">
        <f t="shared" si="37"/>
        <v>0.74632424681984622</v>
      </c>
      <c r="E84" s="3">
        <f t="shared" si="37"/>
        <v>0.9080741185109964</v>
      </c>
      <c r="F84" s="3">
        <f t="shared" si="37"/>
        <v>0.80016782893709704</v>
      </c>
      <c r="G84" s="3">
        <f t="shared" si="37"/>
        <v>0.63458681987008125</v>
      </c>
      <c r="H84" s="3">
        <f t="shared" si="37"/>
        <v>0.74632424681984622</v>
      </c>
      <c r="V84" s="32">
        <f t="shared" si="40"/>
        <v>3.8354772609578669</v>
      </c>
      <c r="Y84" s="39">
        <f t="shared" si="38"/>
        <v>99.468920015976963</v>
      </c>
      <c r="Z84" s="3">
        <f t="shared" si="39"/>
        <v>2</v>
      </c>
    </row>
    <row r="85" spans="3:26" x14ac:dyDescent="0.25">
      <c r="C85" s="14" t="s">
        <v>100</v>
      </c>
      <c r="D85" s="3">
        <f t="shared" si="37"/>
        <v>0.8554525754200516</v>
      </c>
      <c r="E85" s="3">
        <f t="shared" si="37"/>
        <v>0.82866644668909828</v>
      </c>
      <c r="F85" s="3">
        <f t="shared" si="37"/>
        <v>0.76931846049158747</v>
      </c>
      <c r="G85" s="3">
        <f t="shared" si="37"/>
        <v>0.55758637505613529</v>
      </c>
      <c r="H85" s="3">
        <f t="shared" si="37"/>
        <v>0.75877586621720328</v>
      </c>
      <c r="V85" s="32">
        <f t="shared" si="40"/>
        <v>3.7697997238740757</v>
      </c>
      <c r="Y85" s="39">
        <f t="shared" si="38"/>
        <v>97.765644715785911</v>
      </c>
      <c r="Z85" s="3">
        <f t="shared" si="39"/>
        <v>6</v>
      </c>
    </row>
    <row r="86" spans="3:26" x14ac:dyDescent="0.25">
      <c r="C86" s="14" t="s">
        <v>101</v>
      </c>
      <c r="D86" s="3">
        <f t="shared" si="37"/>
        <v>0.68753054665186653</v>
      </c>
      <c r="E86" s="3">
        <f t="shared" si="37"/>
        <v>0.73836719040224752</v>
      </c>
      <c r="F86" s="3">
        <f t="shared" si="37"/>
        <v>0.83047562747657688</v>
      </c>
      <c r="G86" s="3">
        <f t="shared" si="37"/>
        <v>0.65113664279547834</v>
      </c>
      <c r="H86" s="3">
        <f t="shared" si="37"/>
        <v>0.87965958403316225</v>
      </c>
      <c r="V86" s="32">
        <f t="shared" si="40"/>
        <v>3.7871695913593317</v>
      </c>
      <c r="Y86" s="39">
        <f t="shared" si="38"/>
        <v>98.216113286455411</v>
      </c>
      <c r="Z86" s="3">
        <f t="shared" si="39"/>
        <v>5</v>
      </c>
    </row>
    <row r="87" spans="3:26" x14ac:dyDescent="0.25">
      <c r="C87" s="92"/>
      <c r="V87" s="32"/>
      <c r="Y87" s="39"/>
    </row>
    <row r="88" spans="3:26" x14ac:dyDescent="0.25">
      <c r="C88" s="92"/>
      <c r="V88" s="32"/>
      <c r="Y88" s="39"/>
    </row>
    <row r="89" spans="3:26" x14ac:dyDescent="0.25">
      <c r="C89" s="92"/>
      <c r="V89" s="32"/>
      <c r="Y89" s="39"/>
    </row>
    <row r="90" spans="3:26" x14ac:dyDescent="0.25">
      <c r="V90" s="15">
        <f>AVERAGE(V80:V89)</f>
        <v>3.7976616172864346</v>
      </c>
    </row>
    <row r="112" spans="3:11" x14ac:dyDescent="0.25">
      <c r="C112" s="38"/>
      <c r="D112" s="38"/>
      <c r="E112" s="38"/>
      <c r="F112" s="38"/>
      <c r="G112" s="38"/>
      <c r="H112" s="38"/>
      <c r="I112" s="38"/>
      <c r="J112" s="38"/>
      <c r="K112" s="38"/>
    </row>
    <row r="113" spans="3:14" x14ac:dyDescent="0.25">
      <c r="C113" s="38"/>
      <c r="J113" s="3" t="s">
        <v>9</v>
      </c>
      <c r="K113" s="3" t="s">
        <v>10</v>
      </c>
      <c r="L113" s="3" t="s">
        <v>11</v>
      </c>
      <c r="M113" s="3" t="s">
        <v>12</v>
      </c>
      <c r="N113" s="3" t="s">
        <v>13</v>
      </c>
    </row>
    <row r="114" spans="3:14" x14ac:dyDescent="0.25">
      <c r="D114">
        <v>0.2112</v>
      </c>
      <c r="E114">
        <v>0.19639999999999999</v>
      </c>
      <c r="F114">
        <v>0.17449999999999999</v>
      </c>
      <c r="G114">
        <v>0.20669999999999999</v>
      </c>
      <c r="H114">
        <v>0.2112</v>
      </c>
      <c r="J114" s="40">
        <f>D114/MAX($D114:$H114)*100</f>
        <v>100</v>
      </c>
      <c r="K114" s="40">
        <f>E114/MAX($D114:$H114)*100</f>
        <v>92.992424242424249</v>
      </c>
      <c r="L114" s="40">
        <f>F114/MAX($D114:$H114)*100</f>
        <v>82.623106060606062</v>
      </c>
      <c r="M114" s="40">
        <f>G114/MAX($D114:$H114)*100</f>
        <v>97.869318181818173</v>
      </c>
      <c r="N114" s="40">
        <f>H114/MAX($D114:$H114)*100</f>
        <v>100</v>
      </c>
    </row>
    <row r="115" spans="3:14" x14ac:dyDescent="0.25">
      <c r="D115">
        <v>0.28399999999999997</v>
      </c>
      <c r="E115">
        <v>0.2172</v>
      </c>
      <c r="F115">
        <v>0.22220000000000001</v>
      </c>
      <c r="G115">
        <v>0.27660000000000001</v>
      </c>
      <c r="H115" s="38"/>
      <c r="J115" s="40">
        <f t="shared" ref="J115:M119" si="41">D115/MAX($D115:$H115)*100</f>
        <v>100</v>
      </c>
      <c r="K115" s="40">
        <f t="shared" si="41"/>
        <v>76.478873239436624</v>
      </c>
      <c r="L115" s="40">
        <f t="shared" si="41"/>
        <v>78.239436619718319</v>
      </c>
      <c r="M115" s="40">
        <f t="shared" si="41"/>
        <v>97.394366197183118</v>
      </c>
      <c r="N115" s="40"/>
    </row>
    <row r="116" spans="3:14" x14ac:dyDescent="0.25">
      <c r="D116">
        <v>0.26779999999999998</v>
      </c>
      <c r="E116">
        <v>0.23799999999999999</v>
      </c>
      <c r="F116">
        <v>0.2253</v>
      </c>
      <c r="G116">
        <v>0.26889999999999997</v>
      </c>
      <c r="H116" s="38"/>
      <c r="J116" s="40">
        <f t="shared" si="41"/>
        <v>99.590925994793608</v>
      </c>
      <c r="K116" s="40">
        <f t="shared" si="41"/>
        <v>88.508739308293045</v>
      </c>
      <c r="L116" s="40">
        <f t="shared" si="41"/>
        <v>83.785793975455576</v>
      </c>
      <c r="M116" s="40">
        <f t="shared" si="41"/>
        <v>100</v>
      </c>
      <c r="N116" s="40"/>
    </row>
    <row r="117" spans="3:14" x14ac:dyDescent="0.25">
      <c r="D117">
        <v>0.31130000000000002</v>
      </c>
      <c r="E117">
        <v>0.23130000000000001</v>
      </c>
      <c r="F117">
        <v>0.2354</v>
      </c>
      <c r="G117">
        <v>0.22209999999999999</v>
      </c>
      <c r="H117" s="38"/>
      <c r="J117" s="40">
        <f t="shared" si="41"/>
        <v>100</v>
      </c>
      <c r="K117" s="40">
        <f t="shared" si="41"/>
        <v>74.30131705750081</v>
      </c>
      <c r="L117" s="40">
        <f t="shared" si="41"/>
        <v>75.618374558303884</v>
      </c>
      <c r="M117" s="40">
        <f t="shared" si="41"/>
        <v>71.345968519113384</v>
      </c>
      <c r="N117" s="40"/>
    </row>
    <row r="118" spans="3:14" x14ac:dyDescent="0.25">
      <c r="D118">
        <v>0.39369999999999999</v>
      </c>
      <c r="E118">
        <v>0.3054</v>
      </c>
      <c r="F118">
        <v>0.3009</v>
      </c>
      <c r="G118" s="38"/>
      <c r="H118" s="38"/>
      <c r="J118" s="40">
        <f t="shared" si="41"/>
        <v>100</v>
      </c>
      <c r="K118" s="40">
        <f t="shared" si="41"/>
        <v>77.571755143510288</v>
      </c>
      <c r="L118" s="40">
        <f t="shared" si="41"/>
        <v>76.428752857505728</v>
      </c>
      <c r="M118" s="40"/>
      <c r="N118" s="40"/>
    </row>
    <row r="119" spans="3:14" x14ac:dyDescent="0.25">
      <c r="D119">
        <v>0.29830000000000001</v>
      </c>
      <c r="E119">
        <v>0.33110000000000001</v>
      </c>
      <c r="F119">
        <v>0.37059999999999998</v>
      </c>
      <c r="G119" s="38"/>
      <c r="H119" s="38"/>
      <c r="J119" s="40">
        <f t="shared" si="41"/>
        <v>80.491095520777122</v>
      </c>
      <c r="K119" s="40">
        <f t="shared" si="41"/>
        <v>89.341608202914202</v>
      </c>
      <c r="L119" s="40">
        <f t="shared" si="41"/>
        <v>100</v>
      </c>
      <c r="M119" s="40"/>
      <c r="N119" s="40"/>
    </row>
    <row r="121" spans="3:14" x14ac:dyDescent="0.25">
      <c r="D121" s="3">
        <v>0.2</v>
      </c>
      <c r="E121" s="3">
        <v>0.2</v>
      </c>
      <c r="F121" s="3">
        <v>0.2</v>
      </c>
      <c r="G121" s="3">
        <v>0.2</v>
      </c>
      <c r="H121" s="3">
        <v>0.2</v>
      </c>
    </row>
    <row r="122" spans="3:14" x14ac:dyDescent="0.25">
      <c r="D122" s="3">
        <v>0.25</v>
      </c>
      <c r="E122" s="3">
        <v>0.25</v>
      </c>
      <c r="F122" s="3">
        <v>0.25</v>
      </c>
      <c r="G122" s="3">
        <v>0.25</v>
      </c>
    </row>
    <row r="123" spans="3:14" x14ac:dyDescent="0.25">
      <c r="D123" s="3">
        <v>0.25</v>
      </c>
      <c r="E123" s="3">
        <v>0.25</v>
      </c>
      <c r="F123" s="3">
        <v>0.25</v>
      </c>
      <c r="G123" s="3">
        <v>0.25</v>
      </c>
    </row>
    <row r="124" spans="3:14" x14ac:dyDescent="0.25">
      <c r="D124" s="3">
        <v>0.25</v>
      </c>
      <c r="E124" s="3">
        <v>0.25</v>
      </c>
      <c r="F124" s="3">
        <v>0.25</v>
      </c>
      <c r="G124" s="3">
        <v>0.25</v>
      </c>
    </row>
    <row r="125" spans="3:14" x14ac:dyDescent="0.25">
      <c r="D125" s="3">
        <v>0.33</v>
      </c>
      <c r="E125" s="3">
        <v>0.33</v>
      </c>
      <c r="F125" s="3">
        <v>0.33</v>
      </c>
    </row>
    <row r="126" spans="3:14" x14ac:dyDescent="0.25">
      <c r="D126" s="3">
        <v>0.33</v>
      </c>
      <c r="E126" s="3">
        <v>0.33</v>
      </c>
      <c r="F126" s="3">
        <v>0.33</v>
      </c>
    </row>
    <row r="128" spans="3:14" x14ac:dyDescent="0.25">
      <c r="D128" s="3">
        <v>0.3</v>
      </c>
      <c r="E128" s="3">
        <v>0.25</v>
      </c>
      <c r="F128" s="3">
        <v>0.2</v>
      </c>
      <c r="G128" s="3">
        <v>0.1</v>
      </c>
      <c r="H128" s="3">
        <v>0.15</v>
      </c>
    </row>
    <row r="129" spans="4:21" x14ac:dyDescent="0.25">
      <c r="D129" s="3">
        <v>0.3</v>
      </c>
      <c r="E129" s="3">
        <v>0.15</v>
      </c>
      <c r="F129" s="3">
        <v>0.4</v>
      </c>
      <c r="G129" s="3">
        <v>0.15</v>
      </c>
    </row>
    <row r="130" spans="4:21" x14ac:dyDescent="0.25">
      <c r="D130" s="3">
        <v>0.15</v>
      </c>
      <c r="E130" s="3">
        <v>0.4</v>
      </c>
      <c r="F130" s="3">
        <v>0.3</v>
      </c>
      <c r="G130" s="3">
        <v>0.15</v>
      </c>
    </row>
    <row r="131" spans="4:21" x14ac:dyDescent="0.25">
      <c r="D131" s="3">
        <v>0.25</v>
      </c>
      <c r="E131" s="3">
        <v>0.3</v>
      </c>
      <c r="F131" s="3">
        <v>0.2</v>
      </c>
      <c r="G131" s="3">
        <v>0.25</v>
      </c>
    </row>
    <row r="132" spans="4:21" x14ac:dyDescent="0.25">
      <c r="D132" s="3">
        <v>0.3</v>
      </c>
      <c r="E132" s="3">
        <v>0.3</v>
      </c>
      <c r="F132" s="3">
        <v>0.4</v>
      </c>
    </row>
    <row r="133" spans="4:21" x14ac:dyDescent="0.25">
      <c r="D133" s="3">
        <v>0.4</v>
      </c>
      <c r="E133" s="3">
        <v>0.4</v>
      </c>
      <c r="F133" s="3">
        <v>0.2</v>
      </c>
    </row>
    <row r="135" spans="4:21" x14ac:dyDescent="0.25">
      <c r="D135" s="3" t="s">
        <v>14</v>
      </c>
    </row>
    <row r="136" spans="4:21" x14ac:dyDescent="0.25">
      <c r="D136" s="3">
        <v>0.25</v>
      </c>
      <c r="E136" s="3">
        <v>0.25</v>
      </c>
      <c r="F136" s="3">
        <v>0.25</v>
      </c>
      <c r="G136" s="3">
        <v>0.25</v>
      </c>
      <c r="H136" s="3">
        <v>0.25</v>
      </c>
      <c r="I136" s="3">
        <v>0.25</v>
      </c>
      <c r="J136" s="3">
        <v>0.25</v>
      </c>
      <c r="K136" s="3">
        <v>0.25</v>
      </c>
      <c r="L136" s="3">
        <v>0.25</v>
      </c>
      <c r="M136" s="3">
        <v>0.25</v>
      </c>
      <c r="N136" s="3">
        <v>0.25</v>
      </c>
      <c r="O136" s="3">
        <v>0.25</v>
      </c>
      <c r="P136" s="3">
        <f>1/3</f>
        <v>0.33333333333333331</v>
      </c>
      <c r="Q136" s="3">
        <f t="shared" ref="Q136:U136" si="42">1/3</f>
        <v>0.33333333333333331</v>
      </c>
      <c r="R136" s="3">
        <f t="shared" si="42"/>
        <v>0.33333333333333331</v>
      </c>
      <c r="S136" s="3">
        <f t="shared" si="42"/>
        <v>0.33333333333333331</v>
      </c>
      <c r="T136" s="3">
        <f t="shared" si="42"/>
        <v>0.33333333333333331</v>
      </c>
      <c r="U136" s="3">
        <f t="shared" si="42"/>
        <v>0.33333333333333331</v>
      </c>
    </row>
    <row r="138" spans="4:21" x14ac:dyDescent="0.25">
      <c r="D138" s="3">
        <v>0.2112</v>
      </c>
      <c r="H138" s="3">
        <v>0.19639999999999999</v>
      </c>
      <c r="L138" s="3">
        <v>0.17449999999999999</v>
      </c>
      <c r="P138" s="3">
        <v>0.20669999999999999</v>
      </c>
      <c r="S138" s="3">
        <v>0.2112</v>
      </c>
    </row>
    <row r="139" spans="4:21" x14ac:dyDescent="0.25">
      <c r="D139" s="3">
        <v>0.28399999999999997</v>
      </c>
      <c r="E139" s="3">
        <v>0.2172</v>
      </c>
      <c r="F139" s="3">
        <v>0.22220000000000001</v>
      </c>
      <c r="G139" s="3">
        <v>0.27660000000000001</v>
      </c>
      <c r="H139" s="3">
        <v>0.26779999999999998</v>
      </c>
      <c r="I139" s="3">
        <v>0.23799999999999999</v>
      </c>
      <c r="J139" s="3">
        <v>0.2253</v>
      </c>
      <c r="K139" s="3">
        <v>0.26889999999999997</v>
      </c>
      <c r="L139" s="3">
        <v>0.31130000000000002</v>
      </c>
      <c r="M139" s="3">
        <v>0.23130000000000001</v>
      </c>
      <c r="N139" s="3">
        <v>0.2354</v>
      </c>
      <c r="O139" s="3">
        <v>0.22209999999999999</v>
      </c>
      <c r="P139" s="3">
        <v>0.39369999999999999</v>
      </c>
      <c r="Q139" s="3">
        <v>0.3054</v>
      </c>
      <c r="R139" s="3">
        <v>0.3009</v>
      </c>
      <c r="S139" s="3">
        <v>0.29830000000000001</v>
      </c>
      <c r="T139" s="3">
        <v>0.33110000000000001</v>
      </c>
      <c r="U139" s="3">
        <v>0.37059999999999998</v>
      </c>
    </row>
  </sheetData>
  <mergeCells count="6">
    <mergeCell ref="S3:U3"/>
    <mergeCell ref="C2:C3"/>
    <mergeCell ref="D3:G3"/>
    <mergeCell ref="H3:K3"/>
    <mergeCell ref="L3:O3"/>
    <mergeCell ref="P3:R3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69"/>
  <sheetViews>
    <sheetView topLeftCell="L13" zoomScale="85" zoomScaleNormal="85" workbookViewId="0">
      <selection activeCell="AA18" sqref="AA18:AE18"/>
    </sheetView>
  </sheetViews>
  <sheetFormatPr defaultRowHeight="15" x14ac:dyDescent="0.25"/>
  <cols>
    <col min="1" max="1" width="48.5703125" customWidth="1"/>
    <col min="2" max="5" width="8.7109375" customWidth="1"/>
    <col min="6" max="8" width="12.42578125" customWidth="1"/>
    <col min="9" max="9" width="15.140625" customWidth="1"/>
    <col min="21" max="21" width="26.28515625" customWidth="1"/>
    <col min="22" max="22" width="18.28515625" customWidth="1"/>
    <col min="27" max="31" width="13.42578125" style="30" customWidth="1"/>
    <col min="32" max="44" width="10.5703125" bestFit="1" customWidth="1"/>
  </cols>
  <sheetData>
    <row r="1" spans="1:44" ht="15.75" thickBot="1" x14ac:dyDescent="0.3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spans="1:44" ht="18" customHeight="1" thickBot="1" x14ac:dyDescent="0.3">
      <c r="B2" s="65" t="s">
        <v>102</v>
      </c>
      <c r="C2" s="66" t="s">
        <v>103</v>
      </c>
      <c r="D2" s="67" t="s">
        <v>104</v>
      </c>
      <c r="E2" s="68" t="s">
        <v>105</v>
      </c>
      <c r="F2" s="69" t="s">
        <v>106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44" ht="31.5" customHeight="1" x14ac:dyDescent="0.25">
      <c r="A3" s="46" t="s">
        <v>16</v>
      </c>
    </row>
    <row r="4" spans="1:44" ht="18" customHeight="1" x14ac:dyDescent="0.25">
      <c r="A4" s="14" t="s">
        <v>95</v>
      </c>
      <c r="B4" s="47">
        <f>+AHP_nivel_0!D55</f>
        <v>0.70530612173036678</v>
      </c>
      <c r="C4" s="47">
        <f>+AHP_nivel_0!E55</f>
        <v>0.11755102028839447</v>
      </c>
      <c r="D4" s="47">
        <f>+AHP_nivel_0!F55</f>
        <v>0.23510204057678893</v>
      </c>
      <c r="E4" s="47">
        <f>+AHP_nivel_0!G55</f>
        <v>0.31346938743571856</v>
      </c>
      <c r="F4" s="47">
        <f>+AHP_nivel_0!H55</f>
        <v>6.7172011593368261E-2</v>
      </c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U4" s="48"/>
    </row>
    <row r="5" spans="1:44" ht="18" customHeight="1" x14ac:dyDescent="0.25">
      <c r="A5" s="14" t="s">
        <v>96</v>
      </c>
      <c r="B5" s="47">
        <f>+AHP_nivel_0!D56</f>
        <v>0.15662156023616103</v>
      </c>
      <c r="C5" s="47">
        <f>+AHP_nivel_0!E56</f>
        <v>0.15662156023616103</v>
      </c>
      <c r="D5" s="47">
        <f>+AHP_nivel_0!F56</f>
        <v>0.71598427536530773</v>
      </c>
      <c r="E5" s="47">
        <f>+AHP_nivel_0!G56</f>
        <v>0.17899606884132688</v>
      </c>
      <c r="F5" s="47">
        <f>+AHP_nivel_0!H56</f>
        <v>0.3281594595424327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</row>
    <row r="6" spans="1:44" ht="18" customHeight="1" x14ac:dyDescent="0.25">
      <c r="A6" s="14" t="s">
        <v>97</v>
      </c>
      <c r="B6" s="47">
        <f>+AHP_nivel_0!D57</f>
        <v>0.2312024024553089</v>
      </c>
      <c r="C6" s="47">
        <f>+AHP_nivel_0!E57</f>
        <v>7.7067467485102972E-2</v>
      </c>
      <c r="D6" s="47">
        <f>+AHP_nivel_0!F57</f>
        <v>0.20037541546126772</v>
      </c>
      <c r="E6" s="47">
        <f>+AHP_nivel_0!G57</f>
        <v>0.7398476878569884</v>
      </c>
      <c r="F6" s="47">
        <f>+AHP_nivel_0!H57</f>
        <v>0.30826986994041189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</row>
    <row r="7" spans="1:44" ht="18" customHeight="1" x14ac:dyDescent="0.25">
      <c r="A7" s="14" t="s">
        <v>98</v>
      </c>
      <c r="B7" s="47">
        <f>+AHP_nivel_0!D58</f>
        <v>0.36899208854223386</v>
      </c>
      <c r="C7" s="47">
        <f>+AHP_nivel_0!E58</f>
        <v>7.7682544956259744E-2</v>
      </c>
      <c r="D7" s="47">
        <f>+AHP_nivel_0!F58</f>
        <v>0.44667463349849357</v>
      </c>
      <c r="E7" s="47">
        <f>+AHP_nivel_0!G58</f>
        <v>0.41430690643338536</v>
      </c>
      <c r="F7" s="47">
        <f>+AHP_nivel_0!H58</f>
        <v>0.23304763486877927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</row>
    <row r="8" spans="1:44" ht="18" customHeight="1" x14ac:dyDescent="0.25">
      <c r="A8" s="14" t="s">
        <v>99</v>
      </c>
      <c r="B8" s="47">
        <f>+AHP_nivel_0!D59</f>
        <v>0.23154625263965548</v>
      </c>
      <c r="C8" s="47">
        <f>+AHP_nivel_0!E59</f>
        <v>0.61745667370574797</v>
      </c>
      <c r="D8" s="47">
        <f>+AHP_nivel_0!F59</f>
        <v>0.32802385790617861</v>
      </c>
      <c r="E8" s="47">
        <f>+AHP_nivel_0!G59</f>
        <v>0.10290944561762465</v>
      </c>
      <c r="F8" s="47">
        <f>+AHP_nivel_0!H59</f>
        <v>0.23154625263965548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</row>
    <row r="9" spans="1:44" ht="18" customHeight="1" x14ac:dyDescent="0.25">
      <c r="A9" s="14" t="s">
        <v>100</v>
      </c>
      <c r="B9" s="47">
        <f>+AHP_nivel_0!D60</f>
        <v>0.45812046264916229</v>
      </c>
      <c r="C9" s="47">
        <f>+AHP_nivel_0!E60</f>
        <v>0.39074980637722662</v>
      </c>
      <c r="D9" s="47">
        <f>+AHP_nivel_0!F60</f>
        <v>0.26948262508774251</v>
      </c>
      <c r="E9" s="47">
        <f>+AHP_nivel_0!G60</f>
        <v>5.3896525017548498E-2</v>
      </c>
      <c r="F9" s="47">
        <f>+AHP_nivel_0!H60</f>
        <v>0.25151711674855959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</row>
    <row r="10" spans="1:44" ht="18" customHeight="1" x14ac:dyDescent="0.25">
      <c r="A10" s="14" t="s">
        <v>101</v>
      </c>
      <c r="B10" s="47">
        <f>+AHP_nivel_0!D61</f>
        <v>0.15362432657426853</v>
      </c>
      <c r="C10" s="47">
        <f>+AHP_nivel_0!E61</f>
        <v>0.21946332367752647</v>
      </c>
      <c r="D10" s="47">
        <f>+AHP_nivel_0!F61</f>
        <v>0.3950339826195477</v>
      </c>
      <c r="E10" s="47">
        <f>+AHP_nivel_0!G61</f>
        <v>0.11704710596134744</v>
      </c>
      <c r="F10" s="47">
        <f>+AHP_nivel_0!H61</f>
        <v>0.52671197682606341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</row>
    <row r="11" spans="1:44" ht="18" customHeight="1" x14ac:dyDescent="0.25">
      <c r="A11" s="93"/>
      <c r="B11" s="47"/>
      <c r="C11" s="47"/>
      <c r="D11" s="47"/>
      <c r="E11" s="47"/>
      <c r="F11" s="70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AA11" s="30">
        <f>ROUND($AC$26*AA19+$AC$25,0)</f>
        <v>5</v>
      </c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</row>
    <row r="12" spans="1:44" ht="18" customHeight="1" x14ac:dyDescent="0.25">
      <c r="A12" s="93"/>
      <c r="B12" s="47"/>
      <c r="C12" s="47"/>
      <c r="D12" s="47"/>
      <c r="E12" s="47"/>
      <c r="F12" s="70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</row>
    <row r="13" spans="1:44" ht="18" customHeight="1" x14ac:dyDescent="0.25">
      <c r="A13" s="94"/>
      <c r="B13" s="47"/>
      <c r="C13" s="47"/>
      <c r="D13" s="47"/>
      <c r="E13" s="47"/>
      <c r="F13" s="70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</row>
    <row r="15" spans="1:44" x14ac:dyDescent="0.25">
      <c r="AA15" s="30">
        <v>0.25</v>
      </c>
      <c r="AB15" s="30">
        <v>0.25</v>
      </c>
      <c r="AC15" s="30">
        <v>0.25</v>
      </c>
      <c r="AD15" s="30">
        <v>0.25</v>
      </c>
      <c r="AE15" s="30">
        <v>0.25</v>
      </c>
      <c r="AF15" s="30">
        <v>0.25</v>
      </c>
      <c r="AG15" s="30"/>
      <c r="AH15" s="30"/>
      <c r="AI15" s="30"/>
      <c r="AJ15" s="30"/>
      <c r="AK15" s="30"/>
      <c r="AL15" s="30"/>
    </row>
    <row r="17" spans="1:44" ht="15.75" thickBot="1" x14ac:dyDescent="0.3">
      <c r="AA17" s="25">
        <v>0.2112</v>
      </c>
      <c r="AB17" s="25"/>
      <c r="AC17" s="25"/>
      <c r="AD17" s="25"/>
      <c r="AE17" s="25">
        <v>0.19639999999999999</v>
      </c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</row>
    <row r="18" spans="1:44" ht="30.75" thickBot="1" x14ac:dyDescent="0.3">
      <c r="A18" s="84" t="s">
        <v>83</v>
      </c>
      <c r="B18" s="65" t="s">
        <v>102</v>
      </c>
      <c r="C18" s="66" t="s">
        <v>103</v>
      </c>
      <c r="D18" s="67" t="s">
        <v>104</v>
      </c>
      <c r="E18" s="68" t="s">
        <v>105</v>
      </c>
      <c r="F18" s="69" t="s">
        <v>106</v>
      </c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AA18" s="65" t="s">
        <v>102</v>
      </c>
      <c r="AB18" s="66" t="s">
        <v>103</v>
      </c>
      <c r="AC18" s="67" t="s">
        <v>104</v>
      </c>
      <c r="AD18" s="68" t="s">
        <v>105</v>
      </c>
      <c r="AE18" s="69" t="s">
        <v>106</v>
      </c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</row>
    <row r="19" spans="1:44" x14ac:dyDescent="0.25">
      <c r="A19" s="52" t="s">
        <v>95</v>
      </c>
      <c r="B19" s="47">
        <f>IFERROR(+$U$26*B4+$U$24,"")</f>
        <v>4.7985771116203688</v>
      </c>
      <c r="C19" s="47">
        <f t="shared" ref="C19:F25" si="0">IFERROR(+$U$26*C4+$U$24,"")</f>
        <v>1.3711896631670002</v>
      </c>
      <c r="D19" s="47">
        <f t="shared" si="0"/>
        <v>2.0566671528576741</v>
      </c>
      <c r="E19" s="47">
        <f t="shared" si="0"/>
        <v>2.51365214598479</v>
      </c>
      <c r="F19" s="70">
        <f t="shared" si="0"/>
        <v>1.0774135961567115</v>
      </c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48"/>
      <c r="U19" t="s">
        <v>18</v>
      </c>
      <c r="Z19" s="53" t="s">
        <v>19</v>
      </c>
      <c r="AA19" s="26">
        <f>+AHP_nivel_0!D41</f>
        <v>0.27246666666666669</v>
      </c>
      <c r="AB19" s="27">
        <f>+AHP_nivel_0!E41</f>
        <v>0.15765555555555555</v>
      </c>
      <c r="AC19" s="28">
        <f>+AHP_nivel_0!F41</f>
        <v>0.1416722222222222</v>
      </c>
      <c r="AD19" s="29">
        <f>+AHP_nivel_0!G41</f>
        <v>0.2218472222222222</v>
      </c>
      <c r="AE19" s="29">
        <f>+AHP_nivel_0!H41</f>
        <v>0.2063638888888889</v>
      </c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</row>
    <row r="20" spans="1:44" x14ac:dyDescent="0.25">
      <c r="A20" s="52" t="s">
        <v>96</v>
      </c>
      <c r="B20" s="47">
        <f>IFERROR(+$U$26*B5+$U$24,"")</f>
        <v>1.5990224423172661</v>
      </c>
      <c r="C20" s="47">
        <f t="shared" si="0"/>
        <v>1.5990224423172661</v>
      </c>
      <c r="D20" s="47">
        <f t="shared" si="0"/>
        <v>4.8608448310349086</v>
      </c>
      <c r="E20" s="47">
        <f t="shared" si="0"/>
        <v>1.7294953378659719</v>
      </c>
      <c r="F20" s="70">
        <f t="shared" si="0"/>
        <v>2.59931464152401</v>
      </c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48"/>
      <c r="U20" t="s">
        <v>20</v>
      </c>
      <c r="AA20" s="54">
        <f>ROUND($AC$26*AA19+$AC$25,0)</f>
        <v>5</v>
      </c>
      <c r="AB20" s="54">
        <f t="shared" ref="AB20:AE20" si="1">ROUND($AC$26*AB19+$AC$25,0)</f>
        <v>1</v>
      </c>
      <c r="AC20" s="54">
        <f t="shared" si="1"/>
        <v>1</v>
      </c>
      <c r="AD20" s="54">
        <f t="shared" si="1"/>
        <v>3</v>
      </c>
      <c r="AE20" s="54">
        <f t="shared" si="1"/>
        <v>3</v>
      </c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</row>
    <row r="21" spans="1:44" x14ac:dyDescent="0.25">
      <c r="A21" s="52" t="s">
        <v>97</v>
      </c>
      <c r="B21" s="47">
        <f t="shared" ref="B21:B25" si="2">IFERROR(+$U$26*B6+$U$24,"")</f>
        <v>2.0339271192649746</v>
      </c>
      <c r="C21" s="47">
        <f t="shared" si="0"/>
        <v>1.1351171554058759</v>
      </c>
      <c r="D21" s="47">
        <f t="shared" si="0"/>
        <v>1.8541651264931549</v>
      </c>
      <c r="E21" s="47">
        <f t="shared" si="0"/>
        <v>4.9999999999999991</v>
      </c>
      <c r="F21" s="70">
        <f t="shared" si="0"/>
        <v>2.4833321011945237</v>
      </c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48"/>
      <c r="Z21" t="s">
        <v>73</v>
      </c>
      <c r="AA21" s="30">
        <f>ROUND($AC$26*AA19+$AC$25,0)</f>
        <v>5</v>
      </c>
      <c r="AB21" s="30">
        <f t="shared" ref="AB21:AE21" si="3">$AC$26*AB19+$AC$25</f>
        <v>1.4888549099558284</v>
      </c>
      <c r="AC21" s="30">
        <f t="shared" si="3"/>
        <v>1.0000679578661233</v>
      </c>
      <c r="AD21" s="30">
        <f t="shared" si="3"/>
        <v>3.4519028202514437</v>
      </c>
      <c r="AE21" s="30">
        <f t="shared" si="3"/>
        <v>2.9784063880394167</v>
      </c>
    </row>
    <row r="22" spans="1:44" x14ac:dyDescent="0.25">
      <c r="A22" s="52" t="s">
        <v>98</v>
      </c>
      <c r="B22" s="47">
        <f t="shared" si="2"/>
        <v>2.8374227239173848</v>
      </c>
      <c r="C22" s="47">
        <f t="shared" si="0"/>
        <v>1.1387038683060229</v>
      </c>
      <c r="D22" s="47">
        <f t="shared" si="0"/>
        <v>3.2904144187470807</v>
      </c>
      <c r="E22" s="47">
        <f t="shared" si="0"/>
        <v>3.1016678792347081</v>
      </c>
      <c r="F22" s="70">
        <f t="shared" si="0"/>
        <v>2.0446872579654158</v>
      </c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48"/>
    </row>
    <row r="23" spans="1:44" x14ac:dyDescent="0.25">
      <c r="A23" s="52" t="s">
        <v>99</v>
      </c>
      <c r="B23" s="47">
        <f t="shared" si="2"/>
        <v>2.0359322193535769</v>
      </c>
      <c r="C23" s="47">
        <f t="shared" si="0"/>
        <v>4.286298962482328</v>
      </c>
      <c r="D23" s="47">
        <f t="shared" si="0"/>
        <v>2.5985239051357647</v>
      </c>
      <c r="E23" s="47">
        <f t="shared" si="0"/>
        <v>1.2858099716439932</v>
      </c>
      <c r="F23" s="70">
        <f t="shared" si="0"/>
        <v>2.0359322193535769</v>
      </c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48"/>
      <c r="W23" t="s">
        <v>21</v>
      </c>
      <c r="X23" s="48">
        <f>+MIN(B4:F13)</f>
        <v>5.3896525017548498E-2</v>
      </c>
      <c r="AB23" s="30" t="s">
        <v>21</v>
      </c>
      <c r="AC23" s="55">
        <f>+ROUND(MIN(AA19:AE19),5)</f>
        <v>0.14166999999999999</v>
      </c>
      <c r="AD23" s="55"/>
      <c r="AE23" s="55"/>
      <c r="AF23" s="55"/>
      <c r="AG23" s="55"/>
    </row>
    <row r="24" spans="1:44" ht="18" customHeight="1" x14ac:dyDescent="0.25">
      <c r="A24" s="52" t="s">
        <v>100</v>
      </c>
      <c r="B24" s="47">
        <f t="shared" si="2"/>
        <v>3.3571586989275515</v>
      </c>
      <c r="C24" s="47">
        <f t="shared" si="0"/>
        <v>2.9642989157729591</v>
      </c>
      <c r="D24" s="47">
        <f t="shared" si="0"/>
        <v>2.2571513060946939</v>
      </c>
      <c r="E24" s="47">
        <f t="shared" si="0"/>
        <v>1</v>
      </c>
      <c r="F24" s="70">
        <f t="shared" si="0"/>
        <v>2.1523886972534689</v>
      </c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48"/>
      <c r="U24" s="56">
        <f>(5*X23-X24)/(X23-X24)</f>
        <v>0.68571217347632651</v>
      </c>
      <c r="W24" t="s">
        <v>22</v>
      </c>
      <c r="X24" s="48">
        <f>+MAX(B4:F13)</f>
        <v>0.7398476878569884</v>
      </c>
      <c r="AB24" s="30" t="s">
        <v>22</v>
      </c>
      <c r="AC24" s="55">
        <f>+ROUND(MAX(AA19:AE19),5)</f>
        <v>0.27246999999999999</v>
      </c>
      <c r="AD24" s="55"/>
      <c r="AE24" s="55"/>
      <c r="AF24" s="55"/>
      <c r="AG24" s="55"/>
    </row>
    <row r="25" spans="1:44" x14ac:dyDescent="0.25">
      <c r="A25" s="52" t="s">
        <v>101</v>
      </c>
      <c r="B25" s="47">
        <f t="shared" si="2"/>
        <v>1.5815446169310641</v>
      </c>
      <c r="C25" s="47">
        <f t="shared" si="0"/>
        <v>1.9654728069830945</v>
      </c>
      <c r="D25" s="47">
        <f t="shared" si="0"/>
        <v>2.989281313788509</v>
      </c>
      <c r="E25" s="47">
        <f t="shared" si="0"/>
        <v>1.3682511780132693</v>
      </c>
      <c r="F25" s="70">
        <f t="shared" si="0"/>
        <v>3.7571376938925694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48"/>
      <c r="AB25" t="s">
        <v>23</v>
      </c>
      <c r="AC25" s="57">
        <f>(5*AC23-AC24)/(AC23-AC24)</f>
        <v>-3.3324159021406721</v>
      </c>
      <c r="AD25"/>
      <c r="AE25"/>
    </row>
    <row r="26" spans="1:44" x14ac:dyDescent="0.25">
      <c r="A26" s="52"/>
      <c r="B26" s="47"/>
      <c r="C26" s="47"/>
      <c r="D26" s="47"/>
      <c r="E26" s="47"/>
      <c r="F26" s="70"/>
      <c r="G26" s="59"/>
      <c r="H26" s="71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48"/>
      <c r="U26" s="56">
        <f>+-4/(X23-X24)</f>
        <v>5.8313189286571365</v>
      </c>
      <c r="AB26" t="s">
        <v>24</v>
      </c>
      <c r="AC26" s="57">
        <f>+-4/(AC23-AC24)</f>
        <v>30.581039755351682</v>
      </c>
      <c r="AD26"/>
      <c r="AE26"/>
      <c r="AJ26" t="s">
        <v>25</v>
      </c>
    </row>
    <row r="27" spans="1:44" x14ac:dyDescent="0.25">
      <c r="A27" s="52"/>
      <c r="B27" s="47"/>
      <c r="C27" s="47"/>
      <c r="D27" s="47"/>
      <c r="E27" s="47"/>
      <c r="F27" s="70"/>
      <c r="G27" s="59"/>
      <c r="H27" s="71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48"/>
    </row>
    <row r="28" spans="1:44" x14ac:dyDescent="0.25">
      <c r="A28" s="52"/>
      <c r="B28" s="47"/>
      <c r="C28" s="47"/>
      <c r="D28" s="47"/>
      <c r="E28" s="47"/>
      <c r="F28" s="70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48"/>
    </row>
    <row r="29" spans="1:44" x14ac:dyDescent="0.25">
      <c r="A29" s="58"/>
      <c r="B29" s="59"/>
      <c r="C29" s="59"/>
      <c r="D29" s="59"/>
      <c r="E29" s="59"/>
      <c r="F29" s="59"/>
      <c r="T29" s="48"/>
    </row>
    <row r="30" spans="1:44" x14ac:dyDescent="0.25">
      <c r="A30" s="46"/>
      <c r="B30" s="30"/>
      <c r="C30" s="30"/>
      <c r="D30" s="30"/>
      <c r="E30" s="30"/>
      <c r="F30" s="30"/>
      <c r="U30" s="111" t="s">
        <v>26</v>
      </c>
    </row>
    <row r="31" spans="1:44" x14ac:dyDescent="0.25">
      <c r="A31" s="58"/>
      <c r="B31" s="59"/>
      <c r="C31" s="59"/>
      <c r="D31" s="59"/>
      <c r="E31" s="59"/>
      <c r="F31" s="59"/>
      <c r="U31" s="111"/>
    </row>
    <row r="32" spans="1:44" ht="33.75" customHeight="1" x14ac:dyDescent="0.25">
      <c r="A32" s="53" t="s">
        <v>84</v>
      </c>
      <c r="B32" s="49" t="s">
        <v>27</v>
      </c>
      <c r="C32" s="49" t="s">
        <v>28</v>
      </c>
      <c r="D32" s="49" t="s">
        <v>29</v>
      </c>
      <c r="E32" s="49" t="s">
        <v>30</v>
      </c>
      <c r="F32" s="49" t="s">
        <v>31</v>
      </c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U32" s="111"/>
      <c r="W32" t="s">
        <v>32</v>
      </c>
      <c r="AA32" s="112" t="s">
        <v>74</v>
      </c>
      <c r="AB32" s="112"/>
      <c r="AC32" s="112"/>
      <c r="AD32" s="112"/>
    </row>
    <row r="33" spans="1:44" s="30" customFormat="1" x14ac:dyDescent="0.25">
      <c r="A33"/>
      <c r="B33">
        <f>+IFERROR(B19/MAX(B19:B28),0)</f>
        <v>1</v>
      </c>
      <c r="C33">
        <f>+IFERROR(C19/MAX(C19:C28),0)</f>
        <v>0.3199006124325266</v>
      </c>
      <c r="D33">
        <f>+IFERROR(D19/MAX(D19:D28),0)</f>
        <v>0.42310899120385931</v>
      </c>
      <c r="E33">
        <f>+IFERROR(E19/MAX(E19:E28),0)</f>
        <v>0.5027304291969581</v>
      </c>
      <c r="F33">
        <f>+IFERROR(F19/MAX(F19:F28),0)</f>
        <v>0.28676446910851994</v>
      </c>
      <c r="G33"/>
      <c r="H33"/>
      <c r="I33"/>
      <c r="J33"/>
      <c r="K33"/>
      <c r="L33"/>
      <c r="M33"/>
      <c r="N33"/>
      <c r="O33"/>
      <c r="P33"/>
      <c r="Q33"/>
      <c r="R33"/>
      <c r="S33"/>
      <c r="T33">
        <v>1</v>
      </c>
      <c r="U33" s="60" t="s">
        <v>87</v>
      </c>
      <c r="V33" s="48">
        <f>+SUM(B34:S34)</f>
        <v>8.1114942985528202</v>
      </c>
      <c r="W33" s="48">
        <f>+V33/MAX($V$33:$V$42)*100</f>
        <v>100</v>
      </c>
      <c r="X33">
        <f>+RANK(W33,$W$33:$W$42)</f>
        <v>1</v>
      </c>
      <c r="Y33" s="61"/>
      <c r="Z33"/>
      <c r="AA33" s="62">
        <v>92.772569717166846</v>
      </c>
      <c r="AB33" s="30">
        <v>2</v>
      </c>
      <c r="AE33" s="30">
        <f>+B34*C34*D34*E34*F34</f>
        <v>0.87809267161151927</v>
      </c>
      <c r="AF33" s="48">
        <f>+AE33/MAX($AE$33:$AE$42)*100</f>
        <v>54.356818369161253</v>
      </c>
      <c r="AG33">
        <f>+RANK(AF33,$AF$33:$AF$42)</f>
        <v>7</v>
      </c>
      <c r="AH33"/>
      <c r="AI33"/>
      <c r="AJ33"/>
      <c r="AK33"/>
      <c r="AL33"/>
      <c r="AM33"/>
      <c r="AN33"/>
      <c r="AO33"/>
      <c r="AP33"/>
      <c r="AQ33"/>
      <c r="AR33"/>
    </row>
    <row r="34" spans="1:44" s="30" customFormat="1" x14ac:dyDescent="0.25">
      <c r="A34" t="s">
        <v>33</v>
      </c>
      <c r="B34">
        <f>+PRODUCT(B33,AA20)</f>
        <v>5</v>
      </c>
      <c r="C34">
        <f t="shared" ref="C34:E34" si="4">+PRODUCT(C33,AB20)</f>
        <v>0.3199006124325266</v>
      </c>
      <c r="D34">
        <f t="shared" si="4"/>
        <v>0.42310899120385931</v>
      </c>
      <c r="E34">
        <f t="shared" si="4"/>
        <v>1.5081912875908743</v>
      </c>
      <c r="F34">
        <f>+PRODUCT(F33,AE20)</f>
        <v>0.86029340732555981</v>
      </c>
      <c r="G34"/>
      <c r="H34"/>
      <c r="I34"/>
      <c r="J34"/>
      <c r="K34"/>
      <c r="L34"/>
      <c r="M34"/>
      <c r="N34"/>
      <c r="O34"/>
      <c r="P34"/>
      <c r="Q34"/>
      <c r="R34"/>
      <c r="S34"/>
      <c r="T34">
        <v>2</v>
      </c>
      <c r="U34" s="60" t="s">
        <v>88</v>
      </c>
      <c r="V34" s="48">
        <f>+SUM(B37:S37)</f>
        <v>6.1523950611327374</v>
      </c>
      <c r="W34" s="48">
        <f t="shared" ref="W34:W39" si="5">+V34/MAX($V$33:$V$42)*100</f>
        <v>75.847862732645851</v>
      </c>
      <c r="X34">
        <f t="shared" ref="X34:X39" si="6">+RANK(W34,$W$33:$W$42)</f>
        <v>6</v>
      </c>
      <c r="Y34" s="61"/>
      <c r="Z34"/>
      <c r="AA34" s="62">
        <v>70.396477587863828</v>
      </c>
      <c r="AB34" s="30">
        <v>7</v>
      </c>
      <c r="AE34" s="30">
        <f>+B37*C37*D37*E37*F37</f>
        <v>1.3386832441693</v>
      </c>
      <c r="AF34" s="48">
        <f t="shared" ref="AF34:AF42" si="7">+AE34/MAX($AE$33:$AE$42)*100</f>
        <v>82.868886519238757</v>
      </c>
      <c r="AG34">
        <f t="shared" ref="AG34:AG39" si="8">+RANK(AF34,$AF$33:$AF$42)</f>
        <v>3</v>
      </c>
      <c r="AH34"/>
      <c r="AI34"/>
      <c r="AJ34"/>
      <c r="AK34"/>
      <c r="AL34"/>
      <c r="AM34"/>
      <c r="AN34"/>
      <c r="AO34"/>
      <c r="AP34"/>
      <c r="AQ34"/>
      <c r="AR34"/>
    </row>
    <row r="35" spans="1:44" s="30" customFormat="1" x14ac:dyDescent="0.25">
      <c r="A35"/>
      <c r="B35" s="49" t="s">
        <v>34</v>
      </c>
      <c r="C35" s="49" t="s">
        <v>35</v>
      </c>
      <c r="D35" s="49" t="s">
        <v>36</v>
      </c>
      <c r="E35" s="49" t="s">
        <v>37</v>
      </c>
      <c r="F35" s="49" t="s">
        <v>38</v>
      </c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>
        <v>3</v>
      </c>
      <c r="U35" s="60" t="s">
        <v>89</v>
      </c>
      <c r="V35" s="48">
        <f>+SUM(B40:S40)</f>
        <v>7.7484674835939948</v>
      </c>
      <c r="W35" s="48">
        <f t="shared" si="5"/>
        <v>95.524538369908072</v>
      </c>
      <c r="X35">
        <f t="shared" si="6"/>
        <v>2</v>
      </c>
      <c r="Y35" s="61"/>
      <c r="Z35"/>
      <c r="AA35" s="62">
        <v>78.586558556099021</v>
      </c>
      <c r="AB35" s="80">
        <v>5</v>
      </c>
      <c r="AE35" s="30">
        <f>+B40*C40*D40*E40*F40</f>
        <v>1.2735265184147071</v>
      </c>
      <c r="AF35" s="48">
        <f t="shared" si="7"/>
        <v>78.835471343512808</v>
      </c>
      <c r="AG35">
        <f t="shared" si="8"/>
        <v>4</v>
      </c>
      <c r="AH35"/>
      <c r="AI35"/>
      <c r="AJ35"/>
      <c r="AK35"/>
      <c r="AL35"/>
      <c r="AM35"/>
      <c r="AN35"/>
      <c r="AO35"/>
      <c r="AP35"/>
      <c r="AQ35"/>
      <c r="AR35"/>
    </row>
    <row r="36" spans="1:44" s="30" customFormat="1" x14ac:dyDescent="0.25">
      <c r="A36"/>
      <c r="B36">
        <f>+IFERROR(B20/MAX(B19:B28),0)</f>
        <v>0.33322845608649876</v>
      </c>
      <c r="C36">
        <f>+IFERROR(C20/MAX(C19:C28),0)</f>
        <v>0.3730543427589621</v>
      </c>
      <c r="D36">
        <f t="shared" ref="D36:F36" si="9">+IFERROR(D20/MAX(D19:D28),0)</f>
        <v>1</v>
      </c>
      <c r="E36">
        <f t="shared" si="9"/>
        <v>0.34589906757319444</v>
      </c>
      <c r="F36">
        <f t="shared" si="9"/>
        <v>0.69183374507389939</v>
      </c>
      <c r="G36"/>
      <c r="H36"/>
      <c r="I36"/>
      <c r="J36"/>
      <c r="K36"/>
      <c r="L36"/>
      <c r="M36"/>
      <c r="N36"/>
      <c r="O36"/>
      <c r="P36"/>
      <c r="Q36"/>
      <c r="R36"/>
      <c r="S36"/>
      <c r="T36">
        <v>4</v>
      </c>
      <c r="U36" s="60" t="s">
        <v>90</v>
      </c>
      <c r="V36" s="48">
        <f>+SUM(B43:S43)</f>
        <v>7.3927517341442694</v>
      </c>
      <c r="W36" s="48">
        <f t="shared" si="5"/>
        <v>91.139208905851262</v>
      </c>
      <c r="X36">
        <f t="shared" si="6"/>
        <v>3</v>
      </c>
      <c r="Y36" s="61"/>
      <c r="Z36"/>
      <c r="AA36" s="62">
        <v>67.403529353740197</v>
      </c>
      <c r="AB36" s="30">
        <v>8</v>
      </c>
      <c r="AE36" s="30">
        <f>+B43*C43*D43*E43*F43</f>
        <v>1.6154232310802348</v>
      </c>
      <c r="AF36" s="48">
        <f t="shared" si="7"/>
        <v>100</v>
      </c>
      <c r="AG36">
        <f t="shared" si="8"/>
        <v>1</v>
      </c>
      <c r="AH36"/>
      <c r="AI36"/>
      <c r="AJ36"/>
      <c r="AK36"/>
      <c r="AL36"/>
      <c r="AM36"/>
      <c r="AN36"/>
      <c r="AO36"/>
      <c r="AP36"/>
      <c r="AQ36"/>
      <c r="AR36"/>
    </row>
    <row r="37" spans="1:44" s="30" customFormat="1" x14ac:dyDescent="0.25">
      <c r="A37" t="s">
        <v>33</v>
      </c>
      <c r="B37">
        <f>+PRODUCT(B36,AA20)</f>
        <v>1.6661422804324939</v>
      </c>
      <c r="C37">
        <f t="shared" ref="C37:F37" si="10">+PRODUCT(C36,AB20)</f>
        <v>0.3730543427589621</v>
      </c>
      <c r="D37">
        <f t="shared" si="10"/>
        <v>1</v>
      </c>
      <c r="E37">
        <f t="shared" si="10"/>
        <v>1.0376972027195834</v>
      </c>
      <c r="F37">
        <f t="shared" si="10"/>
        <v>2.0755012352216982</v>
      </c>
      <c r="G37"/>
      <c r="H37"/>
      <c r="I37"/>
      <c r="J37"/>
      <c r="K37"/>
      <c r="L37"/>
      <c r="M37"/>
      <c r="N37"/>
      <c r="O37"/>
      <c r="P37"/>
      <c r="Q37"/>
      <c r="R37"/>
      <c r="S37"/>
      <c r="T37">
        <v>5</v>
      </c>
      <c r="U37" s="60" t="s">
        <v>91</v>
      </c>
      <c r="V37" s="48">
        <f>+SUM(B46:S46)</f>
        <v>6.0531118732623783</v>
      </c>
      <c r="W37" s="48">
        <f t="shared" si="5"/>
        <v>74.623881253819292</v>
      </c>
      <c r="X37">
        <f t="shared" si="6"/>
        <v>7</v>
      </c>
      <c r="Y37" s="61"/>
      <c r="Z37"/>
      <c r="AA37" s="62">
        <v>81.375193655131156</v>
      </c>
      <c r="AB37" s="30">
        <v>4</v>
      </c>
      <c r="AE37" s="30">
        <f>+B46*C46*D46*E46*F46</f>
        <v>1.4223002896372654</v>
      </c>
      <c r="AF37" s="48">
        <f t="shared" si="7"/>
        <v>88.045056074015477</v>
      </c>
      <c r="AG37">
        <f t="shared" si="8"/>
        <v>2</v>
      </c>
      <c r="AH37"/>
      <c r="AI37"/>
      <c r="AJ37"/>
      <c r="AK37"/>
      <c r="AL37"/>
      <c r="AM37"/>
      <c r="AN37"/>
      <c r="AO37"/>
      <c r="AP37"/>
      <c r="AQ37"/>
      <c r="AR37"/>
    </row>
    <row r="38" spans="1:44" s="30" customFormat="1" x14ac:dyDescent="0.25">
      <c r="A38"/>
      <c r="B38" s="49" t="s">
        <v>39</v>
      </c>
      <c r="C38" s="49" t="s">
        <v>40</v>
      </c>
      <c r="D38" s="49" t="s">
        <v>41</v>
      </c>
      <c r="E38" s="49" t="s">
        <v>42</v>
      </c>
      <c r="F38" s="49" t="s">
        <v>43</v>
      </c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>
        <v>6</v>
      </c>
      <c r="U38" s="60" t="s">
        <v>92</v>
      </c>
      <c r="V38" s="48">
        <f>+SUM(B49:S49)</f>
        <v>6.9726460928604359</v>
      </c>
      <c r="W38" s="48">
        <f t="shared" si="5"/>
        <v>85.960068961700841</v>
      </c>
      <c r="X38">
        <f t="shared" si="6"/>
        <v>4</v>
      </c>
      <c r="Y38" s="61"/>
      <c r="Z38"/>
      <c r="AA38" s="62">
        <v>60.687508049067965</v>
      </c>
      <c r="AB38" s="30">
        <v>9</v>
      </c>
      <c r="AE38" s="30">
        <f>+B49*C49*D49*E49*F49</f>
        <v>1.1583877202051809</v>
      </c>
      <c r="AF38" s="48">
        <f t="shared" si="7"/>
        <v>71.708001836185446</v>
      </c>
      <c r="AG38">
        <f t="shared" si="8"/>
        <v>5</v>
      </c>
      <c r="AH38"/>
      <c r="AI38"/>
      <c r="AJ38"/>
      <c r="AK38"/>
      <c r="AL38"/>
      <c r="AM38"/>
      <c r="AN38"/>
      <c r="AO38"/>
      <c r="AP38"/>
      <c r="AQ38"/>
      <c r="AR38"/>
    </row>
    <row r="39" spans="1:44" s="30" customFormat="1" x14ac:dyDescent="0.25">
      <c r="A39"/>
      <c r="B39">
        <f>+IFERROR(B21/MAX(B19:B28),0)</f>
        <v>0.4238604636235937</v>
      </c>
      <c r="C39">
        <f t="shared" ref="C39:F39" si="11">+IFERROR(C21/MAX(C19:C28),0)</f>
        <v>0.26482454101813152</v>
      </c>
      <c r="D39">
        <f t="shared" si="11"/>
        <v>0.38144914946778702</v>
      </c>
      <c r="E39">
        <f t="shared" si="11"/>
        <v>1</v>
      </c>
      <c r="F39">
        <f t="shared" si="11"/>
        <v>0.66096382499670281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>
        <v>7</v>
      </c>
      <c r="U39" s="60" t="s">
        <v>93</v>
      </c>
      <c r="V39" s="48">
        <f>+SUM(B52:S52)</f>
        <v>6.5424008419965176</v>
      </c>
      <c r="W39" s="48">
        <f t="shared" si="5"/>
        <v>80.655926037743171</v>
      </c>
      <c r="X39">
        <f t="shared" si="6"/>
        <v>5</v>
      </c>
      <c r="Y39" s="61"/>
      <c r="Z39"/>
      <c r="AA39" s="62">
        <v>53.155515273814423</v>
      </c>
      <c r="AB39" s="30">
        <v>10</v>
      </c>
      <c r="AE39" s="30">
        <f>+B52*C52*D52*E52*F52</f>
        <v>1.1445029606005916</v>
      </c>
      <c r="AF39" s="48">
        <f t="shared" si="7"/>
        <v>70.848489645358242</v>
      </c>
      <c r="AG39">
        <f t="shared" si="8"/>
        <v>6</v>
      </c>
      <c r="AH39"/>
      <c r="AI39"/>
      <c r="AJ39"/>
      <c r="AK39"/>
      <c r="AL39"/>
      <c r="AM39"/>
      <c r="AN39"/>
      <c r="AO39"/>
      <c r="AP39"/>
      <c r="AQ39"/>
      <c r="AR39"/>
    </row>
    <row r="40" spans="1:44" s="30" customFormat="1" x14ac:dyDescent="0.25">
      <c r="A40" t="s">
        <v>33</v>
      </c>
      <c r="B40">
        <f>+PRODUCT(B39,AA20)</f>
        <v>2.1193023181179687</v>
      </c>
      <c r="C40">
        <f t="shared" ref="C40:F40" si="12">+PRODUCT(C39,AB20)</f>
        <v>0.26482454101813152</v>
      </c>
      <c r="D40">
        <f t="shared" si="12"/>
        <v>0.38144914946778702</v>
      </c>
      <c r="E40">
        <f t="shared" si="12"/>
        <v>3</v>
      </c>
      <c r="F40">
        <f t="shared" si="12"/>
        <v>1.9828914749901085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 s="60"/>
      <c r="V40" s="48"/>
      <c r="W40" s="48"/>
      <c r="X40"/>
      <c r="Y40" s="61"/>
      <c r="Z40"/>
      <c r="AA40" s="62">
        <v>77.869757404272036</v>
      </c>
      <c r="AB40" s="80">
        <v>6</v>
      </c>
      <c r="AE40" s="30">
        <f>+B55*C55*D55*E55*F55</f>
        <v>0</v>
      </c>
      <c r="AF40" s="48">
        <f t="shared" si="7"/>
        <v>0</v>
      </c>
      <c r="AG40"/>
      <c r="AH40"/>
      <c r="AI40"/>
      <c r="AJ40"/>
      <c r="AK40"/>
      <c r="AL40"/>
      <c r="AM40"/>
      <c r="AN40"/>
      <c r="AO40"/>
      <c r="AP40"/>
      <c r="AQ40"/>
      <c r="AR40"/>
    </row>
    <row r="41" spans="1:44" s="30" customFormat="1" x14ac:dyDescent="0.25">
      <c r="A41"/>
      <c r="B41" s="49" t="s">
        <v>44</v>
      </c>
      <c r="C41" s="49" t="s">
        <v>45</v>
      </c>
      <c r="D41" s="49" t="s">
        <v>46</v>
      </c>
      <c r="E41" s="49" t="s">
        <v>47</v>
      </c>
      <c r="F41" s="49" t="s">
        <v>48</v>
      </c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/>
      <c r="U41" s="60"/>
      <c r="V41" s="48"/>
      <c r="W41" s="48"/>
      <c r="X41"/>
      <c r="Y41" s="61"/>
      <c r="Z41"/>
      <c r="AA41" s="62"/>
      <c r="AE41" s="30">
        <f>+B58*C58*D58*E58*F58</f>
        <v>0</v>
      </c>
      <c r="AF41" s="48">
        <f t="shared" si="7"/>
        <v>0</v>
      </c>
      <c r="AG41"/>
      <c r="AH41"/>
      <c r="AI41"/>
      <c r="AJ41"/>
      <c r="AK41"/>
      <c r="AL41"/>
      <c r="AM41"/>
      <c r="AN41"/>
      <c r="AO41"/>
      <c r="AP41"/>
      <c r="AQ41"/>
      <c r="AR41"/>
    </row>
    <row r="42" spans="1:44" s="30" customFormat="1" x14ac:dyDescent="0.25">
      <c r="A42"/>
      <c r="B42">
        <f>+IFERROR(B22/MAX(B19:B28),0)</f>
        <v>0.59130501769914301</v>
      </c>
      <c r="C42">
        <f t="shared" ref="C42:F42" si="13">+IFERROR(C22/MAX(C19:C28),0)</f>
        <v>0.26566132653672025</v>
      </c>
      <c r="D42">
        <f t="shared" si="13"/>
        <v>0.67692233204788965</v>
      </c>
      <c r="E42">
        <f t="shared" si="13"/>
        <v>0.62033357584694171</v>
      </c>
      <c r="F42">
        <f t="shared" si="13"/>
        <v>0.54421408650770653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 s="60"/>
      <c r="V42" s="48"/>
      <c r="W42" s="48"/>
      <c r="X42"/>
      <c r="Y42" s="61"/>
      <c r="Z42"/>
      <c r="AA42" s="62"/>
      <c r="AE42" s="30">
        <f>+B61*C61*D61*E61*F61</f>
        <v>0</v>
      </c>
      <c r="AF42" s="48">
        <f t="shared" si="7"/>
        <v>0</v>
      </c>
      <c r="AG42"/>
      <c r="AH42"/>
      <c r="AI42"/>
      <c r="AJ42"/>
      <c r="AK42"/>
      <c r="AL42"/>
      <c r="AM42"/>
      <c r="AN42"/>
      <c r="AO42"/>
      <c r="AP42"/>
      <c r="AQ42"/>
      <c r="AR42"/>
    </row>
    <row r="43" spans="1:44" s="30" customFormat="1" x14ac:dyDescent="0.25">
      <c r="A43" t="s">
        <v>33</v>
      </c>
      <c r="B43">
        <f>+PRODUCT(B42,AA20)</f>
        <v>2.9565250884957148</v>
      </c>
      <c r="C43">
        <f t="shared" ref="C43:F43" si="14">+PRODUCT(C42,AB20)</f>
        <v>0.26566132653672025</v>
      </c>
      <c r="D43">
        <f t="shared" si="14"/>
        <v>0.67692233204788965</v>
      </c>
      <c r="E43">
        <f t="shared" si="14"/>
        <v>1.8610007275408251</v>
      </c>
      <c r="F43">
        <f t="shared" si="14"/>
        <v>1.6326422595231196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 s="48"/>
      <c r="W43"/>
      <c r="X43"/>
      <c r="Y43"/>
      <c r="Z43"/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1:44" s="30" customFormat="1" x14ac:dyDescent="0.25">
      <c r="A44"/>
      <c r="B44" s="49" t="s">
        <v>49</v>
      </c>
      <c r="C44" s="49" t="s">
        <v>50</v>
      </c>
      <c r="D44" s="49" t="s">
        <v>51</v>
      </c>
      <c r="E44" s="49" t="s">
        <v>52</v>
      </c>
      <c r="F44" s="49" t="s">
        <v>53</v>
      </c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/>
      <c r="U44"/>
      <c r="V44" s="3" t="s">
        <v>54</v>
      </c>
      <c r="W44" s="40">
        <f>+AVERAGE(W33:W42)</f>
        <v>86.250212323095496</v>
      </c>
      <c r="X44" s="40"/>
      <c r="Y44"/>
      <c r="Z44"/>
      <c r="AF44"/>
      <c r="AG44"/>
      <c r="AH44"/>
      <c r="AI44"/>
      <c r="AJ44"/>
      <c r="AK44"/>
      <c r="AL44"/>
      <c r="AM44"/>
      <c r="AN44"/>
      <c r="AO44"/>
      <c r="AP44"/>
      <c r="AQ44"/>
      <c r="AR44"/>
    </row>
    <row r="45" spans="1:44" s="30" customFormat="1" x14ac:dyDescent="0.25">
      <c r="A45"/>
      <c r="B45">
        <f>+IFERROR(B23/MAX(B19:B28),0)</f>
        <v>0.42427831667502153</v>
      </c>
      <c r="C45">
        <f t="shared" ref="C45:F45" si="15">+IFERROR(C23/MAX(C19:C28),0)</f>
        <v>1</v>
      </c>
      <c r="D45">
        <f t="shared" si="15"/>
        <v>0.53458277222614414</v>
      </c>
      <c r="E45">
        <f t="shared" si="15"/>
        <v>0.25716199432879872</v>
      </c>
      <c r="F45">
        <f t="shared" si="15"/>
        <v>0.54188384489157659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 s="3" t="s">
        <v>55</v>
      </c>
      <c r="W45" s="40">
        <f>+_xlfn.STDEV.P(V33:V42)</f>
        <v>0.73435603146024064</v>
      </c>
      <c r="X45" s="40"/>
      <c r="Y45"/>
      <c r="Z45"/>
      <c r="AF45"/>
      <c r="AG45"/>
      <c r="AH45"/>
      <c r="AI45"/>
      <c r="AJ45"/>
      <c r="AK45"/>
      <c r="AL45"/>
      <c r="AM45"/>
      <c r="AN45"/>
      <c r="AO45"/>
      <c r="AP45"/>
      <c r="AQ45"/>
      <c r="AR45"/>
    </row>
    <row r="46" spans="1:44" s="30" customFormat="1" x14ac:dyDescent="0.25">
      <c r="A46" t="s">
        <v>33</v>
      </c>
      <c r="B46">
        <f>+PRODUCT(B45,AA20)</f>
        <v>2.1213915833751078</v>
      </c>
      <c r="C46">
        <f t="shared" ref="C46:F46" si="16">+PRODUCT(C45,AB20)</f>
        <v>1</v>
      </c>
      <c r="D46">
        <f t="shared" si="16"/>
        <v>0.53458277222614414</v>
      </c>
      <c r="E46">
        <f t="shared" si="16"/>
        <v>0.77148598298639615</v>
      </c>
      <c r="F46">
        <f t="shared" si="16"/>
        <v>1.6256515346747298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 s="3" t="s">
        <v>56</v>
      </c>
      <c r="W46" s="40">
        <f>+_xlfn.VAR.P(V33:V42)</f>
        <v>0.53927878094203396</v>
      </c>
      <c r="X46" s="40"/>
      <c r="Y46"/>
      <c r="Z46"/>
      <c r="AF46"/>
      <c r="AG46"/>
      <c r="AH46"/>
      <c r="AI46"/>
      <c r="AJ46"/>
      <c r="AK46"/>
      <c r="AL46"/>
      <c r="AM46"/>
      <c r="AN46"/>
      <c r="AO46"/>
      <c r="AP46"/>
      <c r="AQ46"/>
      <c r="AR46"/>
    </row>
    <row r="47" spans="1:44" s="30" customFormat="1" x14ac:dyDescent="0.25">
      <c r="A47"/>
      <c r="B47" s="49" t="s">
        <v>57</v>
      </c>
      <c r="C47" s="49" t="s">
        <v>58</v>
      </c>
      <c r="D47" s="49" t="s">
        <v>59</v>
      </c>
      <c r="E47" s="49" t="s">
        <v>60</v>
      </c>
      <c r="F47" s="49" t="s">
        <v>61</v>
      </c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/>
      <c r="U47"/>
      <c r="V47" s="48"/>
      <c r="W47"/>
      <c r="X47"/>
      <c r="Y47"/>
      <c r="Z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1:44" s="30" customFormat="1" x14ac:dyDescent="0.25">
      <c r="A48"/>
      <c r="B48">
        <f>+IFERROR(B24/MAX(B19:B28),0)</f>
        <v>0.69961545283866788</v>
      </c>
      <c r="C48">
        <f t="shared" ref="C48:F48" si="17">+IFERROR(C24/MAX(C19:C28),0)</f>
        <v>0.69157539913087218</v>
      </c>
      <c r="D48">
        <f t="shared" si="17"/>
        <v>0.46435370487112015</v>
      </c>
      <c r="E48">
        <f t="shared" si="17"/>
        <v>0.20000000000000004</v>
      </c>
      <c r="F48">
        <f t="shared" si="17"/>
        <v>0.5728799082217011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 s="48"/>
      <c r="W48"/>
      <c r="X48"/>
      <c r="Y48"/>
      <c r="Z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1:22" x14ac:dyDescent="0.25">
      <c r="A49" t="s">
        <v>33</v>
      </c>
      <c r="B49">
        <f>+PRODUCT(B48,AA20)</f>
        <v>3.4980772641933395</v>
      </c>
      <c r="C49">
        <f t="shared" ref="C49:F49" si="18">+PRODUCT(C48,AB20)</f>
        <v>0.69157539913087218</v>
      </c>
      <c r="D49">
        <f t="shared" si="18"/>
        <v>0.46435370487112015</v>
      </c>
      <c r="E49">
        <f t="shared" si="18"/>
        <v>0.60000000000000009</v>
      </c>
      <c r="F49">
        <f t="shared" si="18"/>
        <v>1.7186397246651033</v>
      </c>
      <c r="V49" s="48"/>
    </row>
    <row r="50" spans="1:22" x14ac:dyDescent="0.25">
      <c r="B50" s="49" t="s">
        <v>62</v>
      </c>
      <c r="C50" s="49" t="s">
        <v>63</v>
      </c>
      <c r="D50" s="49" t="s">
        <v>64</v>
      </c>
      <c r="E50" s="49" t="s">
        <v>65</v>
      </c>
      <c r="F50" s="49" t="s">
        <v>66</v>
      </c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U50" s="85"/>
      <c r="V50" s="48"/>
    </row>
    <row r="51" spans="1:22" x14ac:dyDescent="0.25">
      <c r="B51">
        <f>+IFERROR(B25/MAX(B19:B28),0)</f>
        <v>0.32958616276086328</v>
      </c>
      <c r="C51">
        <f t="shared" ref="C51:F51" si="19">+IFERROR(C25/MAX(C19:C28),0)</f>
        <v>0.45854776444357687</v>
      </c>
      <c r="D51">
        <f t="shared" si="19"/>
        <v>0.61497155694066241</v>
      </c>
      <c r="E51">
        <f t="shared" si="19"/>
        <v>0.27365023560265389</v>
      </c>
      <c r="F51">
        <f t="shared" si="19"/>
        <v>1</v>
      </c>
      <c r="U51" s="85"/>
      <c r="V51" s="48"/>
    </row>
    <row r="52" spans="1:22" x14ac:dyDescent="0.25">
      <c r="A52" t="s">
        <v>33</v>
      </c>
      <c r="B52">
        <f>+PRODUCT(B51,AA20)</f>
        <v>1.6479308138043165</v>
      </c>
      <c r="C52">
        <f t="shared" ref="C52:F52" si="20">+PRODUCT(C51,AB20)</f>
        <v>0.45854776444357687</v>
      </c>
      <c r="D52">
        <f t="shared" si="20"/>
        <v>0.61497155694066241</v>
      </c>
      <c r="E52">
        <f t="shared" si="20"/>
        <v>0.82095070680796167</v>
      </c>
      <c r="F52">
        <f t="shared" si="20"/>
        <v>3</v>
      </c>
      <c r="U52" s="85"/>
      <c r="V52" s="48"/>
    </row>
    <row r="53" spans="1:22" x14ac:dyDescent="0.25">
      <c r="B53" s="49"/>
      <c r="C53" s="49"/>
      <c r="D53" s="49"/>
      <c r="E53" s="49"/>
      <c r="F53" s="4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U53" s="60"/>
      <c r="V53" s="48"/>
    </row>
    <row r="54" spans="1:22" x14ac:dyDescent="0.25">
      <c r="U54" s="60"/>
      <c r="V54" s="48"/>
    </row>
    <row r="55" spans="1:22" x14ac:dyDescent="0.25">
      <c r="U55" s="60"/>
      <c r="V55" s="48"/>
    </row>
    <row r="56" spans="1:22" x14ac:dyDescent="0.25">
      <c r="B56" s="49"/>
      <c r="C56" s="49"/>
      <c r="D56" s="49"/>
      <c r="E56" s="49"/>
      <c r="F56" s="49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U56" s="60"/>
      <c r="V56" s="48"/>
    </row>
    <row r="57" spans="1:22" x14ac:dyDescent="0.25">
      <c r="U57" s="60"/>
      <c r="V57" s="48"/>
    </row>
    <row r="58" spans="1:22" x14ac:dyDescent="0.25">
      <c r="U58" s="60"/>
      <c r="V58" s="48"/>
    </row>
    <row r="59" spans="1:22" x14ac:dyDescent="0.25">
      <c r="B59" s="49"/>
      <c r="C59" s="49"/>
      <c r="D59" s="49"/>
      <c r="E59" s="49"/>
      <c r="F59" s="49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U59" s="60"/>
      <c r="V59" s="48"/>
    </row>
    <row r="60" spans="1:22" x14ac:dyDescent="0.25">
      <c r="U60" s="60"/>
      <c r="V60" s="48"/>
    </row>
    <row r="61" spans="1:22" x14ac:dyDescent="0.25">
      <c r="U61" s="60"/>
      <c r="V61" s="48"/>
    </row>
    <row r="62" spans="1:22" x14ac:dyDescent="0.25">
      <c r="U62" s="60"/>
      <c r="V62" s="48"/>
    </row>
    <row r="63" spans="1:22" x14ac:dyDescent="0.25">
      <c r="V63" s="48"/>
    </row>
    <row r="64" spans="1:22" x14ac:dyDescent="0.25">
      <c r="V64" s="48"/>
    </row>
    <row r="65" spans="22:22" x14ac:dyDescent="0.25">
      <c r="V65" s="48"/>
    </row>
    <row r="66" spans="22:22" x14ac:dyDescent="0.25">
      <c r="V66" s="48"/>
    </row>
    <row r="67" spans="22:22" x14ac:dyDescent="0.25">
      <c r="V67" s="48"/>
    </row>
    <row r="68" spans="22:22" x14ac:dyDescent="0.25">
      <c r="V68" s="48"/>
    </row>
    <row r="69" spans="22:22" x14ac:dyDescent="0.25">
      <c r="V69" s="48"/>
    </row>
  </sheetData>
  <mergeCells count="3">
    <mergeCell ref="A1:U1"/>
    <mergeCell ref="U30:U32"/>
    <mergeCell ref="AA32:AD32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205BA-1128-4FC2-996C-E4CB295A0AA1}">
  <dimension ref="A1:AR69"/>
  <sheetViews>
    <sheetView topLeftCell="F1" zoomScale="85" zoomScaleNormal="85" workbookViewId="0">
      <selection activeCell="AA18" activeCellId="2" sqref="B18:F18 B2:F2 AA18:AE18"/>
    </sheetView>
  </sheetViews>
  <sheetFormatPr defaultRowHeight="15" x14ac:dyDescent="0.25"/>
  <cols>
    <col min="1" max="1" width="48.5703125" customWidth="1"/>
    <col min="2" max="5" width="8.7109375" customWidth="1"/>
    <col min="6" max="8" width="12.42578125" customWidth="1"/>
    <col min="9" max="9" width="15.140625" customWidth="1"/>
    <col min="21" max="21" width="26.28515625" customWidth="1"/>
    <col min="22" max="22" width="18.28515625" customWidth="1"/>
    <col min="27" max="31" width="13.42578125" style="30" customWidth="1"/>
    <col min="32" max="44" width="10.5703125" bestFit="1" customWidth="1"/>
  </cols>
  <sheetData>
    <row r="1" spans="1:44" ht="15.75" thickBot="1" x14ac:dyDescent="0.3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spans="1:44" ht="18" customHeight="1" thickBot="1" x14ac:dyDescent="0.3">
      <c r="B2" s="65" t="s">
        <v>102</v>
      </c>
      <c r="C2" s="66" t="s">
        <v>103</v>
      </c>
      <c r="D2" s="67" t="s">
        <v>104</v>
      </c>
      <c r="E2" s="68" t="s">
        <v>105</v>
      </c>
      <c r="F2" s="69" t="s">
        <v>106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44" ht="31.5" customHeight="1" x14ac:dyDescent="0.25">
      <c r="A3" s="46" t="s">
        <v>16</v>
      </c>
    </row>
    <row r="4" spans="1:44" ht="18" customHeight="1" x14ac:dyDescent="0.25">
      <c r="A4" s="14" t="s">
        <v>95</v>
      </c>
      <c r="B4" s="47">
        <f>+AHP_nivel_0!D55</f>
        <v>0.70530612173036678</v>
      </c>
      <c r="C4" s="47">
        <f>+AHP_nivel_0!E55</f>
        <v>0.11755102028839447</v>
      </c>
      <c r="D4" s="47">
        <f>+AHP_nivel_0!F55</f>
        <v>0.23510204057678893</v>
      </c>
      <c r="E4" s="47">
        <f>+AHP_nivel_0!G55</f>
        <v>0.31346938743571856</v>
      </c>
      <c r="F4" s="47">
        <f>+AHP_nivel_0!H55</f>
        <v>6.7172011593368261E-2</v>
      </c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U4" s="48"/>
    </row>
    <row r="5" spans="1:44" ht="18" customHeight="1" x14ac:dyDescent="0.25">
      <c r="A5" s="14" t="s">
        <v>96</v>
      </c>
      <c r="B5" s="47">
        <f>+AHP_nivel_0!D56</f>
        <v>0.15662156023616103</v>
      </c>
      <c r="C5" s="47">
        <f>+AHP_nivel_0!E56</f>
        <v>0.15662156023616103</v>
      </c>
      <c r="D5" s="47">
        <f>+AHP_nivel_0!F56</f>
        <v>0.71598427536530773</v>
      </c>
      <c r="E5" s="47">
        <f>+AHP_nivel_0!G56</f>
        <v>0.17899606884132688</v>
      </c>
      <c r="F5" s="47">
        <f>+AHP_nivel_0!H56</f>
        <v>0.3281594595424327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</row>
    <row r="6" spans="1:44" ht="18" customHeight="1" x14ac:dyDescent="0.25">
      <c r="A6" s="14" t="s">
        <v>97</v>
      </c>
      <c r="B6" s="47">
        <f>+AHP_nivel_0!D57</f>
        <v>0.2312024024553089</v>
      </c>
      <c r="C6" s="47">
        <f>+AHP_nivel_0!E57</f>
        <v>7.7067467485102972E-2</v>
      </c>
      <c r="D6" s="47">
        <f>+AHP_nivel_0!F57</f>
        <v>0.20037541546126772</v>
      </c>
      <c r="E6" s="47">
        <f>+AHP_nivel_0!G57</f>
        <v>0.7398476878569884</v>
      </c>
      <c r="F6" s="47">
        <f>+AHP_nivel_0!H57</f>
        <v>0.30826986994041189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</row>
    <row r="7" spans="1:44" ht="18" customHeight="1" x14ac:dyDescent="0.25">
      <c r="A7" s="14" t="s">
        <v>98</v>
      </c>
      <c r="B7" s="47">
        <f>+AHP_nivel_0!D58</f>
        <v>0.36899208854223386</v>
      </c>
      <c r="C7" s="47">
        <f>+AHP_nivel_0!E58</f>
        <v>7.7682544956259744E-2</v>
      </c>
      <c r="D7" s="47">
        <f>+AHP_nivel_0!F58</f>
        <v>0.44667463349849357</v>
      </c>
      <c r="E7" s="47">
        <f>+AHP_nivel_0!G58</f>
        <v>0.41430690643338536</v>
      </c>
      <c r="F7" s="47">
        <f>+AHP_nivel_0!H58</f>
        <v>0.23304763486877927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</row>
    <row r="8" spans="1:44" ht="18" customHeight="1" x14ac:dyDescent="0.25">
      <c r="A8" s="14" t="s">
        <v>99</v>
      </c>
      <c r="B8" s="47">
        <f>+AHP_nivel_0!D59</f>
        <v>0.23154625263965548</v>
      </c>
      <c r="C8" s="47">
        <f>+AHP_nivel_0!E59</f>
        <v>0.61745667370574797</v>
      </c>
      <c r="D8" s="47">
        <f>+AHP_nivel_0!F59</f>
        <v>0.32802385790617861</v>
      </c>
      <c r="E8" s="47">
        <f>+AHP_nivel_0!G59</f>
        <v>0.10290944561762465</v>
      </c>
      <c r="F8" s="47">
        <f>+AHP_nivel_0!H59</f>
        <v>0.23154625263965548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</row>
    <row r="9" spans="1:44" ht="18" customHeight="1" x14ac:dyDescent="0.25">
      <c r="A9" s="14" t="s">
        <v>100</v>
      </c>
      <c r="B9" s="47">
        <f>+AHP_nivel_0!D60</f>
        <v>0.45812046264916229</v>
      </c>
      <c r="C9" s="47">
        <f>+AHP_nivel_0!E60</f>
        <v>0.39074980637722662</v>
      </c>
      <c r="D9" s="47">
        <f>+AHP_nivel_0!F60</f>
        <v>0.26948262508774251</v>
      </c>
      <c r="E9" s="47">
        <f>+AHP_nivel_0!G60</f>
        <v>5.3896525017548498E-2</v>
      </c>
      <c r="F9" s="47">
        <f>+AHP_nivel_0!H60</f>
        <v>0.25151711674855959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</row>
    <row r="10" spans="1:44" ht="18" customHeight="1" x14ac:dyDescent="0.25">
      <c r="A10" s="14" t="s">
        <v>101</v>
      </c>
      <c r="B10" s="47">
        <f>+AHP_nivel_0!D61</f>
        <v>0.15362432657426853</v>
      </c>
      <c r="C10" s="47">
        <f>+AHP_nivel_0!E61</f>
        <v>0.21946332367752647</v>
      </c>
      <c r="D10" s="47">
        <f>+AHP_nivel_0!F61</f>
        <v>0.3950339826195477</v>
      </c>
      <c r="E10" s="47">
        <f>+AHP_nivel_0!G61</f>
        <v>0.11704710596134744</v>
      </c>
      <c r="F10" s="47">
        <f>+AHP_nivel_0!H61</f>
        <v>0.52671197682606341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</row>
    <row r="11" spans="1:44" ht="18" customHeight="1" x14ac:dyDescent="0.25">
      <c r="A11" s="93"/>
      <c r="B11" s="47"/>
      <c r="C11" s="47"/>
      <c r="D11" s="47"/>
      <c r="E11" s="47"/>
      <c r="F11" s="70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AA11" s="30">
        <f>ROUND($AC$26*AA19+$AC$25,0)</f>
        <v>5</v>
      </c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</row>
    <row r="12" spans="1:44" ht="18" customHeight="1" x14ac:dyDescent="0.25">
      <c r="A12" s="93"/>
      <c r="B12" s="47"/>
      <c r="C12" s="47"/>
      <c r="D12" s="47"/>
      <c r="E12" s="47"/>
      <c r="F12" s="70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</row>
    <row r="13" spans="1:44" ht="18" customHeight="1" x14ac:dyDescent="0.25">
      <c r="A13" s="94"/>
      <c r="B13" s="47"/>
      <c r="C13" s="47"/>
      <c r="D13" s="47"/>
      <c r="E13" s="47"/>
      <c r="F13" s="70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</row>
    <row r="15" spans="1:44" x14ac:dyDescent="0.25">
      <c r="AA15" s="30">
        <v>0.25</v>
      </c>
      <c r="AB15" s="30">
        <v>0.25</v>
      </c>
      <c r="AC15" s="30">
        <v>0.25</v>
      </c>
      <c r="AD15" s="30">
        <v>0.25</v>
      </c>
      <c r="AE15" s="30">
        <v>0.25</v>
      </c>
      <c r="AF15" s="30">
        <v>0.25</v>
      </c>
      <c r="AG15" s="30"/>
      <c r="AH15" s="30"/>
      <c r="AI15" s="30"/>
      <c r="AJ15" s="30"/>
      <c r="AK15" s="30"/>
      <c r="AL15" s="30"/>
    </row>
    <row r="17" spans="1:44" ht="15.75" thickBot="1" x14ac:dyDescent="0.3">
      <c r="AA17" s="25">
        <v>0.2112</v>
      </c>
      <c r="AB17" s="25"/>
      <c r="AC17" s="25"/>
      <c r="AD17" s="25"/>
      <c r="AE17" s="25">
        <v>0.19639999999999999</v>
      </c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</row>
    <row r="18" spans="1:44" ht="30.75" thickBot="1" x14ac:dyDescent="0.3">
      <c r="A18" s="84" t="s">
        <v>83</v>
      </c>
      <c r="B18" s="65" t="s">
        <v>102</v>
      </c>
      <c r="C18" s="66" t="s">
        <v>103</v>
      </c>
      <c r="D18" s="67" t="s">
        <v>104</v>
      </c>
      <c r="E18" s="68" t="s">
        <v>105</v>
      </c>
      <c r="F18" s="69" t="s">
        <v>106</v>
      </c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AA18" s="65" t="s">
        <v>102</v>
      </c>
      <c r="AB18" s="66" t="s">
        <v>103</v>
      </c>
      <c r="AC18" s="67" t="s">
        <v>104</v>
      </c>
      <c r="AD18" s="68" t="s">
        <v>105</v>
      </c>
      <c r="AE18" s="69" t="s">
        <v>106</v>
      </c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</row>
    <row r="19" spans="1:44" x14ac:dyDescent="0.25">
      <c r="A19" s="52" t="s">
        <v>95</v>
      </c>
      <c r="B19" s="47">
        <f>IFERROR(+$U$26*B4+$U$24,"")</f>
        <v>4.7985771116203688</v>
      </c>
      <c r="C19" s="47">
        <f t="shared" ref="C19:F25" si="0">IFERROR(+$U$26*C4+$U$24,"")</f>
        <v>1.3711896631670002</v>
      </c>
      <c r="D19" s="47">
        <f t="shared" si="0"/>
        <v>2.0566671528576741</v>
      </c>
      <c r="E19" s="47">
        <f t="shared" si="0"/>
        <v>2.51365214598479</v>
      </c>
      <c r="F19" s="70">
        <f t="shared" si="0"/>
        <v>1.0774135961567115</v>
      </c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48"/>
      <c r="U19" t="s">
        <v>18</v>
      </c>
      <c r="Z19" s="53" t="s">
        <v>19</v>
      </c>
      <c r="AA19" s="26">
        <v>0.2</v>
      </c>
      <c r="AB19" s="27">
        <v>0.2</v>
      </c>
      <c r="AC19" s="28">
        <v>0.2</v>
      </c>
      <c r="AD19" s="29">
        <v>0.19989999999999999</v>
      </c>
      <c r="AE19" s="29">
        <v>0.2</v>
      </c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</row>
    <row r="20" spans="1:44" x14ac:dyDescent="0.25">
      <c r="A20" s="52" t="s">
        <v>96</v>
      </c>
      <c r="B20" s="47">
        <f>IFERROR(+$U$26*B5+$U$24,"")</f>
        <v>1.5990224423172661</v>
      </c>
      <c r="C20" s="47">
        <f t="shared" si="0"/>
        <v>1.5990224423172661</v>
      </c>
      <c r="D20" s="47">
        <f t="shared" si="0"/>
        <v>4.8608448310349086</v>
      </c>
      <c r="E20" s="47">
        <f t="shared" si="0"/>
        <v>1.7294953378659719</v>
      </c>
      <c r="F20" s="70">
        <f t="shared" si="0"/>
        <v>2.59931464152401</v>
      </c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48"/>
      <c r="U20" t="s">
        <v>20</v>
      </c>
      <c r="AA20" s="54">
        <f>ROUND($AC$26*AA19+$AC$25,0)</f>
        <v>5</v>
      </c>
      <c r="AB20" s="54">
        <f t="shared" ref="AB20:AE20" si="1">ROUND($AC$26*AB19+$AC$25,0)</f>
        <v>5</v>
      </c>
      <c r="AC20" s="54">
        <f t="shared" si="1"/>
        <v>5</v>
      </c>
      <c r="AD20" s="54">
        <f t="shared" si="1"/>
        <v>1</v>
      </c>
      <c r="AE20" s="54">
        <f t="shared" si="1"/>
        <v>5</v>
      </c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</row>
    <row r="21" spans="1:44" x14ac:dyDescent="0.25">
      <c r="A21" s="52" t="s">
        <v>97</v>
      </c>
      <c r="B21" s="47">
        <f t="shared" ref="B21:B25" si="2">IFERROR(+$U$26*B6+$U$24,"")</f>
        <v>2.0339271192649746</v>
      </c>
      <c r="C21" s="47">
        <f t="shared" si="0"/>
        <v>1.1351171554058759</v>
      </c>
      <c r="D21" s="47">
        <f t="shared" si="0"/>
        <v>1.8541651264931549</v>
      </c>
      <c r="E21" s="47">
        <f t="shared" si="0"/>
        <v>4.9999999999999991</v>
      </c>
      <c r="F21" s="70">
        <f t="shared" si="0"/>
        <v>2.4833321011945237</v>
      </c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48"/>
      <c r="Z21" t="s">
        <v>73</v>
      </c>
      <c r="AA21" s="30">
        <f>ROUND($AC$26*AA19+$AC$25,0)</f>
        <v>5</v>
      </c>
      <c r="AB21" s="30">
        <f t="shared" ref="AB21:AE21" si="3">$AC$26*AB19+$AC$25</f>
        <v>5.0000000000009095</v>
      </c>
      <c r="AC21" s="30">
        <f t="shared" si="3"/>
        <v>5.0000000000009095</v>
      </c>
      <c r="AD21" s="30">
        <f t="shared" si="3"/>
        <v>1.0000000000009095</v>
      </c>
      <c r="AE21" s="30">
        <f t="shared" si="3"/>
        <v>5.0000000000009095</v>
      </c>
    </row>
    <row r="22" spans="1:44" x14ac:dyDescent="0.25">
      <c r="A22" s="52" t="s">
        <v>98</v>
      </c>
      <c r="B22" s="47">
        <f t="shared" si="2"/>
        <v>2.8374227239173848</v>
      </c>
      <c r="C22" s="47">
        <f t="shared" si="0"/>
        <v>1.1387038683060229</v>
      </c>
      <c r="D22" s="47">
        <f t="shared" si="0"/>
        <v>3.2904144187470807</v>
      </c>
      <c r="E22" s="47">
        <f t="shared" si="0"/>
        <v>3.1016678792347081</v>
      </c>
      <c r="F22" s="70">
        <f t="shared" si="0"/>
        <v>2.0446872579654158</v>
      </c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48"/>
    </row>
    <row r="23" spans="1:44" x14ac:dyDescent="0.25">
      <c r="A23" s="52" t="s">
        <v>99</v>
      </c>
      <c r="B23" s="47">
        <f t="shared" si="2"/>
        <v>2.0359322193535769</v>
      </c>
      <c r="C23" s="47">
        <f t="shared" si="0"/>
        <v>4.286298962482328</v>
      </c>
      <c r="D23" s="47">
        <f t="shared" si="0"/>
        <v>2.5985239051357647</v>
      </c>
      <c r="E23" s="47">
        <f t="shared" si="0"/>
        <v>1.2858099716439932</v>
      </c>
      <c r="F23" s="70">
        <f t="shared" si="0"/>
        <v>2.0359322193535769</v>
      </c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48"/>
      <c r="W23" t="s">
        <v>21</v>
      </c>
      <c r="X23" s="48">
        <f>+MIN(B4:F13)</f>
        <v>5.3896525017548498E-2</v>
      </c>
      <c r="AB23" s="30" t="s">
        <v>21</v>
      </c>
      <c r="AC23" s="55">
        <f>+ROUND(MIN(AA19:AE19),5)</f>
        <v>0.19989999999999999</v>
      </c>
      <c r="AD23" s="55"/>
      <c r="AE23" s="55"/>
      <c r="AF23" s="55"/>
      <c r="AG23" s="55"/>
    </row>
    <row r="24" spans="1:44" ht="18" customHeight="1" x14ac:dyDescent="0.25">
      <c r="A24" s="52" t="s">
        <v>100</v>
      </c>
      <c r="B24" s="47">
        <f t="shared" si="2"/>
        <v>3.3571586989275515</v>
      </c>
      <c r="C24" s="47">
        <f t="shared" si="0"/>
        <v>2.9642989157729591</v>
      </c>
      <c r="D24" s="47">
        <f t="shared" si="0"/>
        <v>2.2571513060946939</v>
      </c>
      <c r="E24" s="47">
        <f t="shared" si="0"/>
        <v>1</v>
      </c>
      <c r="F24" s="70">
        <f t="shared" si="0"/>
        <v>2.1523886972534689</v>
      </c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48"/>
      <c r="U24" s="56">
        <f>(5*X23-X24)/(X23-X24)</f>
        <v>0.68571217347632651</v>
      </c>
      <c r="W24" t="s">
        <v>22</v>
      </c>
      <c r="X24" s="48">
        <f>+MAX(B4:F13)</f>
        <v>0.7398476878569884</v>
      </c>
      <c r="AB24" s="30" t="s">
        <v>22</v>
      </c>
      <c r="AC24" s="55">
        <f>+ROUND(MAX(AA19:AE19),5)</f>
        <v>0.2</v>
      </c>
      <c r="AD24" s="55"/>
      <c r="AE24" s="55"/>
      <c r="AF24" s="55"/>
      <c r="AG24" s="55"/>
    </row>
    <row r="25" spans="1:44" x14ac:dyDescent="0.25">
      <c r="A25" s="52" t="s">
        <v>101</v>
      </c>
      <c r="B25" s="47">
        <f t="shared" si="2"/>
        <v>1.5815446169310641</v>
      </c>
      <c r="C25" s="47">
        <f t="shared" si="0"/>
        <v>1.9654728069830945</v>
      </c>
      <c r="D25" s="47">
        <f t="shared" si="0"/>
        <v>2.989281313788509</v>
      </c>
      <c r="E25" s="47">
        <f t="shared" si="0"/>
        <v>1.3682511780132693</v>
      </c>
      <c r="F25" s="70">
        <f t="shared" si="0"/>
        <v>3.7571376938925694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48"/>
      <c r="AB25" t="s">
        <v>23</v>
      </c>
      <c r="AC25" s="57">
        <f>(5*AC23-AC24)/(AC23-AC24)</f>
        <v>-7994.9999999986603</v>
      </c>
      <c r="AD25"/>
      <c r="AE25"/>
    </row>
    <row r="26" spans="1:44" x14ac:dyDescent="0.25">
      <c r="A26" s="52"/>
      <c r="B26" s="47"/>
      <c r="C26" s="47"/>
      <c r="D26" s="47"/>
      <c r="E26" s="47"/>
      <c r="F26" s="70"/>
      <c r="G26" s="59"/>
      <c r="H26" s="71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48"/>
      <c r="U26" s="56">
        <f>+-4/(X23-X24)</f>
        <v>5.8313189286571365</v>
      </c>
      <c r="AB26" t="s">
        <v>24</v>
      </c>
      <c r="AC26" s="57">
        <f>+-4/(AC23-AC24)</f>
        <v>39999.999999993306</v>
      </c>
      <c r="AD26"/>
      <c r="AE26"/>
      <c r="AJ26" t="s">
        <v>25</v>
      </c>
    </row>
    <row r="27" spans="1:44" x14ac:dyDescent="0.25">
      <c r="A27" s="52"/>
      <c r="B27" s="47"/>
      <c r="C27" s="47"/>
      <c r="D27" s="47"/>
      <c r="E27" s="47"/>
      <c r="F27" s="70"/>
      <c r="G27" s="59"/>
      <c r="H27" s="71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48"/>
    </row>
    <row r="28" spans="1:44" x14ac:dyDescent="0.25">
      <c r="A28" s="52"/>
      <c r="B28" s="47"/>
      <c r="C28" s="47"/>
      <c r="D28" s="47"/>
      <c r="E28" s="47"/>
      <c r="F28" s="70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48"/>
    </row>
    <row r="29" spans="1:44" x14ac:dyDescent="0.25">
      <c r="A29" s="58"/>
      <c r="B29" s="59"/>
      <c r="C29" s="59"/>
      <c r="D29" s="59"/>
      <c r="E29" s="59"/>
      <c r="F29" s="59"/>
      <c r="T29" s="48"/>
    </row>
    <row r="30" spans="1:44" x14ac:dyDescent="0.25">
      <c r="A30" s="46"/>
      <c r="B30" s="30"/>
      <c r="C30" s="30"/>
      <c r="D30" s="30"/>
      <c r="E30" s="30"/>
      <c r="F30" s="30"/>
      <c r="U30" s="111" t="s">
        <v>26</v>
      </c>
    </row>
    <row r="31" spans="1:44" x14ac:dyDescent="0.25">
      <c r="A31" s="58"/>
      <c r="B31" s="59"/>
      <c r="C31" s="59"/>
      <c r="D31" s="59"/>
      <c r="E31" s="59"/>
      <c r="F31" s="59"/>
      <c r="U31" s="111"/>
    </row>
    <row r="32" spans="1:44" ht="33.75" customHeight="1" x14ac:dyDescent="0.25">
      <c r="A32" s="53" t="s">
        <v>84</v>
      </c>
      <c r="B32" s="49" t="s">
        <v>27</v>
      </c>
      <c r="C32" s="49" t="s">
        <v>28</v>
      </c>
      <c r="D32" s="49" t="s">
        <v>29</v>
      </c>
      <c r="E32" s="49" t="s">
        <v>30</v>
      </c>
      <c r="F32" s="49" t="s">
        <v>31</v>
      </c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U32" s="111"/>
      <c r="W32" t="s">
        <v>32</v>
      </c>
      <c r="AA32" s="112" t="s">
        <v>74</v>
      </c>
      <c r="AB32" s="112"/>
      <c r="AC32" s="112"/>
      <c r="AD32" s="112"/>
    </row>
    <row r="33" spans="1:44" s="30" customFormat="1" x14ac:dyDescent="0.25">
      <c r="A33"/>
      <c r="B33">
        <f>+IFERROR(B19/MAX(B19:B28),0)</f>
        <v>1</v>
      </c>
      <c r="C33">
        <f>+IFERROR(C19/MAX(C19:C28),0)</f>
        <v>0.3199006124325266</v>
      </c>
      <c r="D33">
        <f>+IFERROR(D19/MAX(D19:D28),0)</f>
        <v>0.42310899120385931</v>
      </c>
      <c r="E33">
        <f>+IFERROR(E19/MAX(E19:E28),0)</f>
        <v>0.5027304291969581</v>
      </c>
      <c r="F33">
        <f>+IFERROR(F19/MAX(F19:F28),0)</f>
        <v>0.28676446910851994</v>
      </c>
      <c r="G33"/>
      <c r="H33"/>
      <c r="I33"/>
      <c r="J33"/>
      <c r="K33"/>
      <c r="L33"/>
      <c r="M33"/>
      <c r="N33"/>
      <c r="O33"/>
      <c r="P33"/>
      <c r="Q33"/>
      <c r="R33"/>
      <c r="S33"/>
      <c r="T33">
        <v>1</v>
      </c>
      <c r="U33" s="60" t="s">
        <v>87</v>
      </c>
      <c r="V33" s="48">
        <f>+SUM(B34:S34)</f>
        <v>10.651600792921487</v>
      </c>
      <c r="W33" s="48">
        <f>+V33/MAX($V$33:$V$42)*100</f>
        <v>83.470695054141373</v>
      </c>
      <c r="X33">
        <f>+RANK(W33,$W$33:$W$42)</f>
        <v>6</v>
      </c>
      <c r="Y33" s="61"/>
      <c r="Z33"/>
      <c r="AA33" s="62">
        <v>92.772569717166846</v>
      </c>
      <c r="AB33" s="30">
        <v>2</v>
      </c>
      <c r="AE33" s="30">
        <f>+B34*C34*D34*E34*F34</f>
        <v>12.195731550159989</v>
      </c>
      <c r="AF33" s="48">
        <f>+AE33/MAX($AE$33:$AE$42)*100</f>
        <v>54.356818369161239</v>
      </c>
      <c r="AG33">
        <f>+RANK(AF33,$AF$33:$AF$42)</f>
        <v>7</v>
      </c>
      <c r="AH33"/>
      <c r="AI33"/>
      <c r="AJ33"/>
      <c r="AK33"/>
      <c r="AL33"/>
      <c r="AM33"/>
      <c r="AN33"/>
      <c r="AO33"/>
      <c r="AP33"/>
      <c r="AQ33"/>
      <c r="AR33"/>
    </row>
    <row r="34" spans="1:44" s="30" customFormat="1" x14ac:dyDescent="0.25">
      <c r="A34" t="s">
        <v>33</v>
      </c>
      <c r="B34">
        <f>+PRODUCT(B33,AA20)</f>
        <v>5</v>
      </c>
      <c r="C34">
        <f t="shared" ref="C34:E34" si="4">+PRODUCT(C33,AB20)</f>
        <v>1.5995030621626329</v>
      </c>
      <c r="D34">
        <f t="shared" si="4"/>
        <v>2.1155449560192965</v>
      </c>
      <c r="E34">
        <f t="shared" si="4"/>
        <v>0.5027304291969581</v>
      </c>
      <c r="F34">
        <f>+PRODUCT(F33,AE20)</f>
        <v>1.4338223455425996</v>
      </c>
      <c r="G34"/>
      <c r="H34"/>
      <c r="I34"/>
      <c r="J34"/>
      <c r="K34"/>
      <c r="L34"/>
      <c r="M34"/>
      <c r="N34"/>
      <c r="O34"/>
      <c r="P34"/>
      <c r="Q34"/>
      <c r="R34"/>
      <c r="S34"/>
      <c r="T34">
        <v>2</v>
      </c>
      <c r="U34" s="60" t="s">
        <v>88</v>
      </c>
      <c r="V34" s="48">
        <f>+SUM(B37:S37)</f>
        <v>12.336481787169994</v>
      </c>
      <c r="W34" s="48">
        <f t="shared" ref="W34:W39" si="5">+V34/MAX($V$33:$V$42)*100</f>
        <v>96.674174081152671</v>
      </c>
      <c r="X34">
        <f t="shared" ref="X34:X39" si="6">+RANK(W34,$W$33:$W$42)</f>
        <v>3</v>
      </c>
      <c r="Y34" s="61"/>
      <c r="Z34"/>
      <c r="AA34" s="62">
        <v>70.396477587863828</v>
      </c>
      <c r="AB34" s="30">
        <v>7</v>
      </c>
      <c r="AE34" s="30">
        <f>+B37*C37*D37*E37*F37</f>
        <v>18.592822835684721</v>
      </c>
      <c r="AF34" s="48">
        <f t="shared" ref="AF34:AF39" si="7">+AE34/MAX($AE$33:$AE$42)*100</f>
        <v>82.868886519238742</v>
      </c>
      <c r="AG34">
        <f t="shared" ref="AG34:AG39" si="8">+RANK(AF34,$AF$33:$AF$42)</f>
        <v>3</v>
      </c>
      <c r="AH34"/>
      <c r="AI34"/>
      <c r="AJ34"/>
      <c r="AK34"/>
      <c r="AL34"/>
      <c r="AM34"/>
      <c r="AN34"/>
      <c r="AO34"/>
      <c r="AP34"/>
      <c r="AQ34"/>
      <c r="AR34"/>
    </row>
    <row r="35" spans="1:44" s="30" customFormat="1" x14ac:dyDescent="0.25">
      <c r="A35"/>
      <c r="B35" s="49" t="s">
        <v>34</v>
      </c>
      <c r="C35" s="49" t="s">
        <v>35</v>
      </c>
      <c r="D35" s="49" t="s">
        <v>36</v>
      </c>
      <c r="E35" s="49" t="s">
        <v>37</v>
      </c>
      <c r="F35" s="49" t="s">
        <v>38</v>
      </c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>
        <v>3</v>
      </c>
      <c r="U35" s="60" t="s">
        <v>89</v>
      </c>
      <c r="V35" s="48">
        <f>+SUM(B40:S40)</f>
        <v>9.6554898955310762</v>
      </c>
      <c r="W35" s="48">
        <f t="shared" si="5"/>
        <v>75.664725738107975</v>
      </c>
      <c r="X35">
        <f t="shared" si="6"/>
        <v>7</v>
      </c>
      <c r="Y35" s="61"/>
      <c r="Z35"/>
      <c r="AA35" s="62">
        <v>78.586558556099021</v>
      </c>
      <c r="AB35" s="80">
        <v>5</v>
      </c>
      <c r="AE35" s="30">
        <f>+B40*C40*D40*E40*F40</f>
        <v>17.687868311315377</v>
      </c>
      <c r="AF35" s="48">
        <f t="shared" si="7"/>
        <v>78.835471343512779</v>
      </c>
      <c r="AG35">
        <f t="shared" si="8"/>
        <v>4</v>
      </c>
      <c r="AH35"/>
      <c r="AI35"/>
      <c r="AJ35"/>
      <c r="AK35"/>
      <c r="AL35"/>
      <c r="AM35"/>
      <c r="AN35"/>
      <c r="AO35"/>
      <c r="AP35"/>
      <c r="AQ35"/>
      <c r="AR35"/>
    </row>
    <row r="36" spans="1:44" s="30" customFormat="1" x14ac:dyDescent="0.25">
      <c r="A36"/>
      <c r="B36">
        <f>+IFERROR(B20/MAX(B19:B28),0)</f>
        <v>0.33322845608649876</v>
      </c>
      <c r="C36">
        <f>+IFERROR(C20/MAX(C19:C28),0)</f>
        <v>0.3730543427589621</v>
      </c>
      <c r="D36">
        <f t="shared" ref="D36:F36" si="9">+IFERROR(D20/MAX(D19:D28),0)</f>
        <v>1</v>
      </c>
      <c r="E36">
        <f t="shared" si="9"/>
        <v>0.34589906757319444</v>
      </c>
      <c r="F36">
        <f t="shared" si="9"/>
        <v>0.69183374507389939</v>
      </c>
      <c r="G36"/>
      <c r="H36"/>
      <c r="I36"/>
      <c r="J36"/>
      <c r="K36"/>
      <c r="L36"/>
      <c r="M36"/>
      <c r="N36"/>
      <c r="O36"/>
      <c r="P36"/>
      <c r="Q36"/>
      <c r="R36"/>
      <c r="S36"/>
      <c r="T36">
        <v>4</v>
      </c>
      <c r="U36" s="60" t="s">
        <v>90</v>
      </c>
      <c r="V36" s="48">
        <f>+SUM(B43:S43)</f>
        <v>11.010847389804239</v>
      </c>
      <c r="W36" s="48">
        <f t="shared" si="5"/>
        <v>86.285911632438754</v>
      </c>
      <c r="X36">
        <f t="shared" si="6"/>
        <v>5</v>
      </c>
      <c r="Y36" s="61"/>
      <c r="Z36"/>
      <c r="AA36" s="62">
        <v>67.403529353740197</v>
      </c>
      <c r="AB36" s="30">
        <v>8</v>
      </c>
      <c r="AE36" s="30">
        <f>+B43*C43*D43*E43*F43</f>
        <v>22.436433765003265</v>
      </c>
      <c r="AF36" s="48">
        <f t="shared" si="7"/>
        <v>100</v>
      </c>
      <c r="AG36">
        <f t="shared" si="8"/>
        <v>1</v>
      </c>
      <c r="AH36"/>
      <c r="AI36"/>
      <c r="AJ36"/>
      <c r="AK36"/>
      <c r="AL36"/>
      <c r="AM36"/>
      <c r="AN36"/>
      <c r="AO36"/>
      <c r="AP36"/>
      <c r="AQ36"/>
      <c r="AR36"/>
    </row>
    <row r="37" spans="1:44" s="30" customFormat="1" x14ac:dyDescent="0.25">
      <c r="A37" t="s">
        <v>33</v>
      </c>
      <c r="B37">
        <f>+PRODUCT(B36,AA20)</f>
        <v>1.6661422804324939</v>
      </c>
      <c r="C37">
        <f t="shared" ref="C37:F37" si="10">+PRODUCT(C36,AB20)</f>
        <v>1.8652717137948105</v>
      </c>
      <c r="D37">
        <f t="shared" si="10"/>
        <v>5</v>
      </c>
      <c r="E37">
        <f t="shared" si="10"/>
        <v>0.34589906757319444</v>
      </c>
      <c r="F37">
        <f t="shared" si="10"/>
        <v>3.4591687253694969</v>
      </c>
      <c r="G37"/>
      <c r="H37"/>
      <c r="I37"/>
      <c r="J37"/>
      <c r="K37"/>
      <c r="L37"/>
      <c r="M37"/>
      <c r="N37"/>
      <c r="O37"/>
      <c r="P37"/>
      <c r="Q37"/>
      <c r="R37"/>
      <c r="S37"/>
      <c r="T37">
        <v>5</v>
      </c>
      <c r="U37" s="60" t="s">
        <v>91</v>
      </c>
      <c r="V37" s="48">
        <f>+SUM(B46:S46)</f>
        <v>12.76088666329251</v>
      </c>
      <c r="W37" s="48">
        <f t="shared" si="5"/>
        <v>100</v>
      </c>
      <c r="X37">
        <f t="shared" si="6"/>
        <v>1</v>
      </c>
      <c r="Y37" s="61"/>
      <c r="Z37"/>
      <c r="AA37" s="62">
        <v>81.375193655131156</v>
      </c>
      <c r="AB37" s="30">
        <v>4</v>
      </c>
      <c r="AE37" s="30">
        <f>+B46*C46*D46*E46*F46</f>
        <v>19.754170689406461</v>
      </c>
      <c r="AF37" s="48">
        <f t="shared" si="7"/>
        <v>88.045056074015449</v>
      </c>
      <c r="AG37">
        <f t="shared" si="8"/>
        <v>2</v>
      </c>
      <c r="AH37"/>
      <c r="AI37"/>
      <c r="AJ37"/>
      <c r="AK37"/>
      <c r="AL37"/>
      <c r="AM37"/>
      <c r="AN37"/>
      <c r="AO37"/>
      <c r="AP37"/>
      <c r="AQ37"/>
      <c r="AR37"/>
    </row>
    <row r="38" spans="1:44" s="30" customFormat="1" x14ac:dyDescent="0.25">
      <c r="A38"/>
      <c r="B38" s="49" t="s">
        <v>39</v>
      </c>
      <c r="C38" s="49" t="s">
        <v>40</v>
      </c>
      <c r="D38" s="49" t="s">
        <v>41</v>
      </c>
      <c r="E38" s="49" t="s">
        <v>42</v>
      </c>
      <c r="F38" s="49" t="s">
        <v>43</v>
      </c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>
        <v>6</v>
      </c>
      <c r="U38" s="60" t="s">
        <v>92</v>
      </c>
      <c r="V38" s="48">
        <f>+SUM(B49:S49)</f>
        <v>12.342122325311806</v>
      </c>
      <c r="W38" s="48">
        <f t="shared" si="5"/>
        <v>96.718375854043856</v>
      </c>
      <c r="X38">
        <f t="shared" si="6"/>
        <v>2</v>
      </c>
      <c r="Y38" s="61"/>
      <c r="Z38"/>
      <c r="AA38" s="62">
        <v>60.687508049067965</v>
      </c>
      <c r="AB38" s="30">
        <v>9</v>
      </c>
      <c r="AE38" s="30">
        <f>+B49*C49*D49*E49*F49</f>
        <v>16.088718336183067</v>
      </c>
      <c r="AF38" s="48">
        <f t="shared" si="7"/>
        <v>71.708001836185417</v>
      </c>
      <c r="AG38">
        <f t="shared" si="8"/>
        <v>5</v>
      </c>
      <c r="AH38"/>
      <c r="AI38"/>
      <c r="AJ38"/>
      <c r="AK38"/>
      <c r="AL38"/>
      <c r="AM38"/>
      <c r="AN38"/>
      <c r="AO38"/>
      <c r="AP38"/>
      <c r="AQ38"/>
      <c r="AR38"/>
    </row>
    <row r="39" spans="1:44" s="30" customFormat="1" x14ac:dyDescent="0.25">
      <c r="A39"/>
      <c r="B39">
        <f>+IFERROR(B21/MAX(B19:B28),0)</f>
        <v>0.4238604636235937</v>
      </c>
      <c r="C39">
        <f t="shared" ref="C39:F39" si="11">+IFERROR(C21/MAX(C19:C28),0)</f>
        <v>0.26482454101813152</v>
      </c>
      <c r="D39">
        <f t="shared" si="11"/>
        <v>0.38144914946778702</v>
      </c>
      <c r="E39">
        <f t="shared" si="11"/>
        <v>1</v>
      </c>
      <c r="F39">
        <f t="shared" si="11"/>
        <v>0.66096382499670281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>
        <v>7</v>
      </c>
      <c r="U39" s="60" t="s">
        <v>93</v>
      </c>
      <c r="V39" s="48">
        <f>+SUM(B52:S52)</f>
        <v>12.289177656328167</v>
      </c>
      <c r="W39" s="48">
        <f t="shared" si="5"/>
        <v>96.303477811449866</v>
      </c>
      <c r="X39">
        <f t="shared" si="6"/>
        <v>4</v>
      </c>
      <c r="Y39" s="61"/>
      <c r="Z39"/>
      <c r="AA39" s="62">
        <v>53.155515273814423</v>
      </c>
      <c r="AB39" s="30">
        <v>10</v>
      </c>
      <c r="AE39" s="30">
        <f>+B52*C52*D52*E52*F52</f>
        <v>15.895874452785995</v>
      </c>
      <c r="AF39" s="48">
        <f t="shared" si="7"/>
        <v>70.848489645358228</v>
      </c>
      <c r="AG39">
        <f t="shared" si="8"/>
        <v>6</v>
      </c>
      <c r="AH39"/>
      <c r="AI39"/>
      <c r="AJ39"/>
      <c r="AK39"/>
      <c r="AL39"/>
      <c r="AM39"/>
      <c r="AN39"/>
      <c r="AO39"/>
      <c r="AP39"/>
      <c r="AQ39"/>
      <c r="AR39"/>
    </row>
    <row r="40" spans="1:44" s="30" customFormat="1" x14ac:dyDescent="0.25">
      <c r="A40" t="s">
        <v>33</v>
      </c>
      <c r="B40">
        <f>+PRODUCT(B39,AA20)</f>
        <v>2.1193023181179687</v>
      </c>
      <c r="C40">
        <f t="shared" ref="C40:F40" si="12">+PRODUCT(C39,AB20)</f>
        <v>1.3241227050906577</v>
      </c>
      <c r="D40">
        <f t="shared" si="12"/>
        <v>1.907245747338935</v>
      </c>
      <c r="E40">
        <f t="shared" si="12"/>
        <v>1</v>
      </c>
      <c r="F40">
        <f t="shared" si="12"/>
        <v>3.3048191249835139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 s="60"/>
      <c r="V40" s="48"/>
      <c r="W40" s="48"/>
      <c r="X40"/>
      <c r="Y40" s="61"/>
      <c r="Z40"/>
      <c r="AA40" s="62"/>
      <c r="AB40" s="80">
        <v>6</v>
      </c>
      <c r="AF40" s="48"/>
      <c r="AG40"/>
      <c r="AH40"/>
      <c r="AI40"/>
      <c r="AJ40"/>
      <c r="AK40"/>
      <c r="AL40"/>
      <c r="AM40"/>
      <c r="AN40"/>
      <c r="AO40"/>
      <c r="AP40"/>
      <c r="AQ40"/>
      <c r="AR40"/>
    </row>
    <row r="41" spans="1:44" s="30" customFormat="1" x14ac:dyDescent="0.25">
      <c r="A41"/>
      <c r="B41" s="49" t="s">
        <v>44</v>
      </c>
      <c r="C41" s="49" t="s">
        <v>45</v>
      </c>
      <c r="D41" s="49" t="s">
        <v>46</v>
      </c>
      <c r="E41" s="49" t="s">
        <v>47</v>
      </c>
      <c r="F41" s="49" t="s">
        <v>48</v>
      </c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/>
      <c r="U41" s="60"/>
      <c r="V41" s="48"/>
      <c r="W41" s="48"/>
      <c r="X41"/>
      <c r="Y41" s="61"/>
      <c r="Z41"/>
      <c r="AA41" s="62"/>
      <c r="AB41" s="30">
        <v>1</v>
      </c>
      <c r="AF41" s="48"/>
      <c r="AG41"/>
      <c r="AH41"/>
      <c r="AI41"/>
      <c r="AJ41"/>
      <c r="AK41"/>
      <c r="AL41"/>
      <c r="AM41"/>
      <c r="AN41"/>
      <c r="AO41"/>
      <c r="AP41"/>
      <c r="AQ41"/>
      <c r="AR41"/>
    </row>
    <row r="42" spans="1:44" s="30" customFormat="1" x14ac:dyDescent="0.25">
      <c r="A42"/>
      <c r="B42">
        <f>+IFERROR(B22/MAX(B19:B28),0)</f>
        <v>0.59130501769914301</v>
      </c>
      <c r="C42">
        <f t="shared" ref="C42:F42" si="13">+IFERROR(C22/MAX(C19:C28),0)</f>
        <v>0.26566132653672025</v>
      </c>
      <c r="D42">
        <f t="shared" si="13"/>
        <v>0.67692233204788965</v>
      </c>
      <c r="E42">
        <f t="shared" si="13"/>
        <v>0.62033357584694171</v>
      </c>
      <c r="F42">
        <f t="shared" si="13"/>
        <v>0.54421408650770653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 s="60"/>
      <c r="V42" s="48"/>
      <c r="W42" s="48"/>
      <c r="X42"/>
      <c r="Y42" s="61"/>
      <c r="Z42"/>
      <c r="AA42" s="62"/>
      <c r="AB42" s="30">
        <v>3</v>
      </c>
      <c r="AF42" s="48"/>
      <c r="AG42"/>
      <c r="AH42"/>
      <c r="AI42"/>
      <c r="AJ42"/>
      <c r="AK42"/>
      <c r="AL42"/>
      <c r="AM42"/>
      <c r="AN42"/>
      <c r="AO42"/>
      <c r="AP42"/>
      <c r="AQ42"/>
      <c r="AR42"/>
    </row>
    <row r="43" spans="1:44" s="30" customFormat="1" x14ac:dyDescent="0.25">
      <c r="A43" t="s">
        <v>33</v>
      </c>
      <c r="B43">
        <f>+PRODUCT(B42,AA20)</f>
        <v>2.9565250884957148</v>
      </c>
      <c r="C43">
        <f t="shared" ref="C43:F43" si="14">+PRODUCT(C42,AB20)</f>
        <v>1.3283066326836013</v>
      </c>
      <c r="D43">
        <f t="shared" si="14"/>
        <v>3.3846116602394485</v>
      </c>
      <c r="E43">
        <f t="shared" si="14"/>
        <v>0.62033357584694171</v>
      </c>
      <c r="F43">
        <f t="shared" si="14"/>
        <v>2.7210704325385326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 s="48"/>
      <c r="W43"/>
      <c r="X43"/>
      <c r="Y43"/>
      <c r="Z43"/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1:44" s="30" customFormat="1" x14ac:dyDescent="0.25">
      <c r="A44"/>
      <c r="B44" s="49" t="s">
        <v>49</v>
      </c>
      <c r="C44" s="49" t="s">
        <v>50</v>
      </c>
      <c r="D44" s="49" t="s">
        <v>51</v>
      </c>
      <c r="E44" s="49" t="s">
        <v>52</v>
      </c>
      <c r="F44" s="49" t="s">
        <v>53</v>
      </c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/>
      <c r="U44"/>
      <c r="V44" s="3" t="s">
        <v>54</v>
      </c>
      <c r="W44" s="40">
        <f>+AVERAGE(W33:W42)</f>
        <v>90.731051453047783</v>
      </c>
      <c r="X44" s="40"/>
      <c r="Y44"/>
      <c r="Z44"/>
      <c r="AF44"/>
      <c r="AG44"/>
      <c r="AH44"/>
      <c r="AI44"/>
      <c r="AJ44"/>
      <c r="AK44"/>
      <c r="AL44"/>
      <c r="AM44"/>
      <c r="AN44"/>
      <c r="AO44"/>
      <c r="AP44"/>
      <c r="AQ44"/>
      <c r="AR44"/>
    </row>
    <row r="45" spans="1:44" s="30" customFormat="1" x14ac:dyDescent="0.25">
      <c r="A45"/>
      <c r="B45">
        <f>+IFERROR(B23/MAX(B19:B28),0)</f>
        <v>0.42427831667502153</v>
      </c>
      <c r="C45">
        <f t="shared" ref="C45:F45" si="15">+IFERROR(C23/MAX(C19:C28),0)</f>
        <v>1</v>
      </c>
      <c r="D45">
        <f t="shared" si="15"/>
        <v>0.53458277222614414</v>
      </c>
      <c r="E45">
        <f t="shared" si="15"/>
        <v>0.25716199432879872</v>
      </c>
      <c r="F45">
        <f t="shared" si="15"/>
        <v>0.54188384489157659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 s="3" t="s">
        <v>55</v>
      </c>
      <c r="W45" s="40">
        <f>+_xlfn.STDEV.P(V33:V42)</f>
        <v>1.0650348545554882</v>
      </c>
      <c r="X45" s="40"/>
      <c r="Y45"/>
      <c r="Z45"/>
      <c r="AF45"/>
      <c r="AG45"/>
      <c r="AH45"/>
      <c r="AI45"/>
      <c r="AJ45"/>
      <c r="AK45"/>
      <c r="AL45"/>
      <c r="AM45"/>
      <c r="AN45"/>
      <c r="AO45"/>
      <c r="AP45"/>
      <c r="AQ45"/>
      <c r="AR45"/>
    </row>
    <row r="46" spans="1:44" s="30" customFormat="1" x14ac:dyDescent="0.25">
      <c r="A46" t="s">
        <v>33</v>
      </c>
      <c r="B46">
        <f>+PRODUCT(B45,AA20)</f>
        <v>2.1213915833751078</v>
      </c>
      <c r="C46">
        <f t="shared" ref="C46:F46" si="16">+PRODUCT(C45,AB20)</f>
        <v>5</v>
      </c>
      <c r="D46">
        <f t="shared" si="16"/>
        <v>2.6729138611307208</v>
      </c>
      <c r="E46">
        <f t="shared" si="16"/>
        <v>0.25716199432879872</v>
      </c>
      <c r="F46">
        <f t="shared" si="16"/>
        <v>2.709419224457883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 s="3" t="s">
        <v>56</v>
      </c>
      <c r="W46" s="40">
        <f>+_xlfn.VAR.P(V33:V42)</f>
        <v>1.13429924141803</v>
      </c>
      <c r="X46" s="40"/>
      <c r="Y46"/>
      <c r="Z46"/>
      <c r="AF46"/>
      <c r="AG46"/>
      <c r="AH46"/>
      <c r="AI46"/>
      <c r="AJ46"/>
      <c r="AK46"/>
      <c r="AL46"/>
      <c r="AM46"/>
      <c r="AN46"/>
      <c r="AO46"/>
      <c r="AP46"/>
      <c r="AQ46"/>
      <c r="AR46"/>
    </row>
    <row r="47" spans="1:44" s="30" customFormat="1" x14ac:dyDescent="0.25">
      <c r="A47"/>
      <c r="B47" s="49" t="s">
        <v>57</v>
      </c>
      <c r="C47" s="49" t="s">
        <v>58</v>
      </c>
      <c r="D47" s="49" t="s">
        <v>59</v>
      </c>
      <c r="E47" s="49" t="s">
        <v>60</v>
      </c>
      <c r="F47" s="49" t="s">
        <v>61</v>
      </c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/>
      <c r="U47"/>
      <c r="V47" s="48"/>
      <c r="W47"/>
      <c r="X47"/>
      <c r="Y47"/>
      <c r="Z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1:44" s="30" customFormat="1" x14ac:dyDescent="0.25">
      <c r="A48"/>
      <c r="B48">
        <f>+IFERROR(B24/MAX(B19:B28),0)</f>
        <v>0.69961545283866788</v>
      </c>
      <c r="C48">
        <f t="shared" ref="C48:F48" si="17">+IFERROR(C24/MAX(C19:C28),0)</f>
        <v>0.69157539913087218</v>
      </c>
      <c r="D48">
        <f t="shared" si="17"/>
        <v>0.46435370487112015</v>
      </c>
      <c r="E48">
        <f t="shared" si="17"/>
        <v>0.20000000000000004</v>
      </c>
      <c r="F48">
        <f t="shared" si="17"/>
        <v>0.5728799082217011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 s="48"/>
      <c r="W48"/>
      <c r="X48"/>
      <c r="Y48"/>
      <c r="Z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1:22" x14ac:dyDescent="0.25">
      <c r="A49" t="s">
        <v>33</v>
      </c>
      <c r="B49">
        <f>+PRODUCT(B48,AA20)</f>
        <v>3.4980772641933395</v>
      </c>
      <c r="C49">
        <f t="shared" ref="C49:F49" si="18">+PRODUCT(C48,AB20)</f>
        <v>3.4578769956543609</v>
      </c>
      <c r="D49">
        <f t="shared" si="18"/>
        <v>2.3217685243556008</v>
      </c>
      <c r="E49">
        <f t="shared" si="18"/>
        <v>0.20000000000000004</v>
      </c>
      <c r="F49">
        <f t="shared" si="18"/>
        <v>2.8643995411085053</v>
      </c>
      <c r="V49" s="48"/>
    </row>
    <row r="50" spans="1:22" x14ac:dyDescent="0.25">
      <c r="B50" s="49" t="s">
        <v>62</v>
      </c>
      <c r="C50" s="49" t="s">
        <v>63</v>
      </c>
      <c r="D50" s="49" t="s">
        <v>64</v>
      </c>
      <c r="E50" s="49" t="s">
        <v>65</v>
      </c>
      <c r="F50" s="49" t="s">
        <v>66</v>
      </c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U50" s="85"/>
      <c r="V50" s="48"/>
    </row>
    <row r="51" spans="1:22" x14ac:dyDescent="0.25">
      <c r="B51">
        <f>+IFERROR(B25/MAX(B19:B28),0)</f>
        <v>0.32958616276086328</v>
      </c>
      <c r="C51">
        <f t="shared" ref="C51:F51" si="19">+IFERROR(C25/MAX(C19:C28),0)</f>
        <v>0.45854776444357687</v>
      </c>
      <c r="D51">
        <f t="shared" si="19"/>
        <v>0.61497155694066241</v>
      </c>
      <c r="E51">
        <f t="shared" si="19"/>
        <v>0.27365023560265389</v>
      </c>
      <c r="F51">
        <f t="shared" si="19"/>
        <v>1</v>
      </c>
      <c r="U51" s="85"/>
      <c r="V51" s="48"/>
    </row>
    <row r="52" spans="1:22" x14ac:dyDescent="0.25">
      <c r="A52" t="s">
        <v>33</v>
      </c>
      <c r="B52">
        <f>+PRODUCT(B51,AA20)</f>
        <v>1.6479308138043165</v>
      </c>
      <c r="C52">
        <f t="shared" ref="C52:F52" si="20">+PRODUCT(C51,AB20)</f>
        <v>2.2927388222178844</v>
      </c>
      <c r="D52">
        <f t="shared" si="20"/>
        <v>3.0748577847033118</v>
      </c>
      <c r="E52">
        <f t="shared" si="20"/>
        <v>0.27365023560265389</v>
      </c>
      <c r="F52">
        <f t="shared" si="20"/>
        <v>5</v>
      </c>
      <c r="U52" s="85"/>
      <c r="V52" s="48"/>
    </row>
    <row r="53" spans="1:22" x14ac:dyDescent="0.25">
      <c r="B53" s="49"/>
      <c r="C53" s="49"/>
      <c r="D53" s="49"/>
      <c r="E53" s="49"/>
      <c r="F53" s="4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U53" s="60"/>
      <c r="V53" s="48"/>
    </row>
    <row r="54" spans="1:22" x14ac:dyDescent="0.25">
      <c r="U54" s="60"/>
      <c r="V54" s="48"/>
    </row>
    <row r="55" spans="1:22" x14ac:dyDescent="0.25">
      <c r="U55" s="60"/>
      <c r="V55" s="48"/>
    </row>
    <row r="56" spans="1:22" x14ac:dyDescent="0.25">
      <c r="B56" s="49"/>
      <c r="C56" s="49"/>
      <c r="D56" s="49"/>
      <c r="E56" s="49"/>
      <c r="F56" s="49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U56" s="60"/>
      <c r="V56" s="48"/>
    </row>
    <row r="57" spans="1:22" x14ac:dyDescent="0.25">
      <c r="U57" s="60"/>
      <c r="V57" s="48"/>
    </row>
    <row r="58" spans="1:22" x14ac:dyDescent="0.25">
      <c r="U58" s="60"/>
      <c r="V58" s="48"/>
    </row>
    <row r="59" spans="1:22" x14ac:dyDescent="0.25">
      <c r="B59" s="49"/>
      <c r="C59" s="49"/>
      <c r="D59" s="49"/>
      <c r="E59" s="49"/>
      <c r="F59" s="49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U59" s="60"/>
      <c r="V59" s="48"/>
    </row>
    <row r="60" spans="1:22" x14ac:dyDescent="0.25">
      <c r="U60" s="60"/>
      <c r="V60" s="48"/>
    </row>
    <row r="61" spans="1:22" x14ac:dyDescent="0.25">
      <c r="U61" s="60"/>
      <c r="V61" s="48"/>
    </row>
    <row r="62" spans="1:22" x14ac:dyDescent="0.25">
      <c r="U62" s="60"/>
      <c r="V62" s="48"/>
    </row>
    <row r="63" spans="1:22" x14ac:dyDescent="0.25">
      <c r="V63" s="48"/>
    </row>
    <row r="64" spans="1:22" x14ac:dyDescent="0.25">
      <c r="V64" s="48"/>
    </row>
    <row r="65" spans="22:22" x14ac:dyDescent="0.25">
      <c r="V65" s="48"/>
    </row>
    <row r="66" spans="22:22" x14ac:dyDescent="0.25">
      <c r="V66" s="48"/>
    </row>
    <row r="67" spans="22:22" x14ac:dyDescent="0.25">
      <c r="V67" s="48"/>
    </row>
    <row r="68" spans="22:22" x14ac:dyDescent="0.25">
      <c r="V68" s="48"/>
    </row>
    <row r="69" spans="22:22" x14ac:dyDescent="0.25">
      <c r="V69" s="48"/>
    </row>
  </sheetData>
  <mergeCells count="3">
    <mergeCell ref="A1:U1"/>
    <mergeCell ref="U30:U32"/>
    <mergeCell ref="AA32:AD32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69"/>
  <sheetViews>
    <sheetView topLeftCell="I1" zoomScale="85" zoomScaleNormal="85" workbookViewId="0">
      <selection activeCell="AA18" activeCellId="2" sqref="B2:F2 B18:F18 AA18:AE18"/>
    </sheetView>
  </sheetViews>
  <sheetFormatPr defaultRowHeight="15" x14ac:dyDescent="0.25"/>
  <cols>
    <col min="1" max="1" width="48.5703125" customWidth="1"/>
    <col min="2" max="5" width="8.7109375" customWidth="1"/>
    <col min="6" max="8" width="12.42578125" customWidth="1"/>
    <col min="9" max="9" width="15.140625" customWidth="1"/>
    <col min="21" max="21" width="26.28515625" customWidth="1"/>
    <col min="22" max="22" width="18.28515625" customWidth="1"/>
    <col min="27" max="31" width="13.42578125" style="30" customWidth="1"/>
    <col min="32" max="44" width="10.5703125" bestFit="1" customWidth="1"/>
  </cols>
  <sheetData>
    <row r="1" spans="1:44" ht="15.75" thickBot="1" x14ac:dyDescent="0.3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spans="1:44" ht="18" customHeight="1" thickBot="1" x14ac:dyDescent="0.3">
      <c r="B2" s="65" t="s">
        <v>102</v>
      </c>
      <c r="C2" s="66" t="s">
        <v>103</v>
      </c>
      <c r="D2" s="67" t="s">
        <v>104</v>
      </c>
      <c r="E2" s="68" t="s">
        <v>105</v>
      </c>
      <c r="F2" s="69" t="s">
        <v>106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44" ht="31.5" customHeight="1" x14ac:dyDescent="0.25">
      <c r="A3" s="46" t="s">
        <v>16</v>
      </c>
    </row>
    <row r="4" spans="1:44" ht="18" customHeight="1" x14ac:dyDescent="0.25">
      <c r="A4" s="14" t="s">
        <v>95</v>
      </c>
      <c r="B4" s="47">
        <f>+AHP_nivel_0!D55</f>
        <v>0.70530612173036678</v>
      </c>
      <c r="C4" s="47">
        <f>+AHP_nivel_0!E55</f>
        <v>0.11755102028839447</v>
      </c>
      <c r="D4" s="47">
        <f>+AHP_nivel_0!F55</f>
        <v>0.23510204057678893</v>
      </c>
      <c r="E4" s="47">
        <f>+AHP_nivel_0!G55</f>
        <v>0.31346938743571856</v>
      </c>
      <c r="F4" s="47">
        <f>+AHP_nivel_0!H55</f>
        <v>6.7172011593368261E-2</v>
      </c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U4" s="48"/>
    </row>
    <row r="5" spans="1:44" ht="18" customHeight="1" x14ac:dyDescent="0.25">
      <c r="A5" s="14" t="s">
        <v>96</v>
      </c>
      <c r="B5" s="47">
        <f>+AHP_nivel_0!D56</f>
        <v>0.15662156023616103</v>
      </c>
      <c r="C5" s="47">
        <f>+AHP_nivel_0!E56</f>
        <v>0.15662156023616103</v>
      </c>
      <c r="D5" s="47">
        <f>+AHP_nivel_0!F56</f>
        <v>0.71598427536530773</v>
      </c>
      <c r="E5" s="47">
        <f>+AHP_nivel_0!G56</f>
        <v>0.17899606884132688</v>
      </c>
      <c r="F5" s="47">
        <f>+AHP_nivel_0!H56</f>
        <v>0.3281594595424327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</row>
    <row r="6" spans="1:44" ht="18" customHeight="1" x14ac:dyDescent="0.25">
      <c r="A6" s="14" t="s">
        <v>97</v>
      </c>
      <c r="B6" s="47">
        <f>+AHP_nivel_0!D57</f>
        <v>0.2312024024553089</v>
      </c>
      <c r="C6" s="47">
        <f>+AHP_nivel_0!E57</f>
        <v>7.7067467485102972E-2</v>
      </c>
      <c r="D6" s="47">
        <f>+AHP_nivel_0!F57</f>
        <v>0.20037541546126772</v>
      </c>
      <c r="E6" s="47">
        <f>+AHP_nivel_0!G57</f>
        <v>0.7398476878569884</v>
      </c>
      <c r="F6" s="47">
        <f>+AHP_nivel_0!H57</f>
        <v>0.30826986994041189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</row>
    <row r="7" spans="1:44" ht="18" customHeight="1" x14ac:dyDescent="0.25">
      <c r="A7" s="14" t="s">
        <v>98</v>
      </c>
      <c r="B7" s="47">
        <f>+AHP_nivel_0!D58</f>
        <v>0.36899208854223386</v>
      </c>
      <c r="C7" s="47">
        <f>+AHP_nivel_0!E58</f>
        <v>7.7682544956259744E-2</v>
      </c>
      <c r="D7" s="47">
        <f>+AHP_nivel_0!F58</f>
        <v>0.44667463349849357</v>
      </c>
      <c r="E7" s="47">
        <f>+AHP_nivel_0!G58</f>
        <v>0.41430690643338536</v>
      </c>
      <c r="F7" s="47">
        <f>+AHP_nivel_0!H58</f>
        <v>0.23304763486877927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</row>
    <row r="8" spans="1:44" ht="18" customHeight="1" x14ac:dyDescent="0.25">
      <c r="A8" s="14" t="s">
        <v>99</v>
      </c>
      <c r="B8" s="47">
        <f>+AHP_nivel_0!D59</f>
        <v>0.23154625263965548</v>
      </c>
      <c r="C8" s="47">
        <f>+AHP_nivel_0!E59</f>
        <v>0.61745667370574797</v>
      </c>
      <c r="D8" s="47">
        <f>+AHP_nivel_0!F59</f>
        <v>0.32802385790617861</v>
      </c>
      <c r="E8" s="47">
        <f>+AHP_nivel_0!G59</f>
        <v>0.10290944561762465</v>
      </c>
      <c r="F8" s="47">
        <f>+AHP_nivel_0!H59</f>
        <v>0.23154625263965548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</row>
    <row r="9" spans="1:44" ht="18" customHeight="1" x14ac:dyDescent="0.25">
      <c r="A9" s="14" t="s">
        <v>100</v>
      </c>
      <c r="B9" s="47">
        <f>+AHP_nivel_0!D60</f>
        <v>0.45812046264916229</v>
      </c>
      <c r="C9" s="47">
        <f>+AHP_nivel_0!E60</f>
        <v>0.39074980637722662</v>
      </c>
      <c r="D9" s="47">
        <f>+AHP_nivel_0!F60</f>
        <v>0.26948262508774251</v>
      </c>
      <c r="E9" s="47">
        <f>+AHP_nivel_0!G60</f>
        <v>5.3896525017548498E-2</v>
      </c>
      <c r="F9" s="47">
        <f>+AHP_nivel_0!H60</f>
        <v>0.25151711674855959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</row>
    <row r="10" spans="1:44" ht="18" customHeight="1" x14ac:dyDescent="0.25">
      <c r="A10" s="14" t="s">
        <v>101</v>
      </c>
      <c r="B10" s="47">
        <f>+AHP_nivel_0!D61</f>
        <v>0.15362432657426853</v>
      </c>
      <c r="C10" s="47">
        <f>+AHP_nivel_0!E61</f>
        <v>0.21946332367752647</v>
      </c>
      <c r="D10" s="47">
        <f>+AHP_nivel_0!F61</f>
        <v>0.3950339826195477</v>
      </c>
      <c r="E10" s="47">
        <f>+AHP_nivel_0!G61</f>
        <v>0.11704710596134744</v>
      </c>
      <c r="F10" s="47">
        <f>+AHP_nivel_0!H61</f>
        <v>0.52671197682606341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</row>
    <row r="11" spans="1:44" ht="18" customHeight="1" x14ac:dyDescent="0.25">
      <c r="A11" s="49"/>
      <c r="B11" s="47"/>
      <c r="C11" s="47"/>
      <c r="D11" s="47"/>
      <c r="E11" s="47"/>
      <c r="F11" s="70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AA11" s="30">
        <f>ROUND($AC$26*AA19+$AC$25,0)</f>
        <v>5</v>
      </c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</row>
    <row r="12" spans="1:44" ht="18" customHeight="1" x14ac:dyDescent="0.25">
      <c r="A12" s="49"/>
      <c r="B12" s="47"/>
      <c r="C12" s="47"/>
      <c r="D12" s="47"/>
      <c r="E12" s="47"/>
      <c r="F12" s="70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</row>
    <row r="13" spans="1:44" ht="18" customHeight="1" x14ac:dyDescent="0.25">
      <c r="A13" s="50"/>
      <c r="B13" s="47"/>
      <c r="C13" s="47"/>
      <c r="D13" s="47"/>
      <c r="E13" s="47"/>
      <c r="F13" s="70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</row>
    <row r="15" spans="1:44" x14ac:dyDescent="0.25">
      <c r="AA15" s="30">
        <v>0.25</v>
      </c>
      <c r="AB15" s="30">
        <v>0.25</v>
      </c>
      <c r="AC15" s="30">
        <v>0.25</v>
      </c>
      <c r="AD15" s="30">
        <v>0.25</v>
      </c>
      <c r="AE15" s="30">
        <v>0.25</v>
      </c>
      <c r="AF15" s="30">
        <v>0.25</v>
      </c>
      <c r="AG15" s="30"/>
      <c r="AH15" s="30"/>
      <c r="AI15" s="30"/>
      <c r="AJ15" s="30"/>
      <c r="AK15" s="30"/>
      <c r="AL15" s="30"/>
    </row>
    <row r="17" spans="1:44" ht="15.75" thickBot="1" x14ac:dyDescent="0.3">
      <c r="AA17" s="25">
        <v>0.2112</v>
      </c>
      <c r="AB17" s="25"/>
      <c r="AC17" s="25"/>
      <c r="AD17" s="25"/>
      <c r="AE17" s="25">
        <v>0.19639999999999999</v>
      </c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</row>
    <row r="18" spans="1:44" ht="30.75" thickBot="1" x14ac:dyDescent="0.3">
      <c r="A18" s="51" t="s">
        <v>17</v>
      </c>
      <c r="B18" s="65" t="s">
        <v>102</v>
      </c>
      <c r="C18" s="66" t="s">
        <v>103</v>
      </c>
      <c r="D18" s="67" t="s">
        <v>104</v>
      </c>
      <c r="E18" s="68" t="s">
        <v>105</v>
      </c>
      <c r="F18" s="69" t="s">
        <v>106</v>
      </c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AA18" s="65" t="s">
        <v>102</v>
      </c>
      <c r="AB18" s="66" t="s">
        <v>103</v>
      </c>
      <c r="AC18" s="67" t="s">
        <v>104</v>
      </c>
      <c r="AD18" s="68" t="s">
        <v>105</v>
      </c>
      <c r="AE18" s="69" t="s">
        <v>106</v>
      </c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</row>
    <row r="19" spans="1:44" x14ac:dyDescent="0.25">
      <c r="A19" s="52" t="s">
        <v>95</v>
      </c>
      <c r="B19" s="47">
        <f t="shared" ref="B19:F25" si="0">IFERROR(+$U$26*B4+$U$24,"")</f>
        <v>4.7985771116203688</v>
      </c>
      <c r="C19" s="47">
        <f t="shared" si="0"/>
        <v>1.3711896631670002</v>
      </c>
      <c r="D19" s="47">
        <f t="shared" si="0"/>
        <v>2.0566671528576741</v>
      </c>
      <c r="E19" s="47">
        <f t="shared" si="0"/>
        <v>2.51365214598479</v>
      </c>
      <c r="F19" s="70">
        <f t="shared" si="0"/>
        <v>1.0774135961567115</v>
      </c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48"/>
      <c r="U19" t="s">
        <v>18</v>
      </c>
      <c r="Z19" s="53" t="s">
        <v>19</v>
      </c>
      <c r="AA19" s="26">
        <f>+AHP_nivel_0!D41</f>
        <v>0.27246666666666669</v>
      </c>
      <c r="AB19" s="27">
        <f>+AHP_nivel_0!E41</f>
        <v>0.15765555555555555</v>
      </c>
      <c r="AC19" s="28">
        <f>+AHP_nivel_0!F41</f>
        <v>0.1416722222222222</v>
      </c>
      <c r="AD19" s="29">
        <f>+AHP_nivel_0!G41</f>
        <v>0.2218472222222222</v>
      </c>
      <c r="AE19" s="29">
        <f>+AHP_nivel_0!H41</f>
        <v>0.2063638888888889</v>
      </c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</row>
    <row r="20" spans="1:44" x14ac:dyDescent="0.25">
      <c r="A20" s="52" t="s">
        <v>96</v>
      </c>
      <c r="B20" s="47">
        <f t="shared" si="0"/>
        <v>1.5990224423172661</v>
      </c>
      <c r="C20" s="47">
        <f t="shared" si="0"/>
        <v>1.5990224423172661</v>
      </c>
      <c r="D20" s="47">
        <f t="shared" si="0"/>
        <v>4.8608448310349086</v>
      </c>
      <c r="E20" s="47">
        <f t="shared" si="0"/>
        <v>1.7294953378659719</v>
      </c>
      <c r="F20" s="70">
        <f t="shared" si="0"/>
        <v>2.59931464152401</v>
      </c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48"/>
      <c r="U20" t="s">
        <v>20</v>
      </c>
      <c r="AA20" s="54">
        <f>ROUND($AC$26*AA19+$AC$25,0)</f>
        <v>5</v>
      </c>
      <c r="AB20" s="54">
        <f t="shared" ref="AB20:AE20" si="1">ROUND($AC$26*AB19+$AC$25,0)</f>
        <v>1</v>
      </c>
      <c r="AC20" s="54">
        <f t="shared" si="1"/>
        <v>1</v>
      </c>
      <c r="AD20" s="54">
        <f t="shared" si="1"/>
        <v>3</v>
      </c>
      <c r="AE20" s="54">
        <f t="shared" si="1"/>
        <v>3</v>
      </c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</row>
    <row r="21" spans="1:44" x14ac:dyDescent="0.25">
      <c r="A21" s="52" t="s">
        <v>97</v>
      </c>
      <c r="B21" s="47">
        <f t="shared" si="0"/>
        <v>2.0339271192649746</v>
      </c>
      <c r="C21" s="47">
        <f t="shared" si="0"/>
        <v>1.1351171554058759</v>
      </c>
      <c r="D21" s="47">
        <f t="shared" si="0"/>
        <v>1.8541651264931549</v>
      </c>
      <c r="E21" s="47">
        <f t="shared" si="0"/>
        <v>4.9999999999999991</v>
      </c>
      <c r="F21" s="70">
        <f t="shared" si="0"/>
        <v>2.4833321011945237</v>
      </c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48"/>
      <c r="Z21" t="s">
        <v>73</v>
      </c>
      <c r="AA21" s="30">
        <f>ROUND($AC$26*AA19+$AC$25,0)</f>
        <v>5</v>
      </c>
      <c r="AB21" s="30">
        <f t="shared" ref="AB21:AE21" si="2">$AC$26*AB19+$AC$25</f>
        <v>1.4888549099558284</v>
      </c>
      <c r="AC21" s="30">
        <f t="shared" si="2"/>
        <v>1.0000679578661233</v>
      </c>
      <c r="AD21" s="30">
        <f t="shared" si="2"/>
        <v>3.4519028202514437</v>
      </c>
      <c r="AE21" s="30">
        <f t="shared" si="2"/>
        <v>2.9784063880394167</v>
      </c>
    </row>
    <row r="22" spans="1:44" x14ac:dyDescent="0.25">
      <c r="A22" s="52" t="s">
        <v>98</v>
      </c>
      <c r="B22" s="47">
        <f t="shared" si="0"/>
        <v>2.8374227239173848</v>
      </c>
      <c r="C22" s="47">
        <f t="shared" si="0"/>
        <v>1.1387038683060229</v>
      </c>
      <c r="D22" s="47">
        <f t="shared" si="0"/>
        <v>3.2904144187470807</v>
      </c>
      <c r="E22" s="47">
        <f t="shared" si="0"/>
        <v>3.1016678792347081</v>
      </c>
      <c r="F22" s="70">
        <f t="shared" si="0"/>
        <v>2.0446872579654158</v>
      </c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48"/>
    </row>
    <row r="23" spans="1:44" x14ac:dyDescent="0.25">
      <c r="A23" s="52" t="s">
        <v>99</v>
      </c>
      <c r="B23" s="47">
        <f t="shared" si="0"/>
        <v>2.0359322193535769</v>
      </c>
      <c r="C23" s="47">
        <f t="shared" si="0"/>
        <v>4.286298962482328</v>
      </c>
      <c r="D23" s="47">
        <f t="shared" si="0"/>
        <v>2.5985239051357647</v>
      </c>
      <c r="E23" s="47">
        <f t="shared" si="0"/>
        <v>1.2858099716439932</v>
      </c>
      <c r="F23" s="70">
        <f t="shared" si="0"/>
        <v>2.0359322193535769</v>
      </c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48"/>
      <c r="W23" t="s">
        <v>21</v>
      </c>
      <c r="X23" s="48">
        <f>+MIN(B4:F13)</f>
        <v>5.3896525017548498E-2</v>
      </c>
      <c r="AB23" s="30" t="s">
        <v>21</v>
      </c>
      <c r="AC23" s="55">
        <f>+ROUND(MIN(AA19:AE19),5)</f>
        <v>0.14166999999999999</v>
      </c>
      <c r="AD23" s="55"/>
      <c r="AE23" s="55"/>
      <c r="AF23" s="55"/>
      <c r="AG23" s="55"/>
    </row>
    <row r="24" spans="1:44" ht="18" customHeight="1" x14ac:dyDescent="0.25">
      <c r="A24" s="52" t="s">
        <v>100</v>
      </c>
      <c r="B24" s="47">
        <f t="shared" si="0"/>
        <v>3.3571586989275515</v>
      </c>
      <c r="C24" s="47">
        <f t="shared" si="0"/>
        <v>2.9642989157729591</v>
      </c>
      <c r="D24" s="47">
        <f t="shared" si="0"/>
        <v>2.2571513060946939</v>
      </c>
      <c r="E24" s="47">
        <f t="shared" si="0"/>
        <v>1</v>
      </c>
      <c r="F24" s="70">
        <f t="shared" si="0"/>
        <v>2.1523886972534689</v>
      </c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48"/>
      <c r="U24" s="56">
        <f>(5*X23-X24)/(X23-X24)</f>
        <v>0.68571217347632651</v>
      </c>
      <c r="W24" t="s">
        <v>22</v>
      </c>
      <c r="X24" s="48">
        <f>+MAX(B4:F13)</f>
        <v>0.7398476878569884</v>
      </c>
      <c r="AB24" s="30" t="s">
        <v>22</v>
      </c>
      <c r="AC24" s="55">
        <f>+ROUND(MAX(AA19:AE19),5)</f>
        <v>0.27246999999999999</v>
      </c>
      <c r="AD24" s="55"/>
      <c r="AE24" s="55"/>
      <c r="AF24" s="55"/>
      <c r="AG24" s="55"/>
    </row>
    <row r="25" spans="1:44" x14ac:dyDescent="0.25">
      <c r="A25" s="52" t="s">
        <v>101</v>
      </c>
      <c r="B25" s="47">
        <f t="shared" si="0"/>
        <v>1.5815446169310641</v>
      </c>
      <c r="C25" s="47">
        <f t="shared" si="0"/>
        <v>1.9654728069830945</v>
      </c>
      <c r="D25" s="47">
        <f t="shared" si="0"/>
        <v>2.989281313788509</v>
      </c>
      <c r="E25" s="47">
        <f t="shared" si="0"/>
        <v>1.3682511780132693</v>
      </c>
      <c r="F25" s="70">
        <f t="shared" si="0"/>
        <v>3.7571376938925694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48"/>
      <c r="AB25" t="s">
        <v>23</v>
      </c>
      <c r="AC25" s="57">
        <f>(5*AC23-AC24)/(AC23-AC24)</f>
        <v>-3.3324159021406721</v>
      </c>
      <c r="AD25"/>
      <c r="AE25"/>
    </row>
    <row r="26" spans="1:44" x14ac:dyDescent="0.25">
      <c r="A26" s="52"/>
      <c r="B26" s="47"/>
      <c r="C26" s="47"/>
      <c r="D26" s="47"/>
      <c r="E26" s="47"/>
      <c r="F26" s="70"/>
      <c r="G26" s="59"/>
      <c r="H26" s="71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48"/>
      <c r="U26" s="56">
        <f>+-4/(X23-X24)</f>
        <v>5.8313189286571365</v>
      </c>
      <c r="AB26" t="s">
        <v>24</v>
      </c>
      <c r="AC26" s="57">
        <f>+-4/(AC23-AC24)</f>
        <v>30.581039755351682</v>
      </c>
      <c r="AD26"/>
      <c r="AE26"/>
      <c r="AJ26" t="s">
        <v>25</v>
      </c>
    </row>
    <row r="27" spans="1:44" x14ac:dyDescent="0.25">
      <c r="A27" s="52"/>
      <c r="B27" s="47"/>
      <c r="C27" s="47"/>
      <c r="D27" s="47"/>
      <c r="E27" s="47"/>
      <c r="F27" s="70"/>
      <c r="G27" s="59"/>
      <c r="H27" s="71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48"/>
    </row>
    <row r="28" spans="1:44" x14ac:dyDescent="0.25">
      <c r="A28" s="52"/>
      <c r="B28" s="47"/>
      <c r="C28" s="47"/>
      <c r="D28" s="47"/>
      <c r="E28" s="47"/>
      <c r="F28" s="70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48"/>
    </row>
    <row r="29" spans="1:44" x14ac:dyDescent="0.25">
      <c r="A29" s="58"/>
      <c r="B29" s="59"/>
      <c r="C29" s="59"/>
      <c r="D29" s="59"/>
      <c r="E29" s="59"/>
      <c r="F29" s="59"/>
      <c r="T29" s="48"/>
    </row>
    <row r="30" spans="1:44" x14ac:dyDescent="0.25">
      <c r="A30" s="46"/>
      <c r="B30" s="30"/>
      <c r="C30" s="30"/>
      <c r="D30" s="30"/>
      <c r="E30" s="30"/>
      <c r="F30" s="30"/>
      <c r="U30" s="113" t="s">
        <v>82</v>
      </c>
      <c r="V30" s="48"/>
    </row>
    <row r="31" spans="1:44" x14ac:dyDescent="0.25">
      <c r="A31" s="58"/>
      <c r="B31" s="59"/>
      <c r="C31" s="59"/>
      <c r="D31" s="59"/>
      <c r="E31" s="59"/>
      <c r="F31" s="59"/>
      <c r="U31" s="113"/>
      <c r="V31" s="48"/>
    </row>
    <row r="32" spans="1:44" ht="33.75" customHeight="1" x14ac:dyDescent="0.25">
      <c r="A32" s="53" t="s">
        <v>85</v>
      </c>
      <c r="B32" s="49" t="s">
        <v>27</v>
      </c>
      <c r="C32" s="49" t="s">
        <v>28</v>
      </c>
      <c r="D32" s="49" t="s">
        <v>29</v>
      </c>
      <c r="E32" s="49" t="s">
        <v>30</v>
      </c>
      <c r="F32" s="49" t="s">
        <v>31</v>
      </c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U32" s="113"/>
      <c r="V32" s="48"/>
      <c r="AA32" s="112"/>
      <c r="AB32" s="112"/>
      <c r="AC32" s="112"/>
      <c r="AD32" s="112"/>
    </row>
    <row r="33" spans="1:44" s="30" customFormat="1" x14ac:dyDescent="0.25">
      <c r="A33"/>
      <c r="B33">
        <f>+IFERROR(B19/MAX(B19:B28),0)</f>
        <v>1</v>
      </c>
      <c r="C33">
        <f>+IFERROR(C19/MAX(C19:C28),0)</f>
        <v>0.3199006124325266</v>
      </c>
      <c r="D33">
        <f>+IFERROR(D19/MAX(D19:D28),0)</f>
        <v>0.42310899120385931</v>
      </c>
      <c r="E33">
        <f>+IFERROR(E19/MAX(E19:E28),0)</f>
        <v>0.5027304291969581</v>
      </c>
      <c r="F33">
        <f>+IFERROR(F19/MAX(F19:F28),0)</f>
        <v>0.28676446910851994</v>
      </c>
      <c r="G33"/>
      <c r="H33"/>
      <c r="I33"/>
      <c r="J33"/>
      <c r="K33"/>
      <c r="L33"/>
      <c r="M33"/>
      <c r="N33"/>
      <c r="O33"/>
      <c r="P33"/>
      <c r="Q33"/>
      <c r="R33"/>
      <c r="S33"/>
      <c r="T33">
        <v>1</v>
      </c>
      <c r="U33" s="60" t="s">
        <v>87</v>
      </c>
      <c r="V33" s="86">
        <f>+PRODUCT(B34:S34)</f>
        <v>4.0555416402638181E-4</v>
      </c>
      <c r="W33">
        <f>+V33/MAX($V$33:$V$42)*100</f>
        <v>81.084653077592833</v>
      </c>
      <c r="X33">
        <f>+RANK(W33,$W$33:$W$42)</f>
        <v>2</v>
      </c>
      <c r="Y33" s="61"/>
      <c r="Z33"/>
      <c r="AA33" s="62"/>
      <c r="AF33" s="48"/>
      <c r="AG33"/>
      <c r="AH33"/>
      <c r="AI33"/>
      <c r="AJ33"/>
      <c r="AK33"/>
      <c r="AL33"/>
      <c r="AM33"/>
      <c r="AN33"/>
      <c r="AO33"/>
      <c r="AP33"/>
      <c r="AQ33"/>
      <c r="AR33"/>
    </row>
    <row r="34" spans="1:44" s="30" customFormat="1" x14ac:dyDescent="0.25">
      <c r="A34" t="s">
        <v>86</v>
      </c>
      <c r="B34" s="48">
        <f>+B33^AA20</f>
        <v>1</v>
      </c>
      <c r="C34" s="48">
        <f t="shared" ref="C34:F34" si="3">+C33^AB20</f>
        <v>0.3199006124325266</v>
      </c>
      <c r="D34" s="48">
        <f t="shared" si="3"/>
        <v>0.42310899120385931</v>
      </c>
      <c r="E34" s="48">
        <f t="shared" si="3"/>
        <v>0.12705902511913275</v>
      </c>
      <c r="F34" s="48">
        <f t="shared" si="3"/>
        <v>2.3581749418736531E-2</v>
      </c>
      <c r="G34"/>
      <c r="H34"/>
      <c r="I34"/>
      <c r="J34"/>
      <c r="K34"/>
      <c r="L34"/>
      <c r="M34"/>
      <c r="N34"/>
      <c r="O34"/>
      <c r="P34"/>
      <c r="Q34"/>
      <c r="R34"/>
      <c r="S34"/>
      <c r="T34">
        <v>2</v>
      </c>
      <c r="U34" s="60" t="s">
        <v>88</v>
      </c>
      <c r="V34" s="86">
        <f>+PRODUCT(B37:S37)</f>
        <v>2.1005639270172845E-5</v>
      </c>
      <c r="W34">
        <f t="shared" ref="W34:W39" si="4">+V34/MAX($V$33:$V$42)*100</f>
        <v>4.1997718775345323</v>
      </c>
      <c r="X34">
        <f t="shared" ref="X34:X39" si="5">+RANK(W34,$W$33:$W$42)</f>
        <v>6</v>
      </c>
      <c r="Y34" s="61"/>
      <c r="Z34"/>
      <c r="AA34" s="62"/>
      <c r="AF34" s="48"/>
      <c r="AG34"/>
      <c r="AH34"/>
      <c r="AI34"/>
      <c r="AJ34"/>
      <c r="AK34"/>
      <c r="AL34"/>
      <c r="AM34"/>
      <c r="AN34"/>
      <c r="AO34"/>
      <c r="AP34"/>
      <c r="AQ34"/>
      <c r="AR34"/>
    </row>
    <row r="35" spans="1:44" s="30" customFormat="1" x14ac:dyDescent="0.25">
      <c r="A35"/>
      <c r="B35" s="49" t="s">
        <v>34</v>
      </c>
      <c r="C35" s="49" t="s">
        <v>35</v>
      </c>
      <c r="D35" s="49" t="s">
        <v>36</v>
      </c>
      <c r="E35" s="49" t="s">
        <v>37</v>
      </c>
      <c r="F35" s="49" t="s">
        <v>38</v>
      </c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>
        <v>3</v>
      </c>
      <c r="U35" s="60" t="s">
        <v>89</v>
      </c>
      <c r="V35" s="86">
        <f>+PRODUCT(B40:S40)</f>
        <v>3.9906394909450661E-4</v>
      </c>
      <c r="W35">
        <f t="shared" si="4"/>
        <v>79.787029053897982</v>
      </c>
      <c r="X35">
        <f t="shared" si="5"/>
        <v>3</v>
      </c>
      <c r="Y35" s="61"/>
      <c r="Z35"/>
      <c r="AA35" s="62"/>
      <c r="AF35" s="48"/>
      <c r="AG35"/>
      <c r="AH35"/>
      <c r="AI35"/>
      <c r="AJ35"/>
      <c r="AK35"/>
      <c r="AL35"/>
      <c r="AM35"/>
      <c r="AN35"/>
      <c r="AO35"/>
      <c r="AP35"/>
      <c r="AQ35"/>
      <c r="AR35"/>
    </row>
    <row r="36" spans="1:44" s="30" customFormat="1" x14ac:dyDescent="0.25">
      <c r="A36"/>
      <c r="B36">
        <f>+IFERROR(B20/MAX(B19:B28),0)</f>
        <v>0.33322845608649876</v>
      </c>
      <c r="C36">
        <f>+IFERROR(C20/MAX(C19:C28),0)</f>
        <v>0.3730543427589621</v>
      </c>
      <c r="D36">
        <f t="shared" ref="D36:F36" si="6">+IFERROR(D20/MAX(D19:D28),0)</f>
        <v>1</v>
      </c>
      <c r="E36">
        <f t="shared" si="6"/>
        <v>0.34589906757319444</v>
      </c>
      <c r="F36">
        <f t="shared" si="6"/>
        <v>0.69183374507389939</v>
      </c>
      <c r="G36"/>
      <c r="H36"/>
      <c r="I36"/>
      <c r="J36"/>
      <c r="K36"/>
      <c r="L36"/>
      <c r="M36"/>
      <c r="N36"/>
      <c r="O36"/>
      <c r="P36"/>
      <c r="Q36"/>
      <c r="R36"/>
      <c r="S36"/>
      <c r="T36">
        <v>4</v>
      </c>
      <c r="U36" s="60" t="s">
        <v>90</v>
      </c>
      <c r="V36" s="86">
        <f>+PRODUCT(B43:S43)</f>
        <v>5.0016143454211046E-4</v>
      </c>
      <c r="W36">
        <f t="shared" si="4"/>
        <v>100</v>
      </c>
      <c r="X36">
        <f t="shared" si="5"/>
        <v>1</v>
      </c>
      <c r="Y36" s="61"/>
      <c r="Z36"/>
      <c r="AA36" s="62"/>
      <c r="AF36" s="48"/>
      <c r="AG36"/>
      <c r="AH36"/>
      <c r="AI36"/>
      <c r="AJ36"/>
      <c r="AK36"/>
      <c r="AL36"/>
      <c r="AM36"/>
      <c r="AN36"/>
      <c r="AO36"/>
      <c r="AP36"/>
      <c r="AQ36"/>
      <c r="AR36"/>
    </row>
    <row r="37" spans="1:44" s="30" customFormat="1" x14ac:dyDescent="0.25">
      <c r="A37" t="s">
        <v>86</v>
      </c>
      <c r="B37">
        <f>+(B36^AA20)</f>
        <v>4.108756505832872E-3</v>
      </c>
      <c r="C37">
        <f t="shared" ref="C37:F37" si="7">+(C36^AB20)</f>
        <v>0.3730543427589621</v>
      </c>
      <c r="D37">
        <f t="shared" si="7"/>
        <v>1</v>
      </c>
      <c r="E37">
        <f t="shared" si="7"/>
        <v>4.1385496894223668E-2</v>
      </c>
      <c r="F37">
        <f t="shared" si="7"/>
        <v>0.33113510488070202</v>
      </c>
      <c r="G37"/>
      <c r="H37"/>
      <c r="I37"/>
      <c r="J37"/>
      <c r="K37"/>
      <c r="L37"/>
      <c r="M37"/>
      <c r="N37"/>
      <c r="O37"/>
      <c r="P37"/>
      <c r="Q37"/>
      <c r="R37"/>
      <c r="S37"/>
      <c r="T37">
        <v>5</v>
      </c>
      <c r="U37" s="60" t="s">
        <v>91</v>
      </c>
      <c r="V37" s="86">
        <f>+PRODUCT(B46:S46)</f>
        <v>1.9888778482935562E-5</v>
      </c>
      <c r="W37">
        <f t="shared" si="4"/>
        <v>3.9764718167732007</v>
      </c>
      <c r="X37">
        <f t="shared" si="5"/>
        <v>7</v>
      </c>
      <c r="Y37" s="61"/>
      <c r="Z37"/>
      <c r="AA37" s="62"/>
      <c r="AF37" s="48"/>
      <c r="AG37"/>
      <c r="AH37"/>
      <c r="AI37"/>
      <c r="AJ37"/>
      <c r="AK37"/>
      <c r="AL37"/>
      <c r="AM37"/>
      <c r="AN37"/>
      <c r="AO37"/>
      <c r="AP37"/>
      <c r="AQ37"/>
      <c r="AR37"/>
    </row>
    <row r="38" spans="1:44" s="30" customFormat="1" x14ac:dyDescent="0.25">
      <c r="A38"/>
      <c r="B38" s="49" t="s">
        <v>39</v>
      </c>
      <c r="C38" s="49" t="s">
        <v>40</v>
      </c>
      <c r="D38" s="49" t="s">
        <v>41</v>
      </c>
      <c r="E38" s="49" t="s">
        <v>42</v>
      </c>
      <c r="F38" s="49" t="s">
        <v>43</v>
      </c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>
        <v>6</v>
      </c>
      <c r="U38" s="60" t="s">
        <v>92</v>
      </c>
      <c r="V38" s="86">
        <f>+PRODUCT(B49:S49)</f>
        <v>8.0959194520565042E-5</v>
      </c>
      <c r="W38">
        <f t="shared" si="4"/>
        <v>16.186612747278655</v>
      </c>
      <c r="X38">
        <f t="shared" si="5"/>
        <v>4</v>
      </c>
      <c r="Y38" s="61"/>
      <c r="Z38"/>
      <c r="AA38" s="62"/>
      <c r="AF38" s="48"/>
      <c r="AG38"/>
      <c r="AH38"/>
      <c r="AI38"/>
      <c r="AJ38"/>
      <c r="AK38"/>
      <c r="AL38"/>
      <c r="AM38"/>
      <c r="AN38"/>
      <c r="AO38"/>
      <c r="AP38"/>
      <c r="AQ38"/>
      <c r="AR38"/>
    </row>
    <row r="39" spans="1:44" s="30" customFormat="1" x14ac:dyDescent="0.25">
      <c r="A39"/>
      <c r="B39">
        <f>+IFERROR(B21/MAX(B19:B28),0)</f>
        <v>0.4238604636235937</v>
      </c>
      <c r="C39">
        <f t="shared" ref="C39:F39" si="8">+IFERROR(C21/MAX(C19:C28),0)</f>
        <v>0.26482454101813152</v>
      </c>
      <c r="D39">
        <f t="shared" si="8"/>
        <v>0.38144914946778702</v>
      </c>
      <c r="E39">
        <f t="shared" si="8"/>
        <v>1</v>
      </c>
      <c r="F39">
        <f t="shared" si="8"/>
        <v>0.66096382499670281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>
        <v>7</v>
      </c>
      <c r="U39" s="60" t="s">
        <v>93</v>
      </c>
      <c r="V39" s="86">
        <f>+PRODUCT(B52:S52)</f>
        <v>2.247356342639252E-5</v>
      </c>
      <c r="W39">
        <f t="shared" si="4"/>
        <v>4.4932619499075725</v>
      </c>
      <c r="X39">
        <f t="shared" si="5"/>
        <v>5</v>
      </c>
      <c r="Y39" s="61"/>
      <c r="Z39"/>
      <c r="AA39" s="62"/>
      <c r="AF39" s="48"/>
      <c r="AG39"/>
      <c r="AH39"/>
      <c r="AI39"/>
      <c r="AJ39"/>
      <c r="AK39"/>
      <c r="AL39"/>
      <c r="AM39"/>
      <c r="AN39"/>
      <c r="AO39"/>
      <c r="AP39"/>
      <c r="AQ39"/>
      <c r="AR39"/>
    </row>
    <row r="40" spans="1:44" s="30" customFormat="1" x14ac:dyDescent="0.25">
      <c r="A40" t="s">
        <v>86</v>
      </c>
      <c r="B40" s="48">
        <f>+B39^AA20</f>
        <v>1.3680896084140191E-2</v>
      </c>
      <c r="C40" s="48">
        <f t="shared" ref="C40:F40" si="9">+C39^AB20</f>
        <v>0.26482454101813152</v>
      </c>
      <c r="D40" s="48">
        <f t="shared" si="9"/>
        <v>0.38144914946778702</v>
      </c>
      <c r="E40" s="48">
        <f t="shared" si="9"/>
        <v>1</v>
      </c>
      <c r="F40" s="48">
        <f t="shared" si="9"/>
        <v>0.28875736673912084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 s="60"/>
      <c r="V40" s="86"/>
      <c r="W40"/>
      <c r="X40"/>
      <c r="Y40" s="61"/>
      <c r="Z40"/>
      <c r="AA40" s="62"/>
      <c r="AF40" s="48"/>
      <c r="AG40"/>
      <c r="AH40"/>
      <c r="AI40"/>
      <c r="AJ40"/>
      <c r="AK40"/>
      <c r="AL40"/>
      <c r="AM40"/>
      <c r="AN40"/>
      <c r="AO40"/>
      <c r="AP40"/>
      <c r="AQ40"/>
      <c r="AR40"/>
    </row>
    <row r="41" spans="1:44" s="30" customFormat="1" x14ac:dyDescent="0.25">
      <c r="A41"/>
      <c r="B41" s="49" t="s">
        <v>44</v>
      </c>
      <c r="C41" s="49" t="s">
        <v>45</v>
      </c>
      <c r="D41" s="49" t="s">
        <v>46</v>
      </c>
      <c r="E41" s="49" t="s">
        <v>47</v>
      </c>
      <c r="F41" s="49" t="s">
        <v>48</v>
      </c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/>
      <c r="U41" s="60"/>
      <c r="V41" s="86"/>
      <c r="W41"/>
      <c r="X41"/>
      <c r="Y41" s="61"/>
      <c r="Z41"/>
      <c r="AA41" s="62"/>
      <c r="AF41" s="48"/>
      <c r="AG41"/>
      <c r="AH41"/>
      <c r="AI41"/>
      <c r="AJ41"/>
      <c r="AK41"/>
      <c r="AL41"/>
      <c r="AM41"/>
      <c r="AN41"/>
      <c r="AO41"/>
      <c r="AP41"/>
      <c r="AQ41"/>
      <c r="AR41"/>
    </row>
    <row r="42" spans="1:44" s="30" customFormat="1" x14ac:dyDescent="0.25">
      <c r="A42"/>
      <c r="B42">
        <f>+IFERROR(B22/MAX(B19:B28),0)</f>
        <v>0.59130501769914301</v>
      </c>
      <c r="C42">
        <f t="shared" ref="C42:F42" si="10">+IFERROR(C22/MAX(C19:C28),0)</f>
        <v>0.26566132653672025</v>
      </c>
      <c r="D42">
        <f t="shared" si="10"/>
        <v>0.67692233204788965</v>
      </c>
      <c r="E42">
        <f t="shared" si="10"/>
        <v>0.62033357584694171</v>
      </c>
      <c r="F42">
        <f t="shared" si="10"/>
        <v>0.54421408650770653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 s="60"/>
      <c r="V42" s="86"/>
      <c r="W42"/>
      <c r="X42"/>
      <c r="Y42" s="61"/>
      <c r="Z42"/>
      <c r="AA42" s="62"/>
      <c r="AF42" s="48"/>
      <c r="AG42"/>
      <c r="AH42"/>
      <c r="AI42"/>
      <c r="AJ42"/>
      <c r="AK42"/>
      <c r="AL42"/>
      <c r="AM42"/>
      <c r="AN42"/>
      <c r="AO42"/>
      <c r="AP42"/>
      <c r="AQ42"/>
      <c r="AR42"/>
    </row>
    <row r="43" spans="1:44" s="30" customFormat="1" x14ac:dyDescent="0.25">
      <c r="A43" t="s">
        <v>86</v>
      </c>
      <c r="B43" s="48">
        <f>+B42^AA20</f>
        <v>7.2286603924400075E-2</v>
      </c>
      <c r="C43" s="48">
        <f t="shared" ref="C43:E43" si="11">+C42^AB20</f>
        <v>0.26566132653672025</v>
      </c>
      <c r="D43" s="48">
        <f t="shared" si="11"/>
        <v>0.67692233204788965</v>
      </c>
      <c r="E43" s="48">
        <f t="shared" si="11"/>
        <v>0.23871288667130405</v>
      </c>
      <c r="F43" s="48">
        <f>+F42^AE20</f>
        <v>0.16117932652355563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 s="48"/>
      <c r="W43"/>
      <c r="X43"/>
      <c r="Y43"/>
      <c r="Z43"/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1:44" s="30" customFormat="1" x14ac:dyDescent="0.25">
      <c r="A44"/>
      <c r="B44" s="49" t="s">
        <v>49</v>
      </c>
      <c r="C44" s="49" t="s">
        <v>50</v>
      </c>
      <c r="D44" s="49" t="s">
        <v>51</v>
      </c>
      <c r="E44" s="49" t="s">
        <v>52</v>
      </c>
      <c r="F44" s="49" t="s">
        <v>53</v>
      </c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/>
      <c r="U44"/>
      <c r="V44" s="3"/>
      <c r="W44" s="40"/>
      <c r="X44" s="40"/>
      <c r="Y44"/>
      <c r="Z44"/>
      <c r="AF44"/>
      <c r="AG44"/>
      <c r="AH44"/>
      <c r="AI44"/>
      <c r="AJ44"/>
      <c r="AK44"/>
      <c r="AL44"/>
      <c r="AM44"/>
      <c r="AN44"/>
      <c r="AO44"/>
      <c r="AP44"/>
      <c r="AQ44"/>
      <c r="AR44"/>
    </row>
    <row r="45" spans="1:44" s="30" customFormat="1" x14ac:dyDescent="0.25">
      <c r="A45"/>
      <c r="B45">
        <f>+IFERROR(B23/MAX(B19:B28),0)</f>
        <v>0.42427831667502153</v>
      </c>
      <c r="C45">
        <f>+IFERROR(C23/MAX(C19:C28),0)</f>
        <v>1</v>
      </c>
      <c r="D45">
        <f t="shared" ref="D45:F45" si="12">+IFERROR(D23/MAX(D19:D28),0)</f>
        <v>0.53458277222614414</v>
      </c>
      <c r="E45">
        <f t="shared" si="12"/>
        <v>0.25716199432879872</v>
      </c>
      <c r="F45">
        <f t="shared" si="12"/>
        <v>0.54188384489157659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 s="3"/>
      <c r="W45" s="40"/>
      <c r="X45" s="40"/>
      <c r="Y45"/>
      <c r="Z45"/>
      <c r="AF45"/>
      <c r="AG45"/>
      <c r="AH45"/>
      <c r="AI45"/>
      <c r="AJ45"/>
      <c r="AK45"/>
      <c r="AL45"/>
      <c r="AM45"/>
      <c r="AN45"/>
      <c r="AO45"/>
      <c r="AP45"/>
      <c r="AQ45"/>
      <c r="AR45"/>
    </row>
    <row r="46" spans="1:44" s="30" customFormat="1" x14ac:dyDescent="0.25">
      <c r="A46" t="s">
        <v>86</v>
      </c>
      <c r="B46" s="48">
        <f>+B45^AA20</f>
        <v>1.3748464151322248E-2</v>
      </c>
      <c r="C46" s="48">
        <f t="shared" ref="C46:F46" si="13">+C45^AB20</f>
        <v>1</v>
      </c>
      <c r="D46" s="48">
        <f t="shared" si="13"/>
        <v>0.53458277222614414</v>
      </c>
      <c r="E46" s="48">
        <f t="shared" si="13"/>
        <v>1.7006711927226897E-2</v>
      </c>
      <c r="F46" s="48">
        <f t="shared" si="13"/>
        <v>0.15911774336862713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 s="3"/>
      <c r="W46" s="40"/>
      <c r="X46" s="40"/>
      <c r="Y46"/>
      <c r="Z46"/>
      <c r="AF46"/>
      <c r="AG46"/>
      <c r="AH46"/>
      <c r="AI46"/>
      <c r="AJ46"/>
      <c r="AK46"/>
      <c r="AL46"/>
      <c r="AM46"/>
      <c r="AN46"/>
      <c r="AO46"/>
      <c r="AP46"/>
      <c r="AQ46"/>
      <c r="AR46"/>
    </row>
    <row r="47" spans="1:44" s="30" customFormat="1" x14ac:dyDescent="0.25">
      <c r="A47"/>
      <c r="B47" s="49" t="s">
        <v>57</v>
      </c>
      <c r="C47" s="49" t="s">
        <v>58</v>
      </c>
      <c r="D47" s="49" t="s">
        <v>59</v>
      </c>
      <c r="E47" s="49" t="s">
        <v>60</v>
      </c>
      <c r="F47" s="49" t="s">
        <v>61</v>
      </c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/>
      <c r="U47"/>
      <c r="V47" s="48"/>
      <c r="W47"/>
      <c r="X47"/>
      <c r="Y47"/>
      <c r="Z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1:44" s="30" customFormat="1" x14ac:dyDescent="0.25">
      <c r="A48"/>
      <c r="B48">
        <f>+IFERROR(B24/MAX(B19:B28),0)</f>
        <v>0.69961545283866788</v>
      </c>
      <c r="C48">
        <f t="shared" ref="C48:F48" si="14">+IFERROR(C24/MAX(C19:C28),0)</f>
        <v>0.69157539913087218</v>
      </c>
      <c r="D48">
        <f t="shared" si="14"/>
        <v>0.46435370487112015</v>
      </c>
      <c r="E48">
        <f t="shared" si="14"/>
        <v>0.20000000000000004</v>
      </c>
      <c r="F48">
        <f t="shared" si="14"/>
        <v>0.5728799082217011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 s="48"/>
      <c r="W48"/>
      <c r="X48"/>
      <c r="Y48"/>
      <c r="Z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1:22" x14ac:dyDescent="0.25">
      <c r="A49" t="s">
        <v>86</v>
      </c>
      <c r="B49" s="48">
        <f>+ B48^AA20</f>
        <v>0.16760885807071754</v>
      </c>
      <c r="C49" s="48">
        <f t="shared" ref="C49:F49" si="15">+ C48^AB20</f>
        <v>0.69157539913087218</v>
      </c>
      <c r="D49" s="48">
        <f t="shared" si="15"/>
        <v>0.46435370487112015</v>
      </c>
      <c r="E49" s="48">
        <f t="shared" si="15"/>
        <v>8.0000000000000036E-3</v>
      </c>
      <c r="F49" s="48">
        <f t="shared" si="15"/>
        <v>0.18801425294931526</v>
      </c>
      <c r="V49" s="48"/>
    </row>
    <row r="50" spans="1:22" x14ac:dyDescent="0.25">
      <c r="B50" s="49" t="s">
        <v>62</v>
      </c>
      <c r="C50" s="49" t="s">
        <v>63</v>
      </c>
      <c r="D50" s="49" t="s">
        <v>64</v>
      </c>
      <c r="E50" s="49" t="s">
        <v>65</v>
      </c>
      <c r="F50" s="49" t="s">
        <v>66</v>
      </c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</row>
    <row r="51" spans="1:22" x14ac:dyDescent="0.25">
      <c r="B51">
        <f>+IFERROR(B25/MAX(B19:B28),0)</f>
        <v>0.32958616276086328</v>
      </c>
      <c r="C51">
        <f t="shared" ref="C51:F51" si="16">+IFERROR(C25/MAX(C19:C28),0)</f>
        <v>0.45854776444357687</v>
      </c>
      <c r="D51">
        <f t="shared" si="16"/>
        <v>0.61497155694066241</v>
      </c>
      <c r="E51">
        <f t="shared" si="16"/>
        <v>0.27365023560265389</v>
      </c>
      <c r="F51">
        <f t="shared" si="16"/>
        <v>1</v>
      </c>
    </row>
    <row r="52" spans="1:22" x14ac:dyDescent="0.25">
      <c r="A52" t="s">
        <v>86</v>
      </c>
      <c r="B52" s="48">
        <f>+B51^AA20</f>
        <v>3.889061855401756E-3</v>
      </c>
      <c r="C52" s="48">
        <f t="shared" ref="C52:F52" si="17">+C51^AB20</f>
        <v>0.45854776444357687</v>
      </c>
      <c r="D52" s="48">
        <f t="shared" si="17"/>
        <v>0.61497155694066241</v>
      </c>
      <c r="E52" s="48">
        <f t="shared" si="17"/>
        <v>2.0492147781005918E-2</v>
      </c>
      <c r="F52" s="48">
        <f t="shared" si="17"/>
        <v>1</v>
      </c>
    </row>
    <row r="53" spans="1:22" x14ac:dyDescent="0.25">
      <c r="B53" s="49"/>
      <c r="C53" s="49"/>
      <c r="D53" s="49"/>
      <c r="E53" s="49"/>
      <c r="F53" s="4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</row>
    <row r="55" spans="1:22" x14ac:dyDescent="0.25">
      <c r="B55" s="48"/>
      <c r="C55" s="48"/>
      <c r="D55" s="48"/>
      <c r="E55" s="48"/>
      <c r="F55" s="48"/>
    </row>
    <row r="56" spans="1:22" x14ac:dyDescent="0.25">
      <c r="B56" s="49"/>
      <c r="C56" s="49"/>
      <c r="D56" s="49"/>
      <c r="E56" s="49"/>
      <c r="F56" s="49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</row>
    <row r="58" spans="1:22" x14ac:dyDescent="0.25">
      <c r="B58" s="48"/>
      <c r="C58" s="48"/>
      <c r="D58" s="48"/>
      <c r="E58" s="48"/>
      <c r="F58" s="48"/>
    </row>
    <row r="59" spans="1:22" x14ac:dyDescent="0.25">
      <c r="B59" s="49"/>
      <c r="C59" s="49"/>
      <c r="D59" s="49"/>
      <c r="E59" s="49"/>
      <c r="F59" s="49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</row>
    <row r="61" spans="1:22" x14ac:dyDescent="0.25">
      <c r="B61" s="48"/>
      <c r="C61" s="48"/>
      <c r="D61" s="48"/>
      <c r="E61" s="48"/>
      <c r="F61" s="48"/>
    </row>
    <row r="63" spans="1:22" x14ac:dyDescent="0.25">
      <c r="V63" s="48"/>
    </row>
    <row r="64" spans="1:22" x14ac:dyDescent="0.25">
      <c r="V64" s="48"/>
    </row>
    <row r="65" spans="22:22" x14ac:dyDescent="0.25">
      <c r="V65" s="48"/>
    </row>
    <row r="66" spans="22:22" x14ac:dyDescent="0.25">
      <c r="V66" s="48"/>
    </row>
    <row r="67" spans="22:22" x14ac:dyDescent="0.25">
      <c r="V67" s="48"/>
    </row>
    <row r="68" spans="22:22" x14ac:dyDescent="0.25">
      <c r="V68" s="48"/>
    </row>
    <row r="69" spans="22:22" x14ac:dyDescent="0.25">
      <c r="V69" s="48"/>
    </row>
  </sheetData>
  <mergeCells count="3">
    <mergeCell ref="A1:U1"/>
    <mergeCell ref="U30:U32"/>
    <mergeCell ref="AA32:AD32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729D2-D621-4386-9856-179A33A71395}">
  <dimension ref="A1:AR69"/>
  <sheetViews>
    <sheetView topLeftCell="E1" zoomScale="85" zoomScaleNormal="85" workbookViewId="0">
      <selection activeCell="AA18" activeCellId="2" sqref="B2:F2 B18:F18 AA18:AE18"/>
    </sheetView>
  </sheetViews>
  <sheetFormatPr defaultRowHeight="15" x14ac:dyDescent="0.25"/>
  <cols>
    <col min="1" max="1" width="48.5703125" customWidth="1"/>
    <col min="2" max="5" width="8.7109375" customWidth="1"/>
    <col min="6" max="8" width="12.42578125" customWidth="1"/>
    <col min="9" max="9" width="15.140625" customWidth="1"/>
    <col min="21" max="21" width="26.28515625" customWidth="1"/>
    <col min="22" max="22" width="18.28515625" customWidth="1"/>
    <col min="27" max="31" width="13.42578125" style="30" customWidth="1"/>
    <col min="32" max="44" width="10.5703125" bestFit="1" customWidth="1"/>
  </cols>
  <sheetData>
    <row r="1" spans="1:44" ht="15.75" thickBot="1" x14ac:dyDescent="0.3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spans="1:44" ht="18" customHeight="1" thickBot="1" x14ac:dyDescent="0.3">
      <c r="B2" s="65" t="s">
        <v>102</v>
      </c>
      <c r="C2" s="66" t="s">
        <v>103</v>
      </c>
      <c r="D2" s="67" t="s">
        <v>104</v>
      </c>
      <c r="E2" s="68" t="s">
        <v>105</v>
      </c>
      <c r="F2" s="69" t="s">
        <v>106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44" ht="31.5" customHeight="1" x14ac:dyDescent="0.25">
      <c r="A3" s="46" t="s">
        <v>16</v>
      </c>
    </row>
    <row r="4" spans="1:44" ht="18" customHeight="1" x14ac:dyDescent="0.25">
      <c r="A4" s="14" t="s">
        <v>95</v>
      </c>
      <c r="B4" s="47">
        <f>+AHP_nivel_0!D55</f>
        <v>0.70530612173036678</v>
      </c>
      <c r="C4" s="47">
        <f>+AHP_nivel_0!E55</f>
        <v>0.11755102028839447</v>
      </c>
      <c r="D4" s="47">
        <f>+AHP_nivel_0!F55</f>
        <v>0.23510204057678893</v>
      </c>
      <c r="E4" s="47">
        <f>+AHP_nivel_0!G55</f>
        <v>0.31346938743571856</v>
      </c>
      <c r="F4" s="47">
        <f>+AHP_nivel_0!H55</f>
        <v>6.7172011593368261E-2</v>
      </c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U4" s="48"/>
    </row>
    <row r="5" spans="1:44" ht="18" customHeight="1" x14ac:dyDescent="0.25">
      <c r="A5" s="14" t="s">
        <v>96</v>
      </c>
      <c r="B5" s="47">
        <f>+AHP_nivel_0!D56</f>
        <v>0.15662156023616103</v>
      </c>
      <c r="C5" s="47">
        <f>+AHP_nivel_0!E56</f>
        <v>0.15662156023616103</v>
      </c>
      <c r="D5" s="47">
        <f>+AHP_nivel_0!F56</f>
        <v>0.71598427536530773</v>
      </c>
      <c r="E5" s="47">
        <f>+AHP_nivel_0!G56</f>
        <v>0.17899606884132688</v>
      </c>
      <c r="F5" s="47">
        <f>+AHP_nivel_0!H56</f>
        <v>0.3281594595424327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</row>
    <row r="6" spans="1:44" ht="18" customHeight="1" x14ac:dyDescent="0.25">
      <c r="A6" s="14" t="s">
        <v>97</v>
      </c>
      <c r="B6" s="47">
        <f>+AHP_nivel_0!D57</f>
        <v>0.2312024024553089</v>
      </c>
      <c r="C6" s="47">
        <f>+AHP_nivel_0!E57</f>
        <v>7.7067467485102972E-2</v>
      </c>
      <c r="D6" s="47">
        <f>+AHP_nivel_0!F57</f>
        <v>0.20037541546126772</v>
      </c>
      <c r="E6" s="47">
        <f>+AHP_nivel_0!G57</f>
        <v>0.7398476878569884</v>
      </c>
      <c r="F6" s="47">
        <f>+AHP_nivel_0!H57</f>
        <v>0.30826986994041189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</row>
    <row r="7" spans="1:44" ht="18" customHeight="1" x14ac:dyDescent="0.25">
      <c r="A7" s="14" t="s">
        <v>98</v>
      </c>
      <c r="B7" s="47">
        <f>+AHP_nivel_0!D58</f>
        <v>0.36899208854223386</v>
      </c>
      <c r="C7" s="47">
        <f>+AHP_nivel_0!E58</f>
        <v>7.7682544956259744E-2</v>
      </c>
      <c r="D7" s="47">
        <f>+AHP_nivel_0!F58</f>
        <v>0.44667463349849357</v>
      </c>
      <c r="E7" s="47">
        <f>+AHP_nivel_0!G58</f>
        <v>0.41430690643338536</v>
      </c>
      <c r="F7" s="47">
        <f>+AHP_nivel_0!H58</f>
        <v>0.23304763486877927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</row>
    <row r="8" spans="1:44" ht="18" customHeight="1" x14ac:dyDescent="0.25">
      <c r="A8" s="14" t="s">
        <v>99</v>
      </c>
      <c r="B8" s="47">
        <f>+AHP_nivel_0!D59</f>
        <v>0.23154625263965548</v>
      </c>
      <c r="C8" s="47">
        <f>+AHP_nivel_0!E59</f>
        <v>0.61745667370574797</v>
      </c>
      <c r="D8" s="47">
        <f>+AHP_nivel_0!F59</f>
        <v>0.32802385790617861</v>
      </c>
      <c r="E8" s="47">
        <f>+AHP_nivel_0!G59</f>
        <v>0.10290944561762465</v>
      </c>
      <c r="F8" s="47">
        <f>+AHP_nivel_0!H59</f>
        <v>0.23154625263965548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</row>
    <row r="9" spans="1:44" ht="18" customHeight="1" x14ac:dyDescent="0.25">
      <c r="A9" s="14" t="s">
        <v>100</v>
      </c>
      <c r="B9" s="47">
        <f>+AHP_nivel_0!D60</f>
        <v>0.45812046264916229</v>
      </c>
      <c r="C9" s="47">
        <f>+AHP_nivel_0!E60</f>
        <v>0.39074980637722662</v>
      </c>
      <c r="D9" s="47">
        <f>+AHP_nivel_0!F60</f>
        <v>0.26948262508774251</v>
      </c>
      <c r="E9" s="47">
        <f>+AHP_nivel_0!G60</f>
        <v>5.3896525017548498E-2</v>
      </c>
      <c r="F9" s="47">
        <f>+AHP_nivel_0!H60</f>
        <v>0.25151711674855959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</row>
    <row r="10" spans="1:44" ht="18" customHeight="1" x14ac:dyDescent="0.25">
      <c r="A10" s="14" t="s">
        <v>101</v>
      </c>
      <c r="B10" s="47">
        <f>+AHP_nivel_0!D61</f>
        <v>0.15362432657426853</v>
      </c>
      <c r="C10" s="47">
        <f>+AHP_nivel_0!E61</f>
        <v>0.21946332367752647</v>
      </c>
      <c r="D10" s="47">
        <f>+AHP_nivel_0!F61</f>
        <v>0.3950339826195477</v>
      </c>
      <c r="E10" s="47">
        <f>+AHP_nivel_0!G61</f>
        <v>0.11704710596134744</v>
      </c>
      <c r="F10" s="47">
        <f>+AHP_nivel_0!H61</f>
        <v>0.52671197682606341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</row>
    <row r="11" spans="1:44" ht="18" customHeight="1" x14ac:dyDescent="0.25">
      <c r="A11" s="49"/>
      <c r="B11" s="47"/>
      <c r="C11" s="47"/>
      <c r="D11" s="47"/>
      <c r="E11" s="47"/>
      <c r="F11" s="70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AA11" s="30">
        <f>ROUND($AC$26*AA19+$AC$25,0)</f>
        <v>5</v>
      </c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</row>
    <row r="12" spans="1:44" ht="18" customHeight="1" x14ac:dyDescent="0.25">
      <c r="A12" s="49"/>
      <c r="B12" s="47"/>
      <c r="C12" s="47"/>
      <c r="D12" s="47"/>
      <c r="E12" s="47"/>
      <c r="F12" s="70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</row>
    <row r="13" spans="1:44" ht="18" customHeight="1" x14ac:dyDescent="0.25">
      <c r="A13" s="50"/>
      <c r="B13" s="47"/>
      <c r="C13" s="47"/>
      <c r="D13" s="47"/>
      <c r="E13" s="47"/>
      <c r="F13" s="70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</row>
    <row r="15" spans="1:44" x14ac:dyDescent="0.25">
      <c r="AA15" s="30">
        <v>0.25</v>
      </c>
      <c r="AB15" s="30">
        <v>0.25</v>
      </c>
      <c r="AC15" s="30">
        <v>0.25</v>
      </c>
      <c r="AD15" s="30">
        <v>0.25</v>
      </c>
      <c r="AE15" s="30">
        <v>0.25</v>
      </c>
      <c r="AF15" s="30">
        <v>0.25</v>
      </c>
      <c r="AG15" s="30"/>
      <c r="AH15" s="30"/>
      <c r="AI15" s="30"/>
      <c r="AJ15" s="30"/>
      <c r="AK15" s="30"/>
      <c r="AL15" s="30"/>
    </row>
    <row r="17" spans="1:44" ht="15.75" thickBot="1" x14ac:dyDescent="0.3">
      <c r="AA17" s="25">
        <v>0.2112</v>
      </c>
      <c r="AB17" s="25"/>
      <c r="AC17" s="25"/>
      <c r="AD17" s="25"/>
      <c r="AE17" s="25">
        <v>0.19639999999999999</v>
      </c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</row>
    <row r="18" spans="1:44" ht="30.75" thickBot="1" x14ac:dyDescent="0.3">
      <c r="A18" s="51" t="s">
        <v>17</v>
      </c>
      <c r="B18" s="65" t="s">
        <v>102</v>
      </c>
      <c r="C18" s="66" t="s">
        <v>103</v>
      </c>
      <c r="D18" s="67" t="s">
        <v>104</v>
      </c>
      <c r="E18" s="68" t="s">
        <v>105</v>
      </c>
      <c r="F18" s="69" t="s">
        <v>106</v>
      </c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AA18" s="65" t="s">
        <v>102</v>
      </c>
      <c r="AB18" s="66" t="s">
        <v>103</v>
      </c>
      <c r="AC18" s="67" t="s">
        <v>104</v>
      </c>
      <c r="AD18" s="68" t="s">
        <v>105</v>
      </c>
      <c r="AE18" s="69" t="s">
        <v>106</v>
      </c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</row>
    <row r="19" spans="1:44" x14ac:dyDescent="0.25">
      <c r="A19" s="52" t="s">
        <v>95</v>
      </c>
      <c r="B19" s="47">
        <f t="shared" ref="B19:F25" si="0">IFERROR(+$U$26*B4+$U$24,"")</f>
        <v>4.7985771116203688</v>
      </c>
      <c r="C19" s="47">
        <f t="shared" si="0"/>
        <v>1.3711896631670002</v>
      </c>
      <c r="D19" s="47">
        <f t="shared" si="0"/>
        <v>2.0566671528576741</v>
      </c>
      <c r="E19" s="47">
        <f t="shared" si="0"/>
        <v>2.51365214598479</v>
      </c>
      <c r="F19" s="70">
        <f t="shared" si="0"/>
        <v>1.0774135961567115</v>
      </c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48"/>
      <c r="U19" t="s">
        <v>18</v>
      </c>
      <c r="Z19" s="53" t="s">
        <v>19</v>
      </c>
      <c r="AA19" s="26">
        <v>0.2</v>
      </c>
      <c r="AB19" s="27">
        <v>0.2</v>
      </c>
      <c r="AC19" s="28">
        <v>0.2</v>
      </c>
      <c r="AD19" s="29">
        <v>0.19989999999999999</v>
      </c>
      <c r="AE19" s="29">
        <v>0.2</v>
      </c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</row>
    <row r="20" spans="1:44" x14ac:dyDescent="0.25">
      <c r="A20" s="52" t="s">
        <v>96</v>
      </c>
      <c r="B20" s="47">
        <f t="shared" si="0"/>
        <v>1.5990224423172661</v>
      </c>
      <c r="C20" s="47">
        <f t="shared" si="0"/>
        <v>1.5990224423172661</v>
      </c>
      <c r="D20" s="47">
        <f t="shared" si="0"/>
        <v>4.8608448310349086</v>
      </c>
      <c r="E20" s="47">
        <f t="shared" si="0"/>
        <v>1.7294953378659719</v>
      </c>
      <c r="F20" s="70">
        <f t="shared" si="0"/>
        <v>2.59931464152401</v>
      </c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48"/>
      <c r="U20" t="s">
        <v>20</v>
      </c>
      <c r="AA20" s="54">
        <f>ROUND($AC$26*AA19+$AC$25,0)</f>
        <v>5</v>
      </c>
      <c r="AB20" s="54">
        <f t="shared" ref="AB20:AE20" si="1">ROUND($AC$26*AB19+$AC$25,0)</f>
        <v>5</v>
      </c>
      <c r="AC20" s="54">
        <f t="shared" si="1"/>
        <v>5</v>
      </c>
      <c r="AD20" s="54">
        <f t="shared" si="1"/>
        <v>1</v>
      </c>
      <c r="AE20" s="54">
        <f t="shared" si="1"/>
        <v>5</v>
      </c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</row>
    <row r="21" spans="1:44" x14ac:dyDescent="0.25">
      <c r="A21" s="52" t="s">
        <v>97</v>
      </c>
      <c r="B21" s="47">
        <f t="shared" si="0"/>
        <v>2.0339271192649746</v>
      </c>
      <c r="C21" s="47">
        <f t="shared" si="0"/>
        <v>1.1351171554058759</v>
      </c>
      <c r="D21" s="47">
        <f t="shared" si="0"/>
        <v>1.8541651264931549</v>
      </c>
      <c r="E21" s="47">
        <f t="shared" si="0"/>
        <v>4.9999999999999991</v>
      </c>
      <c r="F21" s="70">
        <f t="shared" si="0"/>
        <v>2.4833321011945237</v>
      </c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48"/>
      <c r="Z21" t="s">
        <v>73</v>
      </c>
      <c r="AA21" s="30">
        <f>ROUND($AC$26*AA19+$AC$25,0)</f>
        <v>5</v>
      </c>
      <c r="AB21" s="30">
        <f t="shared" ref="AB21:AE21" si="2">$AC$26*AB19+$AC$25</f>
        <v>5.0000000000009095</v>
      </c>
      <c r="AC21" s="30">
        <f t="shared" si="2"/>
        <v>5.0000000000009095</v>
      </c>
      <c r="AD21" s="30">
        <f t="shared" si="2"/>
        <v>1.0000000000009095</v>
      </c>
      <c r="AE21" s="30">
        <f t="shared" si="2"/>
        <v>5.0000000000009095</v>
      </c>
    </row>
    <row r="22" spans="1:44" x14ac:dyDescent="0.25">
      <c r="A22" s="52" t="s">
        <v>98</v>
      </c>
      <c r="B22" s="47">
        <f t="shared" si="0"/>
        <v>2.8374227239173848</v>
      </c>
      <c r="C22" s="47">
        <f t="shared" si="0"/>
        <v>1.1387038683060229</v>
      </c>
      <c r="D22" s="47">
        <f t="shared" si="0"/>
        <v>3.2904144187470807</v>
      </c>
      <c r="E22" s="47">
        <f t="shared" si="0"/>
        <v>3.1016678792347081</v>
      </c>
      <c r="F22" s="70">
        <f t="shared" si="0"/>
        <v>2.0446872579654158</v>
      </c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48"/>
    </row>
    <row r="23" spans="1:44" x14ac:dyDescent="0.25">
      <c r="A23" s="52" t="s">
        <v>99</v>
      </c>
      <c r="B23" s="47">
        <f t="shared" si="0"/>
        <v>2.0359322193535769</v>
      </c>
      <c r="C23" s="47">
        <f t="shared" si="0"/>
        <v>4.286298962482328</v>
      </c>
      <c r="D23" s="47">
        <f t="shared" si="0"/>
        <v>2.5985239051357647</v>
      </c>
      <c r="E23" s="47">
        <f t="shared" si="0"/>
        <v>1.2858099716439932</v>
      </c>
      <c r="F23" s="70">
        <f t="shared" si="0"/>
        <v>2.0359322193535769</v>
      </c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48"/>
      <c r="W23" t="s">
        <v>21</v>
      </c>
      <c r="X23" s="48">
        <f>+MIN(B4:F13)</f>
        <v>5.3896525017548498E-2</v>
      </c>
      <c r="AB23" s="30" t="s">
        <v>21</v>
      </c>
      <c r="AC23" s="55">
        <f>+ROUND(MIN(AA19:AE19),5)</f>
        <v>0.19989999999999999</v>
      </c>
      <c r="AD23" s="55"/>
      <c r="AE23" s="55"/>
      <c r="AF23" s="55"/>
      <c r="AG23" s="55"/>
    </row>
    <row r="24" spans="1:44" ht="18" customHeight="1" x14ac:dyDescent="0.25">
      <c r="A24" s="52" t="s">
        <v>100</v>
      </c>
      <c r="B24" s="47">
        <f t="shared" si="0"/>
        <v>3.3571586989275515</v>
      </c>
      <c r="C24" s="47">
        <f t="shared" si="0"/>
        <v>2.9642989157729591</v>
      </c>
      <c r="D24" s="47">
        <f t="shared" si="0"/>
        <v>2.2571513060946939</v>
      </c>
      <c r="E24" s="47">
        <f t="shared" si="0"/>
        <v>1</v>
      </c>
      <c r="F24" s="70">
        <f t="shared" si="0"/>
        <v>2.1523886972534689</v>
      </c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48"/>
      <c r="U24" s="56">
        <f>(5*X23-X24)/(X23-X24)</f>
        <v>0.68571217347632651</v>
      </c>
      <c r="W24" t="s">
        <v>22</v>
      </c>
      <c r="X24" s="48">
        <f>+MAX(B4:F13)</f>
        <v>0.7398476878569884</v>
      </c>
      <c r="AB24" s="30" t="s">
        <v>22</v>
      </c>
      <c r="AC24" s="55">
        <f>+ROUND(MAX(AA19:AE19),5)</f>
        <v>0.2</v>
      </c>
      <c r="AD24" s="55"/>
      <c r="AE24" s="55"/>
      <c r="AF24" s="55"/>
      <c r="AG24" s="55"/>
    </row>
    <row r="25" spans="1:44" x14ac:dyDescent="0.25">
      <c r="A25" s="52" t="s">
        <v>101</v>
      </c>
      <c r="B25" s="47">
        <f t="shared" si="0"/>
        <v>1.5815446169310641</v>
      </c>
      <c r="C25" s="47">
        <f t="shared" si="0"/>
        <v>1.9654728069830945</v>
      </c>
      <c r="D25" s="47">
        <f t="shared" si="0"/>
        <v>2.989281313788509</v>
      </c>
      <c r="E25" s="47">
        <f t="shared" si="0"/>
        <v>1.3682511780132693</v>
      </c>
      <c r="F25" s="70">
        <f t="shared" si="0"/>
        <v>3.7571376938925694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48"/>
      <c r="AB25" t="s">
        <v>23</v>
      </c>
      <c r="AC25" s="57">
        <f>(5*AC23-AC24)/(AC23-AC24)</f>
        <v>-7994.9999999986603</v>
      </c>
      <c r="AD25"/>
      <c r="AE25"/>
    </row>
    <row r="26" spans="1:44" x14ac:dyDescent="0.25">
      <c r="A26" s="52"/>
      <c r="B26" s="47"/>
      <c r="C26" s="47"/>
      <c r="D26" s="47"/>
      <c r="E26" s="47"/>
      <c r="F26" s="70"/>
      <c r="G26" s="59"/>
      <c r="H26" s="71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48"/>
      <c r="U26" s="56">
        <f>+-4/(X23-X24)</f>
        <v>5.8313189286571365</v>
      </c>
      <c r="AB26" t="s">
        <v>24</v>
      </c>
      <c r="AC26" s="57">
        <f>+-4/(AC23-AC24)</f>
        <v>39999.999999993306</v>
      </c>
      <c r="AD26"/>
      <c r="AE26"/>
      <c r="AJ26" t="s">
        <v>25</v>
      </c>
    </row>
    <row r="27" spans="1:44" x14ac:dyDescent="0.25">
      <c r="A27" s="52"/>
      <c r="B27" s="47"/>
      <c r="C27" s="47"/>
      <c r="D27" s="47"/>
      <c r="E27" s="47"/>
      <c r="F27" s="70"/>
      <c r="G27" s="59"/>
      <c r="H27" s="71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48"/>
    </row>
    <row r="28" spans="1:44" x14ac:dyDescent="0.25">
      <c r="A28" s="52"/>
      <c r="B28" s="47"/>
      <c r="C28" s="47"/>
      <c r="D28" s="47"/>
      <c r="E28" s="47"/>
      <c r="F28" s="70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48"/>
    </row>
    <row r="29" spans="1:44" x14ac:dyDescent="0.25">
      <c r="A29" s="58"/>
      <c r="B29" s="59"/>
      <c r="C29" s="59"/>
      <c r="D29" s="59"/>
      <c r="E29" s="59"/>
      <c r="F29" s="59"/>
      <c r="T29" s="48"/>
    </row>
    <row r="30" spans="1:44" x14ac:dyDescent="0.25">
      <c r="A30" s="46"/>
      <c r="B30" s="30"/>
      <c r="C30" s="30"/>
      <c r="D30" s="30"/>
      <c r="E30" s="30"/>
      <c r="F30" s="30"/>
      <c r="U30" s="113" t="s">
        <v>82</v>
      </c>
      <c r="V30" s="48"/>
    </row>
    <row r="31" spans="1:44" x14ac:dyDescent="0.25">
      <c r="A31" s="58"/>
      <c r="B31" s="59"/>
      <c r="C31" s="59"/>
      <c r="D31" s="59"/>
      <c r="E31" s="59"/>
      <c r="F31" s="59"/>
      <c r="U31" s="113"/>
      <c r="V31" s="48"/>
    </row>
    <row r="32" spans="1:44" ht="33.75" customHeight="1" x14ac:dyDescent="0.25">
      <c r="A32" s="53" t="s">
        <v>85</v>
      </c>
      <c r="B32" s="49" t="s">
        <v>27</v>
      </c>
      <c r="C32" s="49" t="s">
        <v>28</v>
      </c>
      <c r="D32" s="49" t="s">
        <v>29</v>
      </c>
      <c r="E32" s="49" t="s">
        <v>30</v>
      </c>
      <c r="F32" s="49" t="s">
        <v>31</v>
      </c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U32" s="113"/>
      <c r="V32" s="48"/>
      <c r="AA32" s="112"/>
      <c r="AB32" s="112"/>
      <c r="AC32" s="112"/>
      <c r="AD32" s="112"/>
    </row>
    <row r="33" spans="1:44" s="30" customFormat="1" x14ac:dyDescent="0.25">
      <c r="A33"/>
      <c r="B33">
        <f>+IFERROR(B19/MAX(B19:B28),0)</f>
        <v>1</v>
      </c>
      <c r="C33">
        <f>+IFERROR(C19/MAX(C19:C28),0)</f>
        <v>0.3199006124325266</v>
      </c>
      <c r="D33">
        <f>+IFERROR(D19/MAX(D19:D28),0)</f>
        <v>0.42310899120385931</v>
      </c>
      <c r="E33">
        <f>+IFERROR(E19/MAX(E19:E28),0)</f>
        <v>0.5027304291969581</v>
      </c>
      <c r="F33">
        <f>+IFERROR(F19/MAX(F19:F28),0)</f>
        <v>0.28676446910851994</v>
      </c>
      <c r="G33"/>
      <c r="H33"/>
      <c r="I33"/>
      <c r="J33"/>
      <c r="K33"/>
      <c r="L33"/>
      <c r="M33"/>
      <c r="N33"/>
      <c r="O33"/>
      <c r="P33"/>
      <c r="Q33"/>
      <c r="R33"/>
      <c r="S33"/>
      <c r="T33">
        <v>1</v>
      </c>
      <c r="U33" s="60" t="s">
        <v>87</v>
      </c>
      <c r="V33" s="86">
        <f>+PRODUCT(B34:S34)</f>
        <v>4.428926800773568E-8</v>
      </c>
      <c r="W33">
        <f>+V33/MAX($V$33:$V$42)*100</f>
        <v>0.61408956762237543</v>
      </c>
      <c r="X33">
        <f>+RANK(W33,$W$33:$W$42)</f>
        <v>6</v>
      </c>
      <c r="Y33" s="61"/>
      <c r="Z33"/>
      <c r="AA33" s="62"/>
      <c r="AF33" s="48"/>
      <c r="AG33"/>
      <c r="AH33"/>
      <c r="AI33"/>
      <c r="AJ33"/>
      <c r="AK33"/>
      <c r="AL33"/>
      <c r="AM33"/>
      <c r="AN33"/>
      <c r="AO33"/>
      <c r="AP33"/>
      <c r="AQ33"/>
      <c r="AR33"/>
    </row>
    <row r="34" spans="1:44" s="30" customFormat="1" x14ac:dyDescent="0.25">
      <c r="A34" t="s">
        <v>86</v>
      </c>
      <c r="B34" s="48">
        <f>+B33^AA20</f>
        <v>1</v>
      </c>
      <c r="C34" s="48">
        <f t="shared" ref="C34:F34" si="3">+C33^AB20</f>
        <v>3.3502356648838316E-3</v>
      </c>
      <c r="D34" s="48">
        <f t="shared" si="3"/>
        <v>1.3560049398446489E-2</v>
      </c>
      <c r="E34" s="48">
        <f t="shared" si="3"/>
        <v>0.5027304291969581</v>
      </c>
      <c r="F34" s="48">
        <f t="shared" si="3"/>
        <v>1.939218297778854E-3</v>
      </c>
      <c r="G34"/>
      <c r="H34"/>
      <c r="I34"/>
      <c r="J34"/>
      <c r="K34"/>
      <c r="L34"/>
      <c r="M34"/>
      <c r="N34"/>
      <c r="O34"/>
      <c r="P34"/>
      <c r="Q34"/>
      <c r="R34"/>
      <c r="S34"/>
      <c r="T34">
        <v>2</v>
      </c>
      <c r="U34" s="60" t="s">
        <v>88</v>
      </c>
      <c r="V34" s="86">
        <f>+PRODUCT(B37:S37)</f>
        <v>1.6275300032161336E-6</v>
      </c>
      <c r="W34">
        <f t="shared" ref="W34:W39" si="4">+V34/MAX($V$33:$V$42)*100</f>
        <v>22.566396802784645</v>
      </c>
      <c r="X34">
        <f t="shared" ref="X34:X39" si="5">+RANK(W34,$W$33:$W$42)</f>
        <v>4</v>
      </c>
      <c r="Y34" s="61"/>
      <c r="Z34"/>
      <c r="AA34" s="62"/>
      <c r="AF34" s="48"/>
      <c r="AG34"/>
      <c r="AH34"/>
      <c r="AI34"/>
      <c r="AJ34"/>
      <c r="AK34"/>
      <c r="AL34"/>
      <c r="AM34"/>
      <c r="AN34"/>
      <c r="AO34"/>
      <c r="AP34"/>
      <c r="AQ34"/>
      <c r="AR34"/>
    </row>
    <row r="35" spans="1:44" s="30" customFormat="1" x14ac:dyDescent="0.25">
      <c r="A35"/>
      <c r="B35" s="49" t="s">
        <v>34</v>
      </c>
      <c r="C35" s="49" t="s">
        <v>35</v>
      </c>
      <c r="D35" s="49" t="s">
        <v>36</v>
      </c>
      <c r="E35" s="49" t="s">
        <v>37</v>
      </c>
      <c r="F35" s="49" t="s">
        <v>38</v>
      </c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>
        <v>3</v>
      </c>
      <c r="U35" s="60" t="s">
        <v>89</v>
      </c>
      <c r="V35" s="86">
        <f>+PRODUCT(B40:S40)</f>
        <v>1.8154211647212686E-8</v>
      </c>
      <c r="W35">
        <f t="shared" si="4"/>
        <v>0.25171587796426748</v>
      </c>
      <c r="X35">
        <f t="shared" si="5"/>
        <v>7</v>
      </c>
      <c r="Y35" s="61"/>
      <c r="Z35"/>
      <c r="AA35" s="62"/>
      <c r="AF35" s="48"/>
      <c r="AG35"/>
      <c r="AH35"/>
      <c r="AI35"/>
      <c r="AJ35"/>
      <c r="AK35"/>
      <c r="AL35"/>
      <c r="AM35"/>
      <c r="AN35"/>
      <c r="AO35"/>
      <c r="AP35"/>
      <c r="AQ35"/>
      <c r="AR35"/>
    </row>
    <row r="36" spans="1:44" s="30" customFormat="1" x14ac:dyDescent="0.25">
      <c r="A36"/>
      <c r="B36">
        <f>+IFERROR(B20/MAX(B19:B28),0)</f>
        <v>0.33322845608649876</v>
      </c>
      <c r="C36">
        <f>+IFERROR(C20/MAX(C19:C28),0)</f>
        <v>0.3730543427589621</v>
      </c>
      <c r="D36">
        <f t="shared" ref="D36:F36" si="6">+IFERROR(D20/MAX(D19:D28),0)</f>
        <v>1</v>
      </c>
      <c r="E36">
        <f t="shared" si="6"/>
        <v>0.34589906757319444</v>
      </c>
      <c r="F36">
        <f t="shared" si="6"/>
        <v>0.69183374507389939</v>
      </c>
      <c r="G36"/>
      <c r="H36"/>
      <c r="I36"/>
      <c r="J36"/>
      <c r="K36"/>
      <c r="L36"/>
      <c r="M36"/>
      <c r="N36"/>
      <c r="O36"/>
      <c r="P36"/>
      <c r="Q36"/>
      <c r="R36"/>
      <c r="S36"/>
      <c r="T36">
        <v>4</v>
      </c>
      <c r="U36" s="60" t="s">
        <v>90</v>
      </c>
      <c r="V36" s="86">
        <f>+PRODUCT(B43:S43)</f>
        <v>4.0259455680879038E-7</v>
      </c>
      <c r="W36">
        <f t="shared" si="4"/>
        <v>5.5821450305895839</v>
      </c>
      <c r="X36">
        <f t="shared" si="5"/>
        <v>5</v>
      </c>
      <c r="Y36" s="61"/>
      <c r="Z36"/>
      <c r="AA36" s="62"/>
      <c r="AF36" s="48"/>
      <c r="AG36"/>
      <c r="AH36"/>
      <c r="AI36"/>
      <c r="AJ36"/>
      <c r="AK36"/>
      <c r="AL36"/>
      <c r="AM36"/>
      <c r="AN36"/>
      <c r="AO36"/>
      <c r="AP36"/>
      <c r="AQ36"/>
      <c r="AR36"/>
    </row>
    <row r="37" spans="1:44" s="30" customFormat="1" x14ac:dyDescent="0.25">
      <c r="A37" t="s">
        <v>86</v>
      </c>
      <c r="B37">
        <f>+(B36^AA20)</f>
        <v>4.108756505832872E-3</v>
      </c>
      <c r="C37">
        <f t="shared" ref="C37:F37" si="7">+(C36^AB20)</f>
        <v>7.2253767968006224E-3</v>
      </c>
      <c r="D37">
        <f t="shared" si="7"/>
        <v>1</v>
      </c>
      <c r="E37">
        <f t="shared" si="7"/>
        <v>0.34589906757319444</v>
      </c>
      <c r="F37">
        <f t="shared" si="7"/>
        <v>0.15849249688252925</v>
      </c>
      <c r="G37"/>
      <c r="H37"/>
      <c r="I37"/>
      <c r="J37"/>
      <c r="K37"/>
      <c r="L37"/>
      <c r="M37"/>
      <c r="N37"/>
      <c r="O37"/>
      <c r="P37"/>
      <c r="Q37"/>
      <c r="R37"/>
      <c r="S37"/>
      <c r="T37">
        <v>5</v>
      </c>
      <c r="U37" s="60" t="s">
        <v>91</v>
      </c>
      <c r="V37" s="86">
        <f>+PRODUCT(B46:S46)</f>
        <v>7.212183750200208E-6</v>
      </c>
      <c r="W37">
        <f t="shared" si="4"/>
        <v>100</v>
      </c>
      <c r="X37">
        <f t="shared" si="5"/>
        <v>1</v>
      </c>
      <c r="Y37" s="61"/>
      <c r="Z37"/>
      <c r="AA37" s="62"/>
      <c r="AF37" s="48"/>
      <c r="AG37"/>
      <c r="AH37"/>
      <c r="AI37"/>
      <c r="AJ37"/>
      <c r="AK37"/>
      <c r="AL37"/>
      <c r="AM37"/>
      <c r="AN37"/>
      <c r="AO37"/>
      <c r="AP37"/>
      <c r="AQ37"/>
      <c r="AR37"/>
    </row>
    <row r="38" spans="1:44" s="30" customFormat="1" x14ac:dyDescent="0.25">
      <c r="A38"/>
      <c r="B38" s="49" t="s">
        <v>39</v>
      </c>
      <c r="C38" s="49" t="s">
        <v>40</v>
      </c>
      <c r="D38" s="49" t="s">
        <v>41</v>
      </c>
      <c r="E38" s="49" t="s">
        <v>42</v>
      </c>
      <c r="F38" s="49" t="s">
        <v>43</v>
      </c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>
        <v>6</v>
      </c>
      <c r="U38" s="60" t="s">
        <v>92</v>
      </c>
      <c r="V38" s="86">
        <f>+PRODUCT(B49:S49)</f>
        <v>7.0645934380471418E-6</v>
      </c>
      <c r="W38">
        <f t="shared" si="4"/>
        <v>97.953597450301118</v>
      </c>
      <c r="X38">
        <f t="shared" si="5"/>
        <v>2</v>
      </c>
      <c r="Y38" s="61"/>
      <c r="Z38"/>
      <c r="AA38" s="62"/>
      <c r="AF38" s="48"/>
      <c r="AG38"/>
      <c r="AH38"/>
      <c r="AI38"/>
      <c r="AJ38"/>
      <c r="AK38"/>
      <c r="AL38"/>
      <c r="AM38"/>
      <c r="AN38"/>
      <c r="AO38"/>
      <c r="AP38"/>
      <c r="AQ38"/>
      <c r="AR38"/>
    </row>
    <row r="39" spans="1:44" s="30" customFormat="1" x14ac:dyDescent="0.25">
      <c r="A39"/>
      <c r="B39">
        <f>+IFERROR(B21/MAX(B19:B28),0)</f>
        <v>0.4238604636235937</v>
      </c>
      <c r="C39">
        <f t="shared" ref="C39:F39" si="8">+IFERROR(C21/MAX(C19:C28),0)</f>
        <v>0.26482454101813152</v>
      </c>
      <c r="D39">
        <f t="shared" si="8"/>
        <v>0.38144914946778702</v>
      </c>
      <c r="E39">
        <f t="shared" si="8"/>
        <v>1</v>
      </c>
      <c r="F39">
        <f t="shared" si="8"/>
        <v>0.66096382499670281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>
        <v>7</v>
      </c>
      <c r="U39" s="60" t="s">
        <v>93</v>
      </c>
      <c r="V39" s="86">
        <f>+PRODUCT(B52:S52)</f>
        <v>1.8977488100826144E-6</v>
      </c>
      <c r="W39">
        <f t="shared" si="4"/>
        <v>26.313095669947863</v>
      </c>
      <c r="X39">
        <f t="shared" si="5"/>
        <v>3</v>
      </c>
      <c r="Y39" s="61"/>
      <c r="Z39"/>
      <c r="AA39" s="62"/>
      <c r="AF39" s="48"/>
      <c r="AG39"/>
      <c r="AH39"/>
      <c r="AI39"/>
      <c r="AJ39"/>
      <c r="AK39"/>
      <c r="AL39"/>
      <c r="AM39"/>
      <c r="AN39"/>
      <c r="AO39"/>
      <c r="AP39"/>
      <c r="AQ39"/>
      <c r="AR39"/>
    </row>
    <row r="40" spans="1:44" s="30" customFormat="1" x14ac:dyDescent="0.25">
      <c r="A40" t="s">
        <v>86</v>
      </c>
      <c r="B40" s="48">
        <f>+B39^AA20</f>
        <v>1.3680896084140191E-2</v>
      </c>
      <c r="C40" s="48">
        <f t="shared" ref="C40:F40" si="9">+C39^AB20</f>
        <v>1.3025402167065087E-3</v>
      </c>
      <c r="D40" s="48">
        <f t="shared" si="9"/>
        <v>8.0757572198464564E-3</v>
      </c>
      <c r="E40" s="48">
        <f t="shared" si="9"/>
        <v>1</v>
      </c>
      <c r="F40" s="48">
        <f t="shared" si="9"/>
        <v>0.12615034846502693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 s="60"/>
      <c r="V40" s="86"/>
      <c r="W40"/>
      <c r="X40"/>
      <c r="Y40" s="61"/>
      <c r="Z40"/>
      <c r="AA40" s="62"/>
      <c r="AF40" s="48"/>
      <c r="AG40"/>
      <c r="AH40"/>
      <c r="AI40"/>
      <c r="AJ40"/>
      <c r="AK40"/>
      <c r="AL40"/>
      <c r="AM40"/>
      <c r="AN40"/>
      <c r="AO40"/>
      <c r="AP40"/>
      <c r="AQ40"/>
      <c r="AR40"/>
    </row>
    <row r="41" spans="1:44" s="30" customFormat="1" x14ac:dyDescent="0.25">
      <c r="A41"/>
      <c r="B41" s="49" t="s">
        <v>44</v>
      </c>
      <c r="C41" s="49" t="s">
        <v>45</v>
      </c>
      <c r="D41" s="49" t="s">
        <v>46</v>
      </c>
      <c r="E41" s="49" t="s">
        <v>47</v>
      </c>
      <c r="F41" s="49" t="s">
        <v>48</v>
      </c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/>
      <c r="U41" s="60"/>
      <c r="V41" s="86"/>
      <c r="W41"/>
      <c r="X41"/>
      <c r="Y41" s="61"/>
      <c r="Z41"/>
      <c r="AA41" s="62"/>
      <c r="AF41" s="48"/>
      <c r="AG41"/>
      <c r="AH41"/>
      <c r="AI41"/>
      <c r="AJ41"/>
      <c r="AK41"/>
      <c r="AL41"/>
      <c r="AM41"/>
      <c r="AN41"/>
      <c r="AO41"/>
      <c r="AP41"/>
      <c r="AQ41"/>
      <c r="AR41"/>
    </row>
    <row r="42" spans="1:44" s="30" customFormat="1" x14ac:dyDescent="0.25">
      <c r="A42"/>
      <c r="B42">
        <f>+IFERROR(B22/MAX(B19:B28),0)</f>
        <v>0.59130501769914301</v>
      </c>
      <c r="C42">
        <f t="shared" ref="C42:F42" si="10">+IFERROR(C22/MAX(C19:C28),0)</f>
        <v>0.26566132653672025</v>
      </c>
      <c r="D42">
        <f t="shared" si="10"/>
        <v>0.67692233204788965</v>
      </c>
      <c r="E42">
        <f t="shared" si="10"/>
        <v>0.62033357584694171</v>
      </c>
      <c r="F42">
        <f t="shared" si="10"/>
        <v>0.54421408650770653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 s="60"/>
      <c r="V42" s="86"/>
      <c r="W42"/>
      <c r="X42"/>
      <c r="Y42" s="61"/>
      <c r="Z42"/>
      <c r="AA42" s="62"/>
      <c r="AF42" s="48"/>
      <c r="AG42"/>
      <c r="AH42"/>
      <c r="AI42"/>
      <c r="AJ42"/>
      <c r="AK42"/>
      <c r="AL42"/>
      <c r="AM42"/>
      <c r="AN42"/>
      <c r="AO42"/>
      <c r="AP42"/>
      <c r="AQ42"/>
      <c r="AR42"/>
    </row>
    <row r="43" spans="1:44" s="30" customFormat="1" x14ac:dyDescent="0.25">
      <c r="A43" t="s">
        <v>86</v>
      </c>
      <c r="B43" s="48">
        <f>+B42^AA20</f>
        <v>7.2286603924400075E-2</v>
      </c>
      <c r="C43" s="48">
        <f t="shared" ref="C43:E43" si="11">+C42^AB20</f>
        <v>1.3232493351837116E-3</v>
      </c>
      <c r="D43" s="48">
        <f t="shared" si="11"/>
        <v>0.14213276664740024</v>
      </c>
      <c r="E43" s="48">
        <f t="shared" si="11"/>
        <v>0.62033357584694171</v>
      </c>
      <c r="F43" s="48">
        <f>+F42^AE20</f>
        <v>4.7736315436625668E-2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 s="48"/>
      <c r="W43"/>
      <c r="X43"/>
      <c r="Y43"/>
      <c r="Z43"/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1:44" s="30" customFormat="1" x14ac:dyDescent="0.25">
      <c r="A44"/>
      <c r="B44" s="49" t="s">
        <v>49</v>
      </c>
      <c r="C44" s="49" t="s">
        <v>50</v>
      </c>
      <c r="D44" s="49" t="s">
        <v>51</v>
      </c>
      <c r="E44" s="49" t="s">
        <v>52</v>
      </c>
      <c r="F44" s="49" t="s">
        <v>53</v>
      </c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/>
      <c r="U44"/>
      <c r="V44" s="3"/>
      <c r="W44" s="40"/>
      <c r="X44" s="40"/>
      <c r="Y44"/>
      <c r="Z44"/>
      <c r="AF44"/>
      <c r="AG44"/>
      <c r="AH44"/>
      <c r="AI44"/>
      <c r="AJ44"/>
      <c r="AK44"/>
      <c r="AL44"/>
      <c r="AM44"/>
      <c r="AN44"/>
      <c r="AO44"/>
      <c r="AP44"/>
      <c r="AQ44"/>
      <c r="AR44"/>
    </row>
    <row r="45" spans="1:44" s="30" customFormat="1" x14ac:dyDescent="0.25">
      <c r="A45"/>
      <c r="B45">
        <f>+IFERROR(B23/MAX(B19:B28),0)</f>
        <v>0.42427831667502153</v>
      </c>
      <c r="C45">
        <f>+IFERROR(C23/MAX(C19:C28),0)</f>
        <v>1</v>
      </c>
      <c r="D45">
        <f t="shared" ref="D45:F45" si="12">+IFERROR(D23/MAX(D19:D28),0)</f>
        <v>0.53458277222614414</v>
      </c>
      <c r="E45">
        <f t="shared" si="12"/>
        <v>0.25716199432879872</v>
      </c>
      <c r="F45">
        <f t="shared" si="12"/>
        <v>0.54188384489157659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 s="3"/>
      <c r="W45" s="40"/>
      <c r="X45" s="40"/>
      <c r="Y45"/>
      <c r="Z45"/>
      <c r="AF45"/>
      <c r="AG45"/>
      <c r="AH45"/>
      <c r="AI45"/>
      <c r="AJ45"/>
      <c r="AK45"/>
      <c r="AL45"/>
      <c r="AM45"/>
      <c r="AN45"/>
      <c r="AO45"/>
      <c r="AP45"/>
      <c r="AQ45"/>
      <c r="AR45"/>
    </row>
    <row r="46" spans="1:44" s="30" customFormat="1" x14ac:dyDescent="0.25">
      <c r="A46" t="s">
        <v>86</v>
      </c>
      <c r="B46" s="48">
        <f>+B45^AA20</f>
        <v>1.3748464151322248E-2</v>
      </c>
      <c r="C46" s="48">
        <f t="shared" ref="C46:F46" si="13">+C45^AB20</f>
        <v>1</v>
      </c>
      <c r="D46" s="48">
        <f t="shared" si="13"/>
        <v>4.3659101537783178E-2</v>
      </c>
      <c r="E46" s="48">
        <f t="shared" si="13"/>
        <v>0.25716199432879872</v>
      </c>
      <c r="F46" s="48">
        <f t="shared" si="13"/>
        <v>4.6723032054572802E-2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 s="3"/>
      <c r="W46" s="40"/>
      <c r="X46" s="40"/>
      <c r="Y46"/>
      <c r="Z46"/>
      <c r="AF46"/>
      <c r="AG46"/>
      <c r="AH46"/>
      <c r="AI46"/>
      <c r="AJ46"/>
      <c r="AK46"/>
      <c r="AL46"/>
      <c r="AM46"/>
      <c r="AN46"/>
      <c r="AO46"/>
      <c r="AP46"/>
      <c r="AQ46"/>
      <c r="AR46"/>
    </row>
    <row r="47" spans="1:44" s="30" customFormat="1" x14ac:dyDescent="0.25">
      <c r="A47"/>
      <c r="B47" s="49" t="s">
        <v>57</v>
      </c>
      <c r="C47" s="49" t="s">
        <v>58</v>
      </c>
      <c r="D47" s="49" t="s">
        <v>59</v>
      </c>
      <c r="E47" s="49" t="s">
        <v>60</v>
      </c>
      <c r="F47" s="49" t="s">
        <v>61</v>
      </c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/>
      <c r="U47"/>
      <c r="V47" s="48"/>
      <c r="W47"/>
      <c r="X47"/>
      <c r="Y47"/>
      <c r="Z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1:44" s="30" customFormat="1" x14ac:dyDescent="0.25">
      <c r="A48"/>
      <c r="B48">
        <f>+IFERROR(B24/MAX(B19:B28),0)</f>
        <v>0.69961545283866788</v>
      </c>
      <c r="C48">
        <f t="shared" ref="C48:F48" si="14">+IFERROR(C24/MAX(C19:C28),0)</f>
        <v>0.69157539913087218</v>
      </c>
      <c r="D48">
        <f t="shared" si="14"/>
        <v>0.46435370487112015</v>
      </c>
      <c r="E48">
        <f t="shared" si="14"/>
        <v>0.20000000000000004</v>
      </c>
      <c r="F48">
        <f t="shared" si="14"/>
        <v>0.5728799082217011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 s="48"/>
      <c r="W48"/>
      <c r="X48"/>
      <c r="Y48"/>
      <c r="Z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1:22" x14ac:dyDescent="0.25">
      <c r="A49" t="s">
        <v>86</v>
      </c>
      <c r="B49" s="48">
        <f>+ B48^AA20</f>
        <v>0.16760885807071754</v>
      </c>
      <c r="C49" s="48">
        <f t="shared" ref="C49:F49" si="15">+ C48^AB20</f>
        <v>0.15819679487982147</v>
      </c>
      <c r="D49" s="48">
        <f t="shared" si="15"/>
        <v>2.1589598938905486E-2</v>
      </c>
      <c r="E49" s="48">
        <f t="shared" si="15"/>
        <v>0.20000000000000004</v>
      </c>
      <c r="F49" s="48">
        <f t="shared" si="15"/>
        <v>6.1704658873128281E-2</v>
      </c>
      <c r="V49" s="48"/>
    </row>
    <row r="50" spans="1:22" x14ac:dyDescent="0.25">
      <c r="B50" s="49" t="s">
        <v>62</v>
      </c>
      <c r="C50" s="49" t="s">
        <v>63</v>
      </c>
      <c r="D50" s="49" t="s">
        <v>64</v>
      </c>
      <c r="E50" s="49" t="s">
        <v>65</v>
      </c>
      <c r="F50" s="49" t="s">
        <v>66</v>
      </c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</row>
    <row r="51" spans="1:22" x14ac:dyDescent="0.25">
      <c r="B51">
        <f>+IFERROR(B25/MAX(B19:B28),0)</f>
        <v>0.32958616276086328</v>
      </c>
      <c r="C51">
        <f t="shared" ref="C51:F51" si="16">+IFERROR(C25/MAX(C19:C28),0)</f>
        <v>0.45854776444357687</v>
      </c>
      <c r="D51">
        <f t="shared" si="16"/>
        <v>0.61497155694066241</v>
      </c>
      <c r="E51">
        <f t="shared" si="16"/>
        <v>0.27365023560265389</v>
      </c>
      <c r="F51">
        <f t="shared" si="16"/>
        <v>1</v>
      </c>
    </row>
    <row r="52" spans="1:22" x14ac:dyDescent="0.25">
      <c r="A52" t="s">
        <v>86</v>
      </c>
      <c r="B52" s="48">
        <f>+B51^AA20</f>
        <v>3.889061855401756E-3</v>
      </c>
      <c r="C52" s="48">
        <f t="shared" ref="C52:F52" si="17">+C51^AB20</f>
        <v>2.0273227893841846E-2</v>
      </c>
      <c r="D52" s="48">
        <f t="shared" si="17"/>
        <v>8.7957960027633883E-2</v>
      </c>
      <c r="E52" s="48">
        <f t="shared" si="17"/>
        <v>0.27365023560265389</v>
      </c>
      <c r="F52" s="48">
        <f t="shared" si="17"/>
        <v>1</v>
      </c>
    </row>
    <row r="53" spans="1:22" x14ac:dyDescent="0.25">
      <c r="B53" s="49"/>
      <c r="C53" s="49"/>
      <c r="D53" s="49"/>
      <c r="E53" s="49"/>
      <c r="F53" s="4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</row>
    <row r="55" spans="1:22" x14ac:dyDescent="0.25">
      <c r="B55" s="48"/>
      <c r="C55" s="48"/>
      <c r="D55" s="48"/>
      <c r="E55" s="48"/>
      <c r="F55" s="48"/>
    </row>
    <row r="56" spans="1:22" x14ac:dyDescent="0.25">
      <c r="B56" s="49"/>
      <c r="C56" s="49"/>
      <c r="D56" s="49"/>
      <c r="E56" s="49"/>
      <c r="F56" s="49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</row>
    <row r="58" spans="1:22" x14ac:dyDescent="0.25">
      <c r="B58" s="48"/>
      <c r="C58" s="48"/>
      <c r="D58" s="48"/>
      <c r="E58" s="48"/>
      <c r="F58" s="48"/>
    </row>
    <row r="59" spans="1:22" x14ac:dyDescent="0.25">
      <c r="B59" s="49"/>
      <c r="C59" s="49"/>
      <c r="D59" s="49"/>
      <c r="E59" s="49"/>
      <c r="F59" s="49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</row>
    <row r="61" spans="1:22" x14ac:dyDescent="0.25">
      <c r="B61" s="48"/>
      <c r="C61" s="48"/>
      <c r="D61" s="48"/>
      <c r="E61" s="48"/>
      <c r="F61" s="48"/>
    </row>
    <row r="63" spans="1:22" x14ac:dyDescent="0.25">
      <c r="V63" s="48"/>
    </row>
    <row r="64" spans="1:22" x14ac:dyDescent="0.25">
      <c r="V64" s="48"/>
    </row>
    <row r="65" spans="22:22" x14ac:dyDescent="0.25">
      <c r="V65" s="48"/>
    </row>
    <row r="66" spans="22:22" x14ac:dyDescent="0.25">
      <c r="V66" s="48"/>
    </row>
    <row r="67" spans="22:22" x14ac:dyDescent="0.25">
      <c r="V67" s="48"/>
    </row>
    <row r="68" spans="22:22" x14ac:dyDescent="0.25">
      <c r="V68" s="48"/>
    </row>
    <row r="69" spans="22:22" x14ac:dyDescent="0.25">
      <c r="V69" s="48"/>
    </row>
  </sheetData>
  <mergeCells count="3">
    <mergeCell ref="A1:U1"/>
    <mergeCell ref="U30:U32"/>
    <mergeCell ref="AA32:AD32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3"/>
  <sheetViews>
    <sheetView topLeftCell="H1" workbookViewId="0">
      <selection activeCell="AB26" sqref="AB26:AF26"/>
    </sheetView>
  </sheetViews>
  <sheetFormatPr defaultRowHeight="15" x14ac:dyDescent="0.25"/>
  <cols>
    <col min="1" max="2" width="2.85546875" style="1" customWidth="1"/>
    <col min="3" max="3" width="30.5703125" style="3" customWidth="1"/>
    <col min="4" max="4" width="13.28515625" style="3" customWidth="1"/>
    <col min="5" max="17" width="8.42578125" style="3" customWidth="1"/>
    <col min="18" max="18" width="15.28515625" style="3" customWidth="1"/>
    <col min="19" max="21" width="8.42578125" style="3" customWidth="1"/>
    <col min="22" max="22" width="11" style="2" customWidth="1"/>
    <col min="23" max="26" width="10" style="3" customWidth="1"/>
    <col min="27" max="27" width="25.28515625" style="3" customWidth="1"/>
    <col min="28" max="28" width="9.140625" style="3" customWidth="1"/>
    <col min="29" max="32" width="9.140625" style="3"/>
    <col min="33" max="45" width="9.140625" style="41"/>
    <col min="46" max="16384" width="9.140625" style="3"/>
  </cols>
  <sheetData>
    <row r="1" spans="1:26" ht="26.25" thickBot="1" x14ac:dyDescent="0.3">
      <c r="A1" s="3"/>
      <c r="B1" s="3"/>
      <c r="C1" s="19"/>
      <c r="D1" s="65" t="s">
        <v>102</v>
      </c>
      <c r="E1" s="66" t="s">
        <v>103</v>
      </c>
      <c r="F1" s="67" t="s">
        <v>104</v>
      </c>
      <c r="G1" s="68" t="s">
        <v>105</v>
      </c>
      <c r="H1" s="69" t="s">
        <v>106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17"/>
      <c r="W1" s="18"/>
      <c r="X1" s="18"/>
      <c r="Y1" s="18"/>
      <c r="Z1" s="18"/>
    </row>
    <row r="2" spans="1:26" x14ac:dyDescent="0.25">
      <c r="A2" s="3"/>
      <c r="B2" s="3"/>
      <c r="C2" s="16" t="s">
        <v>2</v>
      </c>
      <c r="D2"/>
      <c r="E2"/>
      <c r="F2"/>
      <c r="G2"/>
      <c r="H2"/>
      <c r="V2" s="15"/>
      <c r="W2" s="18"/>
      <c r="X2" s="18"/>
      <c r="Y2" s="18"/>
      <c r="Z2" s="18"/>
    </row>
    <row r="3" spans="1:26" x14ac:dyDescent="0.25">
      <c r="A3" s="3"/>
      <c r="B3" s="3"/>
      <c r="C3" s="14" t="s">
        <v>95</v>
      </c>
      <c r="D3" s="81">
        <f>+AHP_nivel_0!D55</f>
        <v>0.70530612173036678</v>
      </c>
      <c r="E3" s="81">
        <f>+AHP_nivel_0!E55</f>
        <v>0.11755102028839447</v>
      </c>
      <c r="F3" s="81">
        <f>+AHP_nivel_0!F55</f>
        <v>0.23510204057678893</v>
      </c>
      <c r="G3" s="81">
        <f>+AHP_nivel_0!G55</f>
        <v>0.31346938743571856</v>
      </c>
      <c r="H3" s="81">
        <f>+AHP_nivel_0!H55</f>
        <v>6.7172011593368261E-2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8"/>
      <c r="X3" s="18"/>
      <c r="Y3" s="18"/>
      <c r="Z3" s="18"/>
    </row>
    <row r="4" spans="1:26" x14ac:dyDescent="0.25">
      <c r="A4" s="3"/>
      <c r="B4" s="3"/>
      <c r="C4" s="14" t="s">
        <v>96</v>
      </c>
      <c r="D4" s="81">
        <f>+AHP_nivel_0!D56</f>
        <v>0.15662156023616103</v>
      </c>
      <c r="E4" s="81">
        <f>+AHP_nivel_0!E56</f>
        <v>0.15662156023616103</v>
      </c>
      <c r="F4" s="81">
        <f>+AHP_nivel_0!F56</f>
        <v>0.71598427536530773</v>
      </c>
      <c r="G4" s="81">
        <f>+AHP_nivel_0!G56</f>
        <v>0.17899606884132688</v>
      </c>
      <c r="H4" s="81">
        <f>+AHP_nivel_0!H56</f>
        <v>0.3281594595424327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8"/>
      <c r="X4" s="18"/>
      <c r="Y4" s="18"/>
      <c r="Z4" s="18"/>
    </row>
    <row r="5" spans="1:26" x14ac:dyDescent="0.25">
      <c r="A5" s="3"/>
      <c r="B5" s="3"/>
      <c r="C5" s="14" t="s">
        <v>97</v>
      </c>
      <c r="D5" s="81">
        <f>+AHP_nivel_0!D57</f>
        <v>0.2312024024553089</v>
      </c>
      <c r="E5" s="81">
        <f>+AHP_nivel_0!E57</f>
        <v>7.7067467485102972E-2</v>
      </c>
      <c r="F5" s="81">
        <f>+AHP_nivel_0!F57</f>
        <v>0.20037541546126772</v>
      </c>
      <c r="G5" s="81">
        <f>+AHP_nivel_0!G57</f>
        <v>0.7398476878569884</v>
      </c>
      <c r="H5" s="81">
        <f>+AHP_nivel_0!H57</f>
        <v>0.30826986994041189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8"/>
      <c r="X5" s="18"/>
      <c r="Y5" s="18"/>
      <c r="Z5" s="18"/>
    </row>
    <row r="6" spans="1:26" x14ac:dyDescent="0.25">
      <c r="A6" s="3"/>
      <c r="B6" s="3"/>
      <c r="C6" s="14" t="s">
        <v>98</v>
      </c>
      <c r="D6" s="81">
        <f>+AHP_nivel_0!D58</f>
        <v>0.36899208854223386</v>
      </c>
      <c r="E6" s="81">
        <f>+AHP_nivel_0!E58</f>
        <v>7.7682544956259744E-2</v>
      </c>
      <c r="F6" s="81">
        <f>+AHP_nivel_0!F58</f>
        <v>0.44667463349849357</v>
      </c>
      <c r="G6" s="81">
        <f>+AHP_nivel_0!G58</f>
        <v>0.41430690643338536</v>
      </c>
      <c r="H6" s="81">
        <f>+AHP_nivel_0!H58</f>
        <v>0.23304763486877927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8"/>
      <c r="Y6" s="18"/>
      <c r="Z6" s="18"/>
    </row>
    <row r="7" spans="1:26" x14ac:dyDescent="0.25">
      <c r="A7" s="3"/>
      <c r="B7" s="3"/>
      <c r="C7" s="14" t="s">
        <v>99</v>
      </c>
      <c r="D7" s="81">
        <f>+AHP_nivel_0!D59</f>
        <v>0.23154625263965548</v>
      </c>
      <c r="E7" s="81">
        <f>+AHP_nivel_0!E59</f>
        <v>0.61745667370574797</v>
      </c>
      <c r="F7" s="81">
        <f>+AHP_nivel_0!F59</f>
        <v>0.32802385790617861</v>
      </c>
      <c r="G7" s="81">
        <f>+AHP_nivel_0!G59</f>
        <v>0.10290944561762465</v>
      </c>
      <c r="H7" s="81">
        <f>+AHP_nivel_0!H59</f>
        <v>0.23154625263965548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8"/>
      <c r="X7" s="18"/>
      <c r="Y7" s="18"/>
      <c r="Z7" s="18"/>
    </row>
    <row r="8" spans="1:26" x14ac:dyDescent="0.25">
      <c r="A8" s="3"/>
      <c r="B8" s="3"/>
      <c r="C8" s="14" t="s">
        <v>100</v>
      </c>
      <c r="D8" s="81">
        <f>+AHP_nivel_0!D60</f>
        <v>0.45812046264916229</v>
      </c>
      <c r="E8" s="81">
        <f>+AHP_nivel_0!E60</f>
        <v>0.39074980637722662</v>
      </c>
      <c r="F8" s="81">
        <f>+AHP_nivel_0!F60</f>
        <v>0.26948262508774251</v>
      </c>
      <c r="G8" s="81">
        <f>+AHP_nivel_0!G60</f>
        <v>5.3896525017548498E-2</v>
      </c>
      <c r="H8" s="81">
        <f>+AHP_nivel_0!H60</f>
        <v>0.25151711674855959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8"/>
      <c r="X8" s="18"/>
      <c r="Y8" s="18"/>
      <c r="Z8" s="18"/>
    </row>
    <row r="9" spans="1:26" x14ac:dyDescent="0.25">
      <c r="A9" s="3"/>
      <c r="B9" s="3"/>
      <c r="C9" s="14" t="s">
        <v>101</v>
      </c>
      <c r="D9" s="81">
        <f>+AHP_nivel_0!D61</f>
        <v>0.15362432657426853</v>
      </c>
      <c r="E9" s="81">
        <f>+AHP_nivel_0!E61</f>
        <v>0.21946332367752647</v>
      </c>
      <c r="F9" s="81">
        <f>+AHP_nivel_0!F61</f>
        <v>0.3950339826195477</v>
      </c>
      <c r="G9" s="81">
        <f>+AHP_nivel_0!G61</f>
        <v>0.11704710596134744</v>
      </c>
      <c r="H9" s="81">
        <f>+AHP_nivel_0!H61</f>
        <v>0.52671197682606341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8"/>
      <c r="X9" s="18"/>
      <c r="Y9" s="18"/>
      <c r="Z9" s="18"/>
    </row>
    <row r="10" spans="1:26" x14ac:dyDescent="0.25">
      <c r="A10" s="3"/>
      <c r="B10" s="3"/>
      <c r="C10" s="90"/>
      <c r="D10" s="81"/>
      <c r="E10" s="81"/>
      <c r="F10" s="81"/>
      <c r="G10" s="81"/>
      <c r="H10" s="82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</row>
    <row r="11" spans="1:26" x14ac:dyDescent="0.25">
      <c r="A11" s="3"/>
      <c r="B11" s="3"/>
      <c r="C11" s="90"/>
      <c r="D11" s="81"/>
      <c r="E11" s="81"/>
      <c r="F11" s="81"/>
      <c r="G11" s="81"/>
      <c r="H11" s="82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8"/>
      <c r="Y11" s="18"/>
      <c r="Z11" s="18"/>
    </row>
    <row r="12" spans="1:26" x14ac:dyDescent="0.25">
      <c r="A12" s="3"/>
      <c r="B12" s="3"/>
      <c r="C12" s="91"/>
      <c r="D12" s="81"/>
      <c r="E12" s="81"/>
      <c r="F12" s="81"/>
      <c r="G12" s="81"/>
      <c r="H12" s="82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8"/>
      <c r="X12" s="18"/>
      <c r="Y12" s="18"/>
      <c r="Z12" s="18"/>
    </row>
    <row r="13" spans="1:26" x14ac:dyDescent="0.25">
      <c r="A13" s="3"/>
      <c r="B13" s="3"/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17"/>
      <c r="W13" s="18"/>
      <c r="X13" s="103"/>
      <c r="Y13" s="103"/>
      <c r="Z13" s="18"/>
    </row>
    <row r="14" spans="1:26" x14ac:dyDescent="0.25">
      <c r="A14" s="3"/>
      <c r="B14" s="3"/>
      <c r="C14" s="19"/>
      <c r="D14" s="20"/>
      <c r="E14" s="20"/>
      <c r="F14" s="75"/>
      <c r="G14" s="20"/>
      <c r="H14" s="78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72"/>
      <c r="W14" s="18"/>
      <c r="X14" s="103"/>
      <c r="Y14" s="103"/>
      <c r="Z14" s="18"/>
    </row>
    <row r="15" spans="1:26" ht="28.5" x14ac:dyDescent="0.25">
      <c r="A15" s="3"/>
      <c r="B15" s="3"/>
      <c r="C15" s="16" t="s">
        <v>67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72"/>
      <c r="W15" s="18"/>
      <c r="X15" s="18"/>
      <c r="Y15" s="18"/>
      <c r="Z15" s="18"/>
    </row>
    <row r="16" spans="1:26" x14ac:dyDescent="0.25">
      <c r="A16" s="3"/>
      <c r="B16" s="3"/>
      <c r="C16" s="14" t="s">
        <v>95</v>
      </c>
      <c r="D16" s="95">
        <f>+D3/(((D3^2)+(D4^2)+(D5^2)+(D6^2)+(D7^2)+(D8^2)+(D9^2))^0.5)</f>
        <v>0.70577024419656742</v>
      </c>
      <c r="E16" s="95">
        <f>+E3/((E3^2)+(E4^2)+(E5^2)+(E6^2)+(E7^2)+(E8^2)+(E9^2))^0.5</f>
        <v>0.14781617006155601</v>
      </c>
      <c r="F16" s="95">
        <f>+F3/((F3^2)+(F4^2)+(F5^2)+(F6^2)+(F7^2)+(F8^2)+(F9^2))^0.5</f>
        <v>0.21982260966571487</v>
      </c>
      <c r="G16" s="95">
        <f>+G3/((G3^2)+(G4^2)+(G5^2)+(G6^2)+(G7^2)+(G8^2)+(G9^2))^0.5</f>
        <v>0.33482166889683884</v>
      </c>
      <c r="H16" s="95">
        <f>+H3/((H3^2)+(H4^2)+(H5^2)+(H6^2)+(H7^2)+(H8^2)+(H9^2))^0.5</f>
        <v>8.294470304649483E-2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72"/>
      <c r="W16" s="18"/>
      <c r="X16" s="18"/>
      <c r="Y16" s="18"/>
      <c r="Z16" s="18"/>
    </row>
    <row r="17" spans="1:45" x14ac:dyDescent="0.25">
      <c r="A17" s="3"/>
      <c r="B17" s="3"/>
      <c r="C17" s="14" t="s">
        <v>96</v>
      </c>
      <c r="D17" s="95">
        <f>+D4/((D3^2)+(D4^2)+(D5^2)+(D6^2)+(D7^2)+(D8^2)+(D9^2))^0.5</f>
        <v>0.15672462411517382</v>
      </c>
      <c r="E17" s="95">
        <f>+E4/((E3^2)+(E4^2)+(E5^2)+(E6^2)+(E7^2)+(E8^2)+(E9^2))^0.5</f>
        <v>0.19694596547419571</v>
      </c>
      <c r="F17" s="95">
        <f>+F4/((F3^2)+(F4^2)+(F5^2)+(F6^2)+(F7^2)+(F8^2)+(F9^2))^0.5</f>
        <v>0.66945200264653271</v>
      </c>
      <c r="G17" s="95">
        <f>+G4/((G3^2)+(G4^2)+(G5^2)+(G6^2)+(G7^2)+(G8^2)+(G9^2))^0.5</f>
        <v>0.19118856544713284</v>
      </c>
      <c r="H17" s="95">
        <f>+H4/((H3^2)+(H4^2)+(H5^2)+(H6^2)+(H7^2)+(H8^2)+(H9^2))^0.5</f>
        <v>0.4052147356910864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72"/>
      <c r="W17" s="18"/>
      <c r="X17" s="18"/>
      <c r="Y17" s="18"/>
      <c r="Z17" s="18"/>
    </row>
    <row r="18" spans="1:45" x14ac:dyDescent="0.25">
      <c r="A18" s="3"/>
      <c r="B18" s="3"/>
      <c r="C18" s="14" t="s">
        <v>97</v>
      </c>
      <c r="D18" s="95">
        <f>+D5/((D3^2)+(D4^2)+(D5^2)+(D6^2)+(D7^2)+(D8^2)+(D9^2))^0.5</f>
        <v>0.23135454381054882</v>
      </c>
      <c r="E18" s="95">
        <f>+E5/((E3^2)+(E4^2)+(E5^2)+(E6^2)+(E7^2)+(E8^2)+(E9^2))^0.5</f>
        <v>9.6909561925053803E-2</v>
      </c>
      <c r="F18" s="95">
        <f>+F5/((F3^2)+(F4^2)+(F5^2)+(F6^2)+(F7^2)+(F8^2)+(F9^2))^0.5</f>
        <v>0.18735288996847763</v>
      </c>
      <c r="G18" s="95">
        <f>+G5/((G3^2)+(G4^2)+(G5^2)+(G6^2)+(G7^2)+(G8^2)+(G9^2))^0.5</f>
        <v>0.79024315453623784</v>
      </c>
      <c r="H18" s="95">
        <f>+H5/((H3^2)+(H4^2)+(H5^2)+(H6^2)+(H7^2)+(H8^2)+(H9^2))^0.5</f>
        <v>0.38065486225387135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72"/>
      <c r="W18" s="18"/>
      <c r="X18" s="18"/>
      <c r="Y18" s="18"/>
      <c r="Z18" s="18"/>
    </row>
    <row r="19" spans="1:45" x14ac:dyDescent="0.25">
      <c r="A19" s="3"/>
      <c r="B19" s="3"/>
      <c r="C19" s="14" t="s">
        <v>98</v>
      </c>
      <c r="D19" s="95">
        <f>+D6/((D3^2)+(D4^2)+(D5^2)+(D6^2)+(D7^2)+(D8^2)+(D9^2))^0.5</f>
        <v>0.36923490157457023</v>
      </c>
      <c r="E19" s="95">
        <f>+E6/((E3^2)+(E4^2)+(E5^2)+(E6^2)+(E7^2)+(E8^2)+(E9^2))^0.5</f>
        <v>9.7682999670251472E-2</v>
      </c>
      <c r="F19" s="95">
        <f>+F6/((F3^2)+(F4^2)+(F5^2)+(F6^2)+(F7^2)+(F8^2)+(F9^2))^0.5</f>
        <v>0.41764496542106821</v>
      </c>
      <c r="G19" s="95">
        <f>+G6/((G3^2)+(G4^2)+(G5^2)+(G6^2)+(G7^2)+(G8^2)+(G9^2))^0.5</f>
        <v>0.44252783655296762</v>
      </c>
      <c r="H19" s="95">
        <f>+H6/((H3^2)+(H4^2)+(H5^2)+(H6^2)+(H7^2)+(H8^2)+(H9^2))^0.5</f>
        <v>0.28776965898974599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72"/>
      <c r="W19" s="18"/>
      <c r="X19" s="18"/>
      <c r="Y19" s="18"/>
      <c r="Z19" s="18"/>
    </row>
    <row r="20" spans="1:45" x14ac:dyDescent="0.25">
      <c r="A20" s="3"/>
      <c r="B20" s="3"/>
      <c r="C20" s="14" t="s">
        <v>99</v>
      </c>
      <c r="D20" s="95">
        <f>IFERROR(+D7/((D3^2)+(D4^2)+(D5^2)+(D6^2)+(D7^2)+(D8^2)+(D9^2))^0.5,"")</f>
        <v>0.23169862026344837</v>
      </c>
      <c r="E20" s="95">
        <f>+E7/((E3^2)+(E4^2)+(E5^2)+(E6^2)+(E7^2)+(E8^2)+(E9^2))^0.5</f>
        <v>0.77642950662796095</v>
      </c>
      <c r="F20" s="95">
        <f>+F7/((F3^2)+(F4^2)+(F5^2)+(F6^2)+(F7^2)+(F8^2)+(F9^2))^0.5</f>
        <v>0.30670537907985634</v>
      </c>
      <c r="G20" s="95">
        <f>+G7/((G3^2)+(G4^2)+(G5^2)+(G6^2)+(G7^2)+(G8^2)+(G9^2))^0.5</f>
        <v>0.10991922563413734</v>
      </c>
      <c r="H20" s="95">
        <f>+H7/((H3^2)+(H4^2)+(H5^2)+(H6^2)+(H7^2)+(H8^2)+(H9^2))^0.5</f>
        <v>0.28591573649732727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72"/>
      <c r="W20" s="18"/>
      <c r="X20" s="18"/>
      <c r="Y20" s="18"/>
      <c r="Z20" s="18"/>
    </row>
    <row r="21" spans="1:45" x14ac:dyDescent="0.25">
      <c r="A21" s="3"/>
      <c r="B21" s="3"/>
      <c r="C21" s="14" t="s">
        <v>100</v>
      </c>
      <c r="D21" s="95">
        <f>+D8/((D3^2)+(D4^2)+(D5^2)+(D6^2)+(D7^2)+(D8^2)+(D9^2))^0.5</f>
        <v>0.45842192607389487</v>
      </c>
      <c r="E21" s="95">
        <f>+E8/((E3^2)+(E4^2)+(E5^2)+(E6^2)+(E7^2)+(E8^2)+(E9^2))^0.5</f>
        <v>0.49135379420163683</v>
      </c>
      <c r="F21" s="95">
        <f>+F8/((F3^2)+(F4^2)+(F5^2)+(F6^2)+(F7^2)+(F8^2)+(F9^2))^0.5</f>
        <v>0.25196877815701724</v>
      </c>
      <c r="G21" s="95">
        <f>+G8/((G3^2)+(G4^2)+(G5^2)+(G6^2)+(G7^2)+(G8^2)+(G9^2))^0.5</f>
        <v>5.7567740830247266E-2</v>
      </c>
      <c r="H21" s="95">
        <f>+H8/((H3^2)+(H4^2)+(H5^2)+(H6^2)+(H7^2)+(H8^2)+(H9^2))^0.5</f>
        <v>0.31057596854639241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72"/>
      <c r="W21" s="18"/>
      <c r="X21" s="18"/>
      <c r="Y21" s="18"/>
      <c r="Z21" s="18"/>
    </row>
    <row r="22" spans="1:45" x14ac:dyDescent="0.25">
      <c r="A22" s="3"/>
      <c r="B22" s="3"/>
      <c r="C22" s="14" t="s">
        <v>101</v>
      </c>
      <c r="D22" s="95">
        <f>+D9/((D3^2)+(D4^2)+(D5^2)+(D6^2)+(D7^2)+(D8^2)+(D9^2))^0.5</f>
        <v>0.15372541814163382</v>
      </c>
      <c r="E22" s="95">
        <f>+E9/((E3^2)+(E4^2)+(E5^2)+(E6^2)+(E7^2)+(E8^2)+(E9^2))^0.5</f>
        <v>0.2759672174295395</v>
      </c>
      <c r="F22" s="95">
        <f>+F9/((F3^2)+(F4^2)+(F5^2)+(F6^2)+(F7^2)+(F8^2)+(F9^2))^0.5</f>
        <v>0.36936047323547933</v>
      </c>
      <c r="G22" s="95">
        <f>+G9/((G3^2)+(G4^2)+(G5^2)+(G6^2)+(G7^2)+(G8^2)+(G9^2))^0.5</f>
        <v>0.1250198868798949</v>
      </c>
      <c r="H22" s="95">
        <f>+H9/((H3^2)+(H4^2)+(H5^2)+(H6^2)+(H7^2)+(H8^2)+(H9^2))^0.5</f>
        <v>0.65038946240495366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72"/>
      <c r="W22" s="18"/>
      <c r="X22" s="18"/>
      <c r="Y22" s="18"/>
      <c r="Z22" s="18"/>
    </row>
    <row r="23" spans="1:45" x14ac:dyDescent="0.25">
      <c r="A23" s="3"/>
      <c r="B23" s="3"/>
      <c r="C23" s="90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72"/>
      <c r="W23" s="18"/>
      <c r="X23" s="18"/>
      <c r="Y23" s="18"/>
      <c r="Z23" s="18"/>
    </row>
    <row r="24" spans="1:45" x14ac:dyDescent="0.25">
      <c r="A24" s="3"/>
      <c r="B24" s="3"/>
      <c r="C24" s="90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72"/>
      <c r="W24" s="18"/>
      <c r="X24" s="18"/>
      <c r="Y24" s="18"/>
      <c r="Z24" s="18"/>
    </row>
    <row r="25" spans="1:45" ht="15.75" thickBot="1" x14ac:dyDescent="0.3">
      <c r="A25" s="3"/>
      <c r="B25" s="3"/>
      <c r="C25" s="91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72"/>
      <c r="W25" s="18"/>
      <c r="X25" s="18"/>
      <c r="Y25" s="18"/>
      <c r="Z25" s="18"/>
    </row>
    <row r="26" spans="1:45" ht="15.75" customHeight="1" thickBot="1" x14ac:dyDescent="0.3">
      <c r="A26" s="3"/>
      <c r="B26" s="3"/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73" t="s">
        <v>68</v>
      </c>
      <c r="W26" s="74" t="s">
        <v>69</v>
      </c>
      <c r="X26" s="74" t="s">
        <v>70</v>
      </c>
      <c r="Y26" s="74" t="s">
        <v>8</v>
      </c>
      <c r="Z26" s="74"/>
      <c r="AB26" s="65" t="s">
        <v>102</v>
      </c>
      <c r="AC26" s="66" t="s">
        <v>103</v>
      </c>
      <c r="AD26" s="67" t="s">
        <v>104</v>
      </c>
      <c r="AE26" s="68" t="s">
        <v>105</v>
      </c>
      <c r="AF26" s="69" t="s">
        <v>106</v>
      </c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</row>
    <row r="27" spans="1:45" x14ac:dyDescent="0.25">
      <c r="A27" s="3"/>
      <c r="B27" s="3"/>
      <c r="C27" s="14" t="s">
        <v>95</v>
      </c>
      <c r="D27" s="100">
        <f>+D16*$AB$27</f>
        <v>0.19229886586875808</v>
      </c>
      <c r="E27" s="100">
        <f>+E16*$AC$27</f>
        <v>2.3304040411149089E-2</v>
      </c>
      <c r="F27" s="100">
        <f>+F16*$AD$27</f>
        <v>3.1142757606029966E-2</v>
      </c>
      <c r="G27" s="100">
        <f>+G16*$AE$27</f>
        <v>7.4279257184572303E-2</v>
      </c>
      <c r="H27" s="100">
        <f>+H16*$AF$27</f>
        <v>1.7116791483408743E-2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102">
        <f>+((D27-$D$40)^2+(E27-$E$40)^2+(F27-$F$40)^2+(G27-$G$40)^2+(H27-$H$40)^2)^0.5</f>
        <v>6.2199745196900261E-2</v>
      </c>
      <c r="W27" s="101">
        <f>+((D27-$D$39)^2+(E27-$E$39)^2+(F27-$F$39)^2+(G27-$G$39)^2+(H27-$H$39)^2+(I27-$I$39)^2+(J27-$J$39)^2+(K27-$K$39)^2+(L27-$L$39)^2+(M27-$M$39)^2+(N27-$N$39)^2+(O27-$O$39)^2+(P27-$P$39)^2+(Q27-$Q$39)^2+(R27-$R$39)^2+(S27-$S$39)^2+(T27-$T$39)^2+(U27-$U$39)^2)^0.5</f>
        <v>0.24581290929706967</v>
      </c>
      <c r="X27" s="101">
        <f>+W27/(V27+W27)</f>
        <v>0.79806107220144118</v>
      </c>
      <c r="Y27" s="76">
        <f>+RANK(X27,$X$27:$X$36)</f>
        <v>1</v>
      </c>
      <c r="Z27" s="76">
        <f>+X27/MAX($X$27:$X$33)*100</f>
        <v>100</v>
      </c>
      <c r="AA27" s="3" t="s">
        <v>19</v>
      </c>
      <c r="AB27" s="96">
        <f>+AHP_nivel_0!D41</f>
        <v>0.27246666666666669</v>
      </c>
      <c r="AC27" s="97">
        <f>+AHP_nivel_0!E41</f>
        <v>0.15765555555555555</v>
      </c>
      <c r="AD27" s="98">
        <f>+AHP_nivel_0!F41</f>
        <v>0.1416722222222222</v>
      </c>
      <c r="AE27" s="99">
        <f>+AHP_nivel_0!G41</f>
        <v>0.2218472222222222</v>
      </c>
      <c r="AF27" s="99">
        <f>+AHP_nivel_0!H41</f>
        <v>0.2063638888888889</v>
      </c>
    </row>
    <row r="28" spans="1:45" x14ac:dyDescent="0.25">
      <c r="A28" s="3"/>
      <c r="B28" s="3"/>
      <c r="C28" s="14" t="s">
        <v>96</v>
      </c>
      <c r="D28" s="100">
        <f t="shared" ref="D28:D33" si="0">+D17*$AB$27</f>
        <v>4.27022359172477E-2</v>
      </c>
      <c r="E28" s="100">
        <f t="shared" ref="E28:E33" si="1">+E17*$AC$27</f>
        <v>3.1049625601259588E-2</v>
      </c>
      <c r="F28" s="100">
        <f t="shared" ref="F28:F33" si="2">+F17*$AD$27</f>
        <v>9.4842752886051263E-2</v>
      </c>
      <c r="G28" s="100">
        <f t="shared" ref="G28:G33" si="3">+G17*$AE$27</f>
        <v>4.2414652165097953E-2</v>
      </c>
      <c r="H28" s="100">
        <f t="shared" ref="H28:H33" si="4">+H17*$AF$27</f>
        <v>8.3621688692295845E-2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102">
        <f>+((D28-$D$40)^2+(E28-$E$40)^2+(F28-$F$40)^2+(G28-$G$40)^2+(H28-$H$40)^2+(I28-$I$40)^2+(J28-$J$40)^2+(K28-$K$40)^2+(L28-$L$40)^2+(M28-$M$40)^2+(N28-$N$40)^2+(O28-$O$40)^2+(P28-$P$40)^2+(Q28-$Q$40)^2+(R28-$R$40)^2+(S28-$S$40)^2+(T28-$T$40)^2+(U28-$U$40)^2)^0.5</f>
        <v>0.18053923578190059</v>
      </c>
      <c r="W28" s="101">
        <f t="shared" ref="W28:W33" si="5">+((D28-$D$39)^2+(E28-$E$39)^2+(F28-$F$39)^2+(G28-$G$39)^2+(H28-$H$39)^2+(I28-$I$39)^2+(J28-$J$39)^2+(K28-$K$39)^2+(L28-$L$39)^2+(M28-$M$39)^2+(N28-$N$39)^2+(O28-$O$39)^2+(P28-$P$39)^2+(Q28-$Q$39)^2+(R28-$R$39)^2+(S28-$S$39)^2+(T28-$T$39)^2+(U28-$U$39)^2)^0.5</f>
        <v>0.16902369745766449</v>
      </c>
      <c r="X28" s="101">
        <f t="shared" ref="X28:X33" si="6">+W28/(V28+W28)</f>
        <v>0.48352866218177626</v>
      </c>
      <c r="Y28" s="76">
        <f t="shared" ref="Y28:Y33" si="7">+RANK(X28,$X$27:$X$36)</f>
        <v>5</v>
      </c>
      <c r="Z28" s="76">
        <f t="shared" ref="Z28:Z33" si="8">+X28/MAX($X$27:$X$33)*100</f>
        <v>60.587927293329656</v>
      </c>
    </row>
    <row r="29" spans="1:45" x14ac:dyDescent="0.25">
      <c r="A29" s="3"/>
      <c r="B29" s="3"/>
      <c r="C29" s="14" t="s">
        <v>97</v>
      </c>
      <c r="D29" s="100">
        <f t="shared" si="0"/>
        <v>6.3036401370247547E-2</v>
      </c>
      <c r="E29" s="100">
        <f t="shared" si="1"/>
        <v>1.5278330823939871E-2</v>
      </c>
      <c r="F29" s="100">
        <f t="shared" si="2"/>
        <v>2.6542700261589707E-2</v>
      </c>
      <c r="G29" s="100">
        <f t="shared" si="3"/>
        <v>0.17531324871399062</v>
      </c>
      <c r="H29" s="100">
        <f t="shared" si="4"/>
        <v>7.855341769917322E-2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102">
        <f t="shared" ref="V29:V33" si="9">+((D29-$D$40)^2+(E29-$E$40)^2+(F29-$F$40)^2+(G29-$G$40)^2+(H29-$H$40)^2+(I29-$I$40)^2+(J29-$J$40)^2+(K29-$K$40)^2+(L29-$L$40)^2+(M29-$M$40)^2+(N29-$N$40)^2+(O29-$O$40)^2+(P29-$P$40)^2+(Q29-$Q$40)^2+(R29-$R$40)^2+(S29-$S$40)^2+(T29-$T$40)^2+(U29-$U$40)^2)^0.5</f>
        <v>0.21657134450992929</v>
      </c>
      <c r="W29" s="101">
        <f t="shared" si="5"/>
        <v>0.14031235514176466</v>
      </c>
      <c r="X29" s="101">
        <f t="shared" si="6"/>
        <v>0.39315988732100854</v>
      </c>
      <c r="Y29" s="76">
        <f t="shared" si="7"/>
        <v>7</v>
      </c>
      <c r="Z29" s="76">
        <f t="shared" si="8"/>
        <v>49.264386024553488</v>
      </c>
    </row>
    <row r="30" spans="1:45" x14ac:dyDescent="0.25">
      <c r="A30" s="3"/>
      <c r="B30" s="3"/>
      <c r="C30" s="14" t="s">
        <v>98</v>
      </c>
      <c r="D30" s="100">
        <f t="shared" si="0"/>
        <v>0.10060420284901792</v>
      </c>
      <c r="E30" s="100">
        <f t="shared" si="1"/>
        <v>1.5400267581346645E-2</v>
      </c>
      <c r="F30" s="100">
        <f t="shared" si="2"/>
        <v>5.9168690351125881E-2</v>
      </c>
      <c r="G30" s="100">
        <f t="shared" si="3"/>
        <v>9.8173571295285436E-2</v>
      </c>
      <c r="H30" s="100">
        <f t="shared" si="4"/>
        <v>5.9385265933353394E-2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102">
        <f t="shared" si="9"/>
        <v>0.13620779297708496</v>
      </c>
      <c r="W30" s="101">
        <f t="shared" si="5"/>
        <v>0.16649812697686026</v>
      </c>
      <c r="X30" s="101">
        <f t="shared" si="6"/>
        <v>0.55003260921422303</v>
      </c>
      <c r="Y30" s="76">
        <f t="shared" si="7"/>
        <v>3</v>
      </c>
      <c r="Z30" s="76">
        <f t="shared" si="8"/>
        <v>68.92111749003935</v>
      </c>
    </row>
    <row r="31" spans="1:45" x14ac:dyDescent="0.25">
      <c r="A31" s="3"/>
      <c r="B31" s="3"/>
      <c r="C31" s="14" t="s">
        <v>99</v>
      </c>
      <c r="D31" s="100">
        <f>+D20*$AB$27</f>
        <v>6.3130150734447568E-2</v>
      </c>
      <c r="E31" s="100">
        <f t="shared" si="1"/>
        <v>0.12240842521715709</v>
      </c>
      <c r="F31" s="100">
        <f t="shared" si="2"/>
        <v>4.3451632621752306E-2</v>
      </c>
      <c r="G31" s="100">
        <f t="shared" si="3"/>
        <v>2.4385274875751047E-2</v>
      </c>
      <c r="H31" s="100">
        <f t="shared" si="4"/>
        <v>5.9002683278119285E-2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102">
        <f t="shared" si="9"/>
        <v>0.17417416497986732</v>
      </c>
      <c r="W31" s="101">
        <f t="shared" si="5"/>
        <v>0.17756360254197986</v>
      </c>
      <c r="X31" s="101">
        <f t="shared" si="6"/>
        <v>0.5048181313965695</v>
      </c>
      <c r="Y31" s="76">
        <f t="shared" si="7"/>
        <v>4</v>
      </c>
      <c r="Z31" s="76">
        <f t="shared" si="8"/>
        <v>63.255576418986983</v>
      </c>
    </row>
    <row r="32" spans="1:45" x14ac:dyDescent="0.25">
      <c r="A32" s="3"/>
      <c r="B32" s="3"/>
      <c r="C32" s="14" t="s">
        <v>100</v>
      </c>
      <c r="D32" s="100">
        <f t="shared" si="0"/>
        <v>0.12490469412426723</v>
      </c>
      <c r="E32" s="100">
        <f t="shared" si="1"/>
        <v>7.7464655399189161E-2</v>
      </c>
      <c r="F32" s="100">
        <f t="shared" si="2"/>
        <v>3.569697673212275E-2</v>
      </c>
      <c r="G32" s="100">
        <f t="shared" si="3"/>
        <v>1.2771243392799159E-2</v>
      </c>
      <c r="H32" s="100">
        <f t="shared" si="4"/>
        <v>6.4091664664666773E-2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102">
        <f t="shared" si="9"/>
        <v>0.10343864286328593</v>
      </c>
      <c r="W32" s="101">
        <f t="shared" si="5"/>
        <v>0.2091599344210727</v>
      </c>
      <c r="X32" s="101">
        <f t="shared" si="6"/>
        <v>0.66910072412392374</v>
      </c>
      <c r="Y32" s="76">
        <f t="shared" si="7"/>
        <v>2</v>
      </c>
      <c r="Z32" s="76">
        <f t="shared" si="8"/>
        <v>83.840792068483935</v>
      </c>
    </row>
    <row r="33" spans="1:26" x14ac:dyDescent="0.25">
      <c r="A33" s="3"/>
      <c r="B33" s="3"/>
      <c r="C33" s="14" t="s">
        <v>101</v>
      </c>
      <c r="D33" s="100">
        <f t="shared" si="0"/>
        <v>4.1885052262990496E-2</v>
      </c>
      <c r="E33" s="100">
        <f t="shared" si="1"/>
        <v>4.3507764978974843E-2</v>
      </c>
      <c r="F33" s="100">
        <f t="shared" si="2"/>
        <v>5.2328119044321983E-2</v>
      </c>
      <c r="G33" s="100">
        <f t="shared" si="3"/>
        <v>2.7735314626841125E-2</v>
      </c>
      <c r="H33" s="100">
        <f t="shared" si="4"/>
        <v>0.13421689875424003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102">
        <f t="shared" si="9"/>
        <v>0.19499349386244302</v>
      </c>
      <c r="W33" s="101">
        <f t="shared" si="5"/>
        <v>0.17266167758407894</v>
      </c>
      <c r="X33" s="101">
        <f t="shared" si="6"/>
        <v>0.46962940002924403</v>
      </c>
      <c r="Y33" s="76">
        <f t="shared" si="7"/>
        <v>6</v>
      </c>
      <c r="Z33" s="76">
        <f t="shared" si="8"/>
        <v>58.846298408438514</v>
      </c>
    </row>
    <row r="34" spans="1:26" x14ac:dyDescent="0.25">
      <c r="A34" s="3"/>
      <c r="B34" s="3"/>
      <c r="C34" s="90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3"/>
      <c r="W34" s="74"/>
      <c r="X34" s="74"/>
      <c r="Y34" s="76"/>
      <c r="Z34" s="76"/>
    </row>
    <row r="35" spans="1:26" x14ac:dyDescent="0.25">
      <c r="A35" s="3"/>
      <c r="B35" s="3"/>
      <c r="C35" s="90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3"/>
      <c r="W35" s="74"/>
      <c r="X35" s="74"/>
      <c r="Y35" s="76"/>
      <c r="Z35" s="76"/>
    </row>
    <row r="36" spans="1:26" x14ac:dyDescent="0.25">
      <c r="A36" s="3"/>
      <c r="B36" s="3"/>
      <c r="C36" s="91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3"/>
      <c r="W36" s="74"/>
      <c r="X36" s="74"/>
      <c r="Y36" s="76"/>
      <c r="Z36" s="76"/>
    </row>
    <row r="37" spans="1:26" x14ac:dyDescent="0.25">
      <c r="A37" s="3"/>
      <c r="B37" s="3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72"/>
      <c r="W37" s="74"/>
      <c r="X37" s="74"/>
      <c r="Y37" s="74"/>
      <c r="Z37" s="74"/>
    </row>
    <row r="38" spans="1:26" x14ac:dyDescent="0.25">
      <c r="A38" s="3"/>
      <c r="B38" s="3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72"/>
      <c r="W38" s="18"/>
      <c r="X38" s="18"/>
      <c r="Y38" s="18"/>
      <c r="Z38" s="18"/>
    </row>
    <row r="39" spans="1:26" x14ac:dyDescent="0.25">
      <c r="A39" s="3"/>
      <c r="B39" s="3"/>
      <c r="C39" s="77" t="s">
        <v>72</v>
      </c>
      <c r="D39" s="100">
        <f>+MIN(D27:D33)</f>
        <v>4.1885052262990496E-2</v>
      </c>
      <c r="E39" s="100">
        <f>+MAX(E27:E36)</f>
        <v>0.12240842521715709</v>
      </c>
      <c r="F39" s="100">
        <f t="shared" ref="F39:H39" si="10">+MAX(F27:F36)</f>
        <v>9.4842752886051263E-2</v>
      </c>
      <c r="G39" s="100">
        <f t="shared" si="10"/>
        <v>0.17531324871399062</v>
      </c>
      <c r="H39" s="100">
        <f t="shared" si="10"/>
        <v>0.13421689875424003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2"/>
      <c r="W39" s="18"/>
      <c r="X39" s="18"/>
      <c r="Y39" s="18"/>
      <c r="Z39" s="18"/>
    </row>
    <row r="40" spans="1:26" x14ac:dyDescent="0.25">
      <c r="A40" s="3"/>
      <c r="B40" s="3"/>
      <c r="C40" s="77" t="s">
        <v>71</v>
      </c>
      <c r="D40" s="100">
        <f>+MAX(D27:D36)</f>
        <v>0.19229886586875808</v>
      </c>
      <c r="E40" s="100">
        <f>+MIN(E27:E36)</f>
        <v>1.5278330823939871E-2</v>
      </c>
      <c r="F40" s="100">
        <f t="shared" ref="F40:H40" si="11">+MIN(F27:F36)</f>
        <v>2.6542700261589707E-2</v>
      </c>
      <c r="G40" s="100">
        <f t="shared" si="11"/>
        <v>1.2771243392799159E-2</v>
      </c>
      <c r="H40" s="100">
        <f t="shared" si="11"/>
        <v>1.7116791483408743E-2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2"/>
      <c r="W40" s="18"/>
      <c r="X40" s="18"/>
      <c r="Y40" s="18"/>
      <c r="Z40" s="18"/>
    </row>
    <row r="41" spans="1:26" x14ac:dyDescent="0.25">
      <c r="A41" s="3"/>
      <c r="B41" s="3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72"/>
      <c r="W41" s="18"/>
      <c r="X41" s="18"/>
      <c r="Y41" s="18"/>
      <c r="Z41" s="18"/>
    </row>
    <row r="42" spans="1:26" x14ac:dyDescent="0.25">
      <c r="A42" s="3"/>
      <c r="B42" s="3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S42" s="20"/>
      <c r="T42" s="20"/>
      <c r="U42" s="20"/>
      <c r="V42" s="72"/>
      <c r="W42" s="18"/>
      <c r="X42" s="18"/>
      <c r="Y42" s="18"/>
      <c r="Z42" s="18"/>
    </row>
    <row r="43" spans="1:26" x14ac:dyDescent="0.25">
      <c r="A43" s="3"/>
      <c r="B43" s="3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78"/>
      <c r="P43" s="20"/>
      <c r="Q43" s="20"/>
      <c r="R43" s="20"/>
      <c r="S43" s="20"/>
      <c r="T43" s="20"/>
      <c r="U43" s="20"/>
      <c r="V43" s="72"/>
      <c r="W43" s="18"/>
      <c r="X43" s="18"/>
      <c r="Y43" s="18"/>
      <c r="Z43" s="18"/>
    </row>
  </sheetData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4808-A7CA-4798-90FC-57055BF5A398}">
  <dimension ref="A1:AS43"/>
  <sheetViews>
    <sheetView tabSelected="1" workbookViewId="0">
      <selection activeCell="AB26" sqref="AB26:AF26"/>
    </sheetView>
  </sheetViews>
  <sheetFormatPr defaultRowHeight="15" x14ac:dyDescent="0.25"/>
  <cols>
    <col min="1" max="2" width="2.85546875" style="1" customWidth="1"/>
    <col min="3" max="3" width="30.5703125" style="3" customWidth="1"/>
    <col min="4" max="4" width="13.28515625" style="3" customWidth="1"/>
    <col min="5" max="17" width="8.42578125" style="3" customWidth="1"/>
    <col min="18" max="18" width="15.28515625" style="3" customWidth="1"/>
    <col min="19" max="21" width="8.42578125" style="3" customWidth="1"/>
    <col min="22" max="22" width="11" style="2" customWidth="1"/>
    <col min="23" max="26" width="10" style="3" customWidth="1"/>
    <col min="27" max="27" width="25.28515625" style="3" customWidth="1"/>
    <col min="28" max="28" width="9.140625" style="3" customWidth="1"/>
    <col min="29" max="32" width="9.140625" style="3"/>
    <col min="33" max="45" width="9.140625" style="41"/>
    <col min="46" max="16384" width="9.140625" style="3"/>
  </cols>
  <sheetData>
    <row r="1" spans="1:26" ht="26.25" thickBot="1" x14ac:dyDescent="0.3">
      <c r="A1" s="3"/>
      <c r="B1" s="3"/>
      <c r="C1" s="19"/>
      <c r="D1" s="65" t="s">
        <v>102</v>
      </c>
      <c r="E1" s="66" t="s">
        <v>103</v>
      </c>
      <c r="F1" s="67" t="s">
        <v>104</v>
      </c>
      <c r="G1" s="68" t="s">
        <v>105</v>
      </c>
      <c r="H1" s="69" t="s">
        <v>106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17"/>
      <c r="W1" s="18"/>
      <c r="X1" s="18"/>
      <c r="Y1" s="18"/>
      <c r="Z1" s="18"/>
    </row>
    <row r="2" spans="1:26" x14ac:dyDescent="0.25">
      <c r="A2" s="3"/>
      <c r="B2" s="3"/>
      <c r="C2" s="16" t="s">
        <v>2</v>
      </c>
      <c r="D2"/>
      <c r="E2"/>
      <c r="F2"/>
      <c r="G2"/>
      <c r="H2"/>
      <c r="V2" s="15"/>
      <c r="W2" s="18"/>
      <c r="X2" s="18"/>
      <c r="Y2" s="18"/>
      <c r="Z2" s="18"/>
    </row>
    <row r="3" spans="1:26" x14ac:dyDescent="0.25">
      <c r="A3" s="3"/>
      <c r="B3" s="3"/>
      <c r="C3" s="14" t="s">
        <v>95</v>
      </c>
      <c r="D3" s="81">
        <f>+AHP_nivel_0!D55</f>
        <v>0.70530612173036678</v>
      </c>
      <c r="E3" s="81">
        <f>+AHP_nivel_0!E55</f>
        <v>0.11755102028839447</v>
      </c>
      <c r="F3" s="81">
        <f>+AHP_nivel_0!F55</f>
        <v>0.23510204057678893</v>
      </c>
      <c r="G3" s="81">
        <f>+AHP_nivel_0!G55</f>
        <v>0.31346938743571856</v>
      </c>
      <c r="H3" s="81">
        <f>+AHP_nivel_0!H55</f>
        <v>6.7172011593368261E-2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8"/>
      <c r="X3" s="18"/>
      <c r="Y3" s="18"/>
      <c r="Z3" s="18"/>
    </row>
    <row r="4" spans="1:26" x14ac:dyDescent="0.25">
      <c r="A4" s="3"/>
      <c r="B4" s="3"/>
      <c r="C4" s="14" t="s">
        <v>96</v>
      </c>
      <c r="D4" s="81">
        <f>+AHP_nivel_0!D56</f>
        <v>0.15662156023616103</v>
      </c>
      <c r="E4" s="81">
        <f>+AHP_nivel_0!E56</f>
        <v>0.15662156023616103</v>
      </c>
      <c r="F4" s="81">
        <f>+AHP_nivel_0!F56</f>
        <v>0.71598427536530773</v>
      </c>
      <c r="G4" s="81">
        <f>+AHP_nivel_0!G56</f>
        <v>0.17899606884132688</v>
      </c>
      <c r="H4" s="81">
        <f>+AHP_nivel_0!H56</f>
        <v>0.3281594595424327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8"/>
      <c r="X4" s="18"/>
      <c r="Y4" s="18"/>
      <c r="Z4" s="18"/>
    </row>
    <row r="5" spans="1:26" x14ac:dyDescent="0.25">
      <c r="A5" s="3"/>
      <c r="B5" s="3"/>
      <c r="C5" s="14" t="s">
        <v>97</v>
      </c>
      <c r="D5" s="81">
        <f>+AHP_nivel_0!D57</f>
        <v>0.2312024024553089</v>
      </c>
      <c r="E5" s="81">
        <f>+AHP_nivel_0!E57</f>
        <v>7.7067467485102972E-2</v>
      </c>
      <c r="F5" s="81">
        <f>+AHP_nivel_0!F57</f>
        <v>0.20037541546126772</v>
      </c>
      <c r="G5" s="81">
        <f>+AHP_nivel_0!G57</f>
        <v>0.7398476878569884</v>
      </c>
      <c r="H5" s="81">
        <f>+AHP_nivel_0!H57</f>
        <v>0.30826986994041189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8"/>
      <c r="X5" s="18"/>
      <c r="Y5" s="18"/>
      <c r="Z5" s="18"/>
    </row>
    <row r="6" spans="1:26" x14ac:dyDescent="0.25">
      <c r="A6" s="3"/>
      <c r="B6" s="3"/>
      <c r="C6" s="14" t="s">
        <v>98</v>
      </c>
      <c r="D6" s="81">
        <f>+AHP_nivel_0!D58</f>
        <v>0.36899208854223386</v>
      </c>
      <c r="E6" s="81">
        <f>+AHP_nivel_0!E58</f>
        <v>7.7682544956259744E-2</v>
      </c>
      <c r="F6" s="81">
        <f>+AHP_nivel_0!F58</f>
        <v>0.44667463349849357</v>
      </c>
      <c r="G6" s="81">
        <f>+AHP_nivel_0!G58</f>
        <v>0.41430690643338536</v>
      </c>
      <c r="H6" s="81">
        <f>+AHP_nivel_0!H58</f>
        <v>0.23304763486877927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8"/>
      <c r="Y6" s="18"/>
      <c r="Z6" s="18"/>
    </row>
    <row r="7" spans="1:26" x14ac:dyDescent="0.25">
      <c r="A7" s="3"/>
      <c r="B7" s="3"/>
      <c r="C7" s="14" t="s">
        <v>99</v>
      </c>
      <c r="D7" s="81">
        <f>+AHP_nivel_0!D59</f>
        <v>0.23154625263965548</v>
      </c>
      <c r="E7" s="81">
        <f>+AHP_nivel_0!E59</f>
        <v>0.61745667370574797</v>
      </c>
      <c r="F7" s="81">
        <f>+AHP_nivel_0!F59</f>
        <v>0.32802385790617861</v>
      </c>
      <c r="G7" s="81">
        <f>+AHP_nivel_0!G59</f>
        <v>0.10290944561762465</v>
      </c>
      <c r="H7" s="81">
        <f>+AHP_nivel_0!H59</f>
        <v>0.23154625263965548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8"/>
      <c r="X7" s="18"/>
      <c r="Y7" s="18"/>
      <c r="Z7" s="18"/>
    </row>
    <row r="8" spans="1:26" x14ac:dyDescent="0.25">
      <c r="A8" s="3"/>
      <c r="B8" s="3"/>
      <c r="C8" s="14" t="s">
        <v>100</v>
      </c>
      <c r="D8" s="81">
        <f>+AHP_nivel_0!D60</f>
        <v>0.45812046264916229</v>
      </c>
      <c r="E8" s="81">
        <f>+AHP_nivel_0!E60</f>
        <v>0.39074980637722662</v>
      </c>
      <c r="F8" s="81">
        <f>+AHP_nivel_0!F60</f>
        <v>0.26948262508774251</v>
      </c>
      <c r="G8" s="81">
        <f>+AHP_nivel_0!G60</f>
        <v>5.3896525017548498E-2</v>
      </c>
      <c r="H8" s="81">
        <f>+AHP_nivel_0!H60</f>
        <v>0.25151711674855959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8"/>
      <c r="X8" s="18"/>
      <c r="Y8" s="18"/>
      <c r="Z8" s="18"/>
    </row>
    <row r="9" spans="1:26" x14ac:dyDescent="0.25">
      <c r="A9" s="3"/>
      <c r="B9" s="3"/>
      <c r="C9" s="14" t="s">
        <v>101</v>
      </c>
      <c r="D9" s="81">
        <f>+AHP_nivel_0!D61</f>
        <v>0.15362432657426853</v>
      </c>
      <c r="E9" s="81">
        <f>+AHP_nivel_0!E61</f>
        <v>0.21946332367752647</v>
      </c>
      <c r="F9" s="81">
        <f>+AHP_nivel_0!F61</f>
        <v>0.3950339826195477</v>
      </c>
      <c r="G9" s="81">
        <f>+AHP_nivel_0!G61</f>
        <v>0.11704710596134744</v>
      </c>
      <c r="H9" s="81">
        <f>+AHP_nivel_0!H61</f>
        <v>0.52671197682606341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8"/>
      <c r="X9" s="18"/>
      <c r="Y9" s="18"/>
      <c r="Z9" s="18"/>
    </row>
    <row r="10" spans="1:26" x14ac:dyDescent="0.25">
      <c r="A10" s="3"/>
      <c r="B10" s="3"/>
      <c r="C10" s="90"/>
      <c r="D10" s="81"/>
      <c r="E10" s="81"/>
      <c r="F10" s="81"/>
      <c r="G10" s="81"/>
      <c r="H10" s="82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</row>
    <row r="11" spans="1:26" x14ac:dyDescent="0.25">
      <c r="A11" s="3"/>
      <c r="B11" s="3"/>
      <c r="C11" s="90"/>
      <c r="D11" s="81"/>
      <c r="E11" s="81"/>
      <c r="F11" s="81"/>
      <c r="G11" s="81"/>
      <c r="H11" s="82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8"/>
      <c r="Y11" s="18"/>
      <c r="Z11" s="18"/>
    </row>
    <row r="12" spans="1:26" x14ac:dyDescent="0.25">
      <c r="A12" s="3"/>
      <c r="B12" s="3"/>
      <c r="C12" s="91"/>
      <c r="D12" s="81"/>
      <c r="E12" s="81"/>
      <c r="F12" s="81"/>
      <c r="G12" s="81"/>
      <c r="H12" s="82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8"/>
      <c r="X12" s="18"/>
      <c r="Y12" s="18"/>
      <c r="Z12" s="18"/>
    </row>
    <row r="13" spans="1:26" x14ac:dyDescent="0.25">
      <c r="A13" s="3"/>
      <c r="B13" s="3"/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17"/>
      <c r="W13" s="18"/>
      <c r="X13" s="103"/>
      <c r="Y13" s="103"/>
      <c r="Z13" s="18"/>
    </row>
    <row r="14" spans="1:26" x14ac:dyDescent="0.25">
      <c r="A14" s="3"/>
      <c r="B14" s="3"/>
      <c r="C14" s="19"/>
      <c r="D14" s="20"/>
      <c r="E14" s="20"/>
      <c r="F14" s="75"/>
      <c r="G14" s="20"/>
      <c r="H14" s="78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72"/>
      <c r="W14" s="18"/>
      <c r="X14" s="103"/>
      <c r="Y14" s="103"/>
      <c r="Z14" s="18"/>
    </row>
    <row r="15" spans="1:26" ht="28.5" x14ac:dyDescent="0.25">
      <c r="A15" s="3"/>
      <c r="B15" s="3"/>
      <c r="C15" s="16" t="s">
        <v>67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72"/>
      <c r="W15" s="18"/>
      <c r="X15" s="18"/>
      <c r="Y15" s="18"/>
      <c r="Z15" s="18"/>
    </row>
    <row r="16" spans="1:26" x14ac:dyDescent="0.25">
      <c r="A16" s="3"/>
      <c r="B16" s="3"/>
      <c r="C16" s="14" t="s">
        <v>95</v>
      </c>
      <c r="D16" s="95">
        <f>+D3/(((D3^2)+(D4^2)+(D5^2)+(D6^2)+(D7^2)+(D8^2)+(D9^2))^0.5)</f>
        <v>0.70577024419656742</v>
      </c>
      <c r="E16" s="95">
        <f>+E3/((E3^2)+(E4^2)+(E5^2)+(E6^2)+(E7^2)+(E8^2)+(E9^2))^0.5</f>
        <v>0.14781617006155601</v>
      </c>
      <c r="F16" s="95">
        <f>+F3/((F3^2)+(F4^2)+(F5^2)+(F6^2)+(F7^2)+(F8^2)+(F9^2))^0.5</f>
        <v>0.21982260966571487</v>
      </c>
      <c r="G16" s="95">
        <f>+G3/((G3^2)+(G4^2)+(G5^2)+(G6^2)+(G7^2)+(G8^2)+(G9^2))^0.5</f>
        <v>0.33482166889683884</v>
      </c>
      <c r="H16" s="95">
        <f>+H3/((H3^2)+(H4^2)+(H5^2)+(H6^2)+(H7^2)+(H8^2)+(H9^2))^0.5</f>
        <v>8.294470304649483E-2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72"/>
      <c r="W16" s="18"/>
      <c r="X16" s="18"/>
      <c r="Y16" s="18"/>
      <c r="Z16" s="18"/>
    </row>
    <row r="17" spans="1:45" x14ac:dyDescent="0.25">
      <c r="A17" s="3"/>
      <c r="B17" s="3"/>
      <c r="C17" s="14" t="s">
        <v>96</v>
      </c>
      <c r="D17" s="95">
        <f>+D4/((D3^2)+(D4^2)+(D5^2)+(D6^2)+(D7^2)+(D8^2)+(D9^2))^0.5</f>
        <v>0.15672462411517382</v>
      </c>
      <c r="E17" s="95">
        <f>+E4/((E3^2)+(E4^2)+(E5^2)+(E6^2)+(E7^2)+(E8^2)+(E9^2))^0.5</f>
        <v>0.19694596547419571</v>
      </c>
      <c r="F17" s="95">
        <f>+F4/((F3^2)+(F4^2)+(F5^2)+(F6^2)+(F7^2)+(F8^2)+(F9^2))^0.5</f>
        <v>0.66945200264653271</v>
      </c>
      <c r="G17" s="95">
        <f>+G4/((G3^2)+(G4^2)+(G5^2)+(G6^2)+(G7^2)+(G8^2)+(G9^2))^0.5</f>
        <v>0.19118856544713284</v>
      </c>
      <c r="H17" s="95">
        <f>+H4/((H3^2)+(H4^2)+(H5^2)+(H6^2)+(H7^2)+(H8^2)+(H9^2))^0.5</f>
        <v>0.4052147356910864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72"/>
      <c r="W17" s="18"/>
      <c r="X17" s="18"/>
      <c r="Y17" s="18"/>
      <c r="Z17" s="18"/>
    </row>
    <row r="18" spans="1:45" x14ac:dyDescent="0.25">
      <c r="A18" s="3"/>
      <c r="B18" s="3"/>
      <c r="C18" s="14" t="s">
        <v>97</v>
      </c>
      <c r="D18" s="95">
        <f>+D5/((D3^2)+(D4^2)+(D5^2)+(D6^2)+(D7^2)+(D8^2)+(D9^2))^0.5</f>
        <v>0.23135454381054882</v>
      </c>
      <c r="E18" s="95">
        <f>+E5/((E3^2)+(E4^2)+(E5^2)+(E6^2)+(E7^2)+(E8^2)+(E9^2))^0.5</f>
        <v>9.6909561925053803E-2</v>
      </c>
      <c r="F18" s="95">
        <f>+F5/((F3^2)+(F4^2)+(F5^2)+(F6^2)+(F7^2)+(F8^2)+(F9^2))^0.5</f>
        <v>0.18735288996847763</v>
      </c>
      <c r="G18" s="95">
        <f>+G5/((G3^2)+(G4^2)+(G5^2)+(G6^2)+(G7^2)+(G8^2)+(G9^2))^0.5</f>
        <v>0.79024315453623784</v>
      </c>
      <c r="H18" s="95">
        <f>+H5/((H3^2)+(H4^2)+(H5^2)+(H6^2)+(H7^2)+(H8^2)+(H9^2))^0.5</f>
        <v>0.38065486225387135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72"/>
      <c r="W18" s="18"/>
      <c r="X18" s="18"/>
      <c r="Y18" s="18"/>
      <c r="Z18" s="18"/>
    </row>
    <row r="19" spans="1:45" x14ac:dyDescent="0.25">
      <c r="A19" s="3"/>
      <c r="B19" s="3"/>
      <c r="C19" s="14" t="s">
        <v>98</v>
      </c>
      <c r="D19" s="95">
        <f>+D6/((D3^2)+(D4^2)+(D5^2)+(D6^2)+(D7^2)+(D8^2)+(D9^2))^0.5</f>
        <v>0.36923490157457023</v>
      </c>
      <c r="E19" s="95">
        <f>+E6/((E3^2)+(E4^2)+(E5^2)+(E6^2)+(E7^2)+(E8^2)+(E9^2))^0.5</f>
        <v>9.7682999670251472E-2</v>
      </c>
      <c r="F19" s="95">
        <f>+F6/((F3^2)+(F4^2)+(F5^2)+(F6^2)+(F7^2)+(F8^2)+(F9^2))^0.5</f>
        <v>0.41764496542106821</v>
      </c>
      <c r="G19" s="95">
        <f>+G6/((G3^2)+(G4^2)+(G5^2)+(G6^2)+(G7^2)+(G8^2)+(G9^2))^0.5</f>
        <v>0.44252783655296762</v>
      </c>
      <c r="H19" s="95">
        <f>+H6/((H3^2)+(H4^2)+(H5^2)+(H6^2)+(H7^2)+(H8^2)+(H9^2))^0.5</f>
        <v>0.28776965898974599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72"/>
      <c r="W19" s="18"/>
      <c r="X19" s="18"/>
      <c r="Y19" s="18"/>
      <c r="Z19" s="18"/>
    </row>
    <row r="20" spans="1:45" x14ac:dyDescent="0.25">
      <c r="A20" s="3"/>
      <c r="B20" s="3"/>
      <c r="C20" s="14" t="s">
        <v>99</v>
      </c>
      <c r="D20" s="95">
        <f>IFERROR(+D7/((D3^2)+(D4^2)+(D5^2)+(D6^2)+(D7^2)+(D8^2)+(D9^2))^0.5,"")</f>
        <v>0.23169862026344837</v>
      </c>
      <c r="E20" s="95">
        <f>+E7/((E3^2)+(E4^2)+(E5^2)+(E6^2)+(E7^2)+(E8^2)+(E9^2))^0.5</f>
        <v>0.77642950662796095</v>
      </c>
      <c r="F20" s="95">
        <f>+F7/((F3^2)+(F4^2)+(F5^2)+(F6^2)+(F7^2)+(F8^2)+(F9^2))^0.5</f>
        <v>0.30670537907985634</v>
      </c>
      <c r="G20" s="95">
        <f>+G7/((G3^2)+(G4^2)+(G5^2)+(G6^2)+(G7^2)+(G8^2)+(G9^2))^0.5</f>
        <v>0.10991922563413734</v>
      </c>
      <c r="H20" s="95">
        <f>+H7/((H3^2)+(H4^2)+(H5^2)+(H6^2)+(H7^2)+(H8^2)+(H9^2))^0.5</f>
        <v>0.28591573649732727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72"/>
      <c r="W20" s="18"/>
      <c r="X20" s="18"/>
      <c r="Y20" s="18"/>
      <c r="Z20" s="18"/>
    </row>
    <row r="21" spans="1:45" x14ac:dyDescent="0.25">
      <c r="A21" s="3"/>
      <c r="B21" s="3"/>
      <c r="C21" s="14" t="s">
        <v>100</v>
      </c>
      <c r="D21" s="95">
        <f>+D8/((D3^2)+(D4^2)+(D5^2)+(D6^2)+(D7^2)+(D8^2)+(D9^2))^0.5</f>
        <v>0.45842192607389487</v>
      </c>
      <c r="E21" s="95">
        <f>+E8/((E3^2)+(E4^2)+(E5^2)+(E6^2)+(E7^2)+(E8^2)+(E9^2))^0.5</f>
        <v>0.49135379420163683</v>
      </c>
      <c r="F21" s="95">
        <f>+F8/((F3^2)+(F4^2)+(F5^2)+(F6^2)+(F7^2)+(F8^2)+(F9^2))^0.5</f>
        <v>0.25196877815701724</v>
      </c>
      <c r="G21" s="95">
        <f>+G8/((G3^2)+(G4^2)+(G5^2)+(G6^2)+(G7^2)+(G8^2)+(G9^2))^0.5</f>
        <v>5.7567740830247266E-2</v>
      </c>
      <c r="H21" s="95">
        <f>+H8/((H3^2)+(H4^2)+(H5^2)+(H6^2)+(H7^2)+(H8^2)+(H9^2))^0.5</f>
        <v>0.31057596854639241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72"/>
      <c r="W21" s="18"/>
      <c r="X21" s="18"/>
      <c r="Y21" s="18"/>
      <c r="Z21" s="18"/>
    </row>
    <row r="22" spans="1:45" x14ac:dyDescent="0.25">
      <c r="A22" s="3"/>
      <c r="B22" s="3"/>
      <c r="C22" s="14" t="s">
        <v>101</v>
      </c>
      <c r="D22" s="95">
        <f>+D9/((D3^2)+(D4^2)+(D5^2)+(D6^2)+(D7^2)+(D8^2)+(D9^2))^0.5</f>
        <v>0.15372541814163382</v>
      </c>
      <c r="E22" s="95">
        <f>+E9/((E3^2)+(E4^2)+(E5^2)+(E6^2)+(E7^2)+(E8^2)+(E9^2))^0.5</f>
        <v>0.2759672174295395</v>
      </c>
      <c r="F22" s="95">
        <f>+F9/((F3^2)+(F4^2)+(F5^2)+(F6^2)+(F7^2)+(F8^2)+(F9^2))^0.5</f>
        <v>0.36936047323547933</v>
      </c>
      <c r="G22" s="95">
        <f>+G9/((G3^2)+(G4^2)+(G5^2)+(G6^2)+(G7^2)+(G8^2)+(G9^2))^0.5</f>
        <v>0.1250198868798949</v>
      </c>
      <c r="H22" s="95">
        <f>+H9/((H3^2)+(H4^2)+(H5^2)+(H6^2)+(H7^2)+(H8^2)+(H9^2))^0.5</f>
        <v>0.65038946240495366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72"/>
      <c r="W22" s="18"/>
      <c r="X22" s="18"/>
      <c r="Y22" s="18"/>
      <c r="Z22" s="18"/>
    </row>
    <row r="23" spans="1:45" x14ac:dyDescent="0.25">
      <c r="A23" s="3"/>
      <c r="B23" s="3"/>
      <c r="C23" s="90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72"/>
      <c r="W23" s="18"/>
      <c r="X23" s="18"/>
      <c r="Y23" s="18"/>
      <c r="Z23" s="18"/>
    </row>
    <row r="24" spans="1:45" x14ac:dyDescent="0.25">
      <c r="A24" s="3"/>
      <c r="B24" s="3"/>
      <c r="C24" s="90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72"/>
      <c r="W24" s="18"/>
      <c r="X24" s="18"/>
      <c r="Y24" s="18"/>
      <c r="Z24" s="18"/>
    </row>
    <row r="25" spans="1:45" ht="15.75" thickBot="1" x14ac:dyDescent="0.3">
      <c r="A25" s="3"/>
      <c r="B25" s="3"/>
      <c r="C25" s="91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72"/>
      <c r="W25" s="18"/>
      <c r="X25" s="18"/>
      <c r="Y25" s="18"/>
      <c r="Z25" s="18"/>
    </row>
    <row r="26" spans="1:45" ht="15.75" customHeight="1" thickBot="1" x14ac:dyDescent="0.3">
      <c r="A26" s="3"/>
      <c r="B26" s="3"/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73" t="s">
        <v>68</v>
      </c>
      <c r="W26" s="74" t="s">
        <v>69</v>
      </c>
      <c r="X26" s="74" t="s">
        <v>70</v>
      </c>
      <c r="Y26" s="74" t="s">
        <v>8</v>
      </c>
      <c r="Z26" s="74"/>
      <c r="AB26" s="65" t="s">
        <v>102</v>
      </c>
      <c r="AC26" s="66" t="s">
        <v>103</v>
      </c>
      <c r="AD26" s="67" t="s">
        <v>104</v>
      </c>
      <c r="AE26" s="68" t="s">
        <v>105</v>
      </c>
      <c r="AF26" s="69" t="s">
        <v>106</v>
      </c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</row>
    <row r="27" spans="1:45" x14ac:dyDescent="0.25">
      <c r="A27" s="3"/>
      <c r="B27" s="3"/>
      <c r="C27" s="14" t="s">
        <v>95</v>
      </c>
      <c r="D27" s="100">
        <f>+D16*$AB$27</f>
        <v>0.14115404883931348</v>
      </c>
      <c r="E27" s="100">
        <f>+E16*$AC$27</f>
        <v>2.9563234012311201E-2</v>
      </c>
      <c r="F27" s="100">
        <f>+F16*$AD$27</f>
        <v>4.3964521933142979E-2</v>
      </c>
      <c r="G27" s="100">
        <f>+G16*$AE$27</f>
        <v>6.6964333779367766E-2</v>
      </c>
      <c r="H27" s="100">
        <f>+H16*$AF$27</f>
        <v>1.6588940609298965E-2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102">
        <f>+((D27-$D$40)^2+(E27-$E$40)^2+(F27-$F$40)^2+(G27-$G$40)^2+(H27-$H$40)^2)^0.5</f>
        <v>5.675050874751178E-2</v>
      </c>
      <c r="W27" s="101">
        <f>+((D27-$D$39)^2+(E27-$E$39)^2+(F27-$F$39)^2+(G27-$G$39)^2+(H27-$H$39)^2+(I27-$I$39)^2+(J27-$J$39)^2+(K27-$K$39)^2+(L27-$L$39)^2+(M27-$M$39)^2+(N27-$N$39)^2+(O27-$O$39)^2+(P27-$P$39)^2+(Q27-$Q$39)^2+(R27-$R$39)^2+(S27-$S$39)^2+(T27-$T$39)^2+(U27-$U$39)^2)^0.5</f>
        <v>0.23928870365488175</v>
      </c>
      <c r="X27" s="101">
        <f>+W27/(V27+W27)</f>
        <v>0.80830070352175776</v>
      </c>
      <c r="Y27" s="76">
        <f>+RANK(X27,$X$27:$X$36)</f>
        <v>1</v>
      </c>
      <c r="Z27" s="76">
        <f>+X27/MAX($X$27:$X$33)*100</f>
        <v>100</v>
      </c>
      <c r="AA27" s="3" t="s">
        <v>19</v>
      </c>
      <c r="AB27" s="96">
        <v>0.2</v>
      </c>
      <c r="AC27" s="97">
        <v>0.2</v>
      </c>
      <c r="AD27" s="98">
        <v>0.2</v>
      </c>
      <c r="AE27" s="99">
        <v>0.2</v>
      </c>
      <c r="AF27" s="99">
        <v>0.2</v>
      </c>
    </row>
    <row r="28" spans="1:45" x14ac:dyDescent="0.25">
      <c r="A28" s="3"/>
      <c r="B28" s="3"/>
      <c r="C28" s="14" t="s">
        <v>96</v>
      </c>
      <c r="D28" s="100">
        <f t="shared" ref="D28:D33" si="0">+D17*$AB$27</f>
        <v>3.1344924823034769E-2</v>
      </c>
      <c r="E28" s="100">
        <f t="shared" ref="E28:E33" si="1">+E17*$AC$27</f>
        <v>3.9389193094839146E-2</v>
      </c>
      <c r="F28" s="100">
        <f t="shared" ref="F28:F33" si="2">+F17*$AD$27</f>
        <v>0.13389040052930654</v>
      </c>
      <c r="G28" s="100">
        <f t="shared" ref="G28:G33" si="3">+G17*$AE$27</f>
        <v>3.823771308942657E-2</v>
      </c>
      <c r="H28" s="100">
        <f t="shared" ref="H28:H33" si="4">+H17*$AF$27</f>
        <v>8.1042947138217289E-2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102">
        <f>+((D28-$D$40)^2+(E28-$E$40)^2+(F28-$F$40)^2+(G28-$G$40)^2+(H28-$H$40)^2+(I28-$I$40)^2+(J28-$J$40)^2+(K28-$K$40)^2+(L28-$L$40)^2+(M28-$M$40)^2+(N28-$N$40)^2+(O28-$O$40)^2+(P28-$P$40)^2+(Q28-$Q$40)^2+(R28-$R$40)^2+(S28-$S$40)^2+(T28-$T$40)^2+(U28-$U$40)^2)^0.5</f>
        <v>0.16316745118100232</v>
      </c>
      <c r="W28" s="101">
        <f t="shared" ref="W28:W33" si="5">+((D28-$D$39)^2+(E28-$E$39)^2+(F28-$F$39)^2+(G28-$G$39)^2+(H28-$H$39)^2+(I28-$I$39)^2+(J28-$J$39)^2+(K28-$K$39)^2+(L28-$L$39)^2+(M28-$M$39)^2+(N28-$N$39)^2+(O28-$O$39)^2+(P28-$P$39)^2+(Q28-$Q$39)^2+(R28-$R$39)^2+(S28-$S$39)^2+(T28-$T$39)^2+(U28-$U$39)^2)^0.5</f>
        <v>0.17375698167642245</v>
      </c>
      <c r="X28" s="101">
        <f t="shared" ref="X28:X33" si="6">+W28/(V28+W28)</f>
        <v>0.5157149934268811</v>
      </c>
      <c r="Y28" s="76">
        <f t="shared" ref="Y28:Y33" si="7">+RANK(X28,$X$27:$X$36)</f>
        <v>4</v>
      </c>
      <c r="Z28" s="76">
        <f t="shared" ref="Z28:Z33" si="8">+X28/MAX($X$27:$X$33)*100</f>
        <v>63.802368497258044</v>
      </c>
    </row>
    <row r="29" spans="1:45" x14ac:dyDescent="0.25">
      <c r="A29" s="3"/>
      <c r="B29" s="3"/>
      <c r="C29" s="14" t="s">
        <v>97</v>
      </c>
      <c r="D29" s="100">
        <f t="shared" si="0"/>
        <v>4.6270908762109764E-2</v>
      </c>
      <c r="E29" s="100">
        <f t="shared" si="1"/>
        <v>1.9381912385010761E-2</v>
      </c>
      <c r="F29" s="100">
        <f t="shared" si="2"/>
        <v>3.7470577993695527E-2</v>
      </c>
      <c r="G29" s="100">
        <f t="shared" si="3"/>
        <v>0.15804863090724758</v>
      </c>
      <c r="H29" s="100">
        <f t="shared" si="4"/>
        <v>7.613097245077427E-2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102">
        <f t="shared" ref="V29:V33" si="9">+((D29-$D$40)^2+(E29-$E$40)^2+(F29-$F$40)^2+(G29-$G$40)^2+(H29-$H$40)^2+(I29-$I$40)^2+(J29-$J$40)^2+(K29-$K$40)^2+(L29-$L$40)^2+(M29-$M$40)^2+(N29-$N$40)^2+(O29-$O$40)^2+(P29-$P$40)^2+(Q29-$Q$40)^2+(R29-$R$40)^2+(S29-$S$40)^2+(T29-$T$40)^2+(U29-$U$40)^2)^0.5</f>
        <v>0.18444672483048133</v>
      </c>
      <c r="W29" s="101">
        <f t="shared" si="5"/>
        <v>0.17583514385523669</v>
      </c>
      <c r="X29" s="101">
        <f t="shared" si="6"/>
        <v>0.4880488282595804</v>
      </c>
      <c r="Y29" s="76">
        <f t="shared" si="7"/>
        <v>7</v>
      </c>
      <c r="Z29" s="76">
        <f t="shared" si="8"/>
        <v>60.379611960395032</v>
      </c>
    </row>
    <row r="30" spans="1:45" x14ac:dyDescent="0.25">
      <c r="A30" s="3"/>
      <c r="B30" s="3"/>
      <c r="C30" s="14" t="s">
        <v>98</v>
      </c>
      <c r="D30" s="100">
        <f t="shared" si="0"/>
        <v>7.3846980314914046E-2</v>
      </c>
      <c r="E30" s="100">
        <f t="shared" si="1"/>
        <v>1.9536599934050297E-2</v>
      </c>
      <c r="F30" s="100">
        <f t="shared" si="2"/>
        <v>8.3528993084213646E-2</v>
      </c>
      <c r="G30" s="100">
        <f t="shared" si="3"/>
        <v>8.850556731059353E-2</v>
      </c>
      <c r="H30" s="100">
        <f t="shared" si="4"/>
        <v>5.7553931797949202E-2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102">
        <f t="shared" si="9"/>
        <v>0.11940496018707318</v>
      </c>
      <c r="W30" s="101">
        <f t="shared" si="5"/>
        <v>0.18143285329202979</v>
      </c>
      <c r="X30" s="101">
        <f t="shared" si="6"/>
        <v>0.60309191585263466</v>
      </c>
      <c r="Y30" s="76">
        <f t="shared" si="7"/>
        <v>3</v>
      </c>
      <c r="Z30" s="76">
        <f t="shared" si="8"/>
        <v>74.612321036585698</v>
      </c>
    </row>
    <row r="31" spans="1:45" x14ac:dyDescent="0.25">
      <c r="A31" s="3"/>
      <c r="B31" s="3"/>
      <c r="C31" s="14" t="s">
        <v>99</v>
      </c>
      <c r="D31" s="100">
        <f>+D20*$AB$27</f>
        <v>4.6339724052689678E-2</v>
      </c>
      <c r="E31" s="100">
        <f t="shared" si="1"/>
        <v>0.1552859013255922</v>
      </c>
      <c r="F31" s="100">
        <f t="shared" si="2"/>
        <v>6.1341075815971272E-2</v>
      </c>
      <c r="G31" s="100">
        <f t="shared" si="3"/>
        <v>2.1983845126827467E-2</v>
      </c>
      <c r="H31" s="100">
        <f t="shared" si="4"/>
        <v>5.7183147299465456E-2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102">
        <f t="shared" si="9"/>
        <v>0.17258901412384037</v>
      </c>
      <c r="W31" s="101">
        <f t="shared" si="5"/>
        <v>0.1712713260615368</v>
      </c>
      <c r="X31" s="101">
        <f t="shared" si="6"/>
        <v>0.4980839778417116</v>
      </c>
      <c r="Y31" s="76">
        <f t="shared" si="7"/>
        <v>6</v>
      </c>
      <c r="Z31" s="76">
        <f t="shared" si="8"/>
        <v>61.62112388020509</v>
      </c>
    </row>
    <row r="32" spans="1:45" x14ac:dyDescent="0.25">
      <c r="A32" s="3"/>
      <c r="B32" s="3"/>
      <c r="C32" s="14" t="s">
        <v>100</v>
      </c>
      <c r="D32" s="100">
        <f t="shared" si="0"/>
        <v>9.168438521477898E-2</v>
      </c>
      <c r="E32" s="100">
        <f t="shared" si="1"/>
        <v>9.8270758840327377E-2</v>
      </c>
      <c r="F32" s="100">
        <f t="shared" si="2"/>
        <v>5.0393755631403449E-2</v>
      </c>
      <c r="G32" s="100">
        <f t="shared" si="3"/>
        <v>1.1513548166049454E-2</v>
      </c>
      <c r="H32" s="100">
        <f t="shared" si="4"/>
        <v>6.2115193709278482E-2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102">
        <f t="shared" si="9"/>
        <v>0.10445260147911234</v>
      </c>
      <c r="W32" s="101">
        <f t="shared" si="5"/>
        <v>0.20006867210528095</v>
      </c>
      <c r="X32" s="101">
        <f t="shared" si="6"/>
        <v>0.65699407384697894</v>
      </c>
      <c r="Y32" s="76">
        <f t="shared" si="7"/>
        <v>2</v>
      </c>
      <c r="Z32" s="76">
        <f t="shared" si="8"/>
        <v>81.28089843104955</v>
      </c>
    </row>
    <row r="33" spans="1:26" x14ac:dyDescent="0.25">
      <c r="A33" s="3"/>
      <c r="B33" s="3"/>
      <c r="C33" s="14" t="s">
        <v>101</v>
      </c>
      <c r="D33" s="100">
        <f t="shared" si="0"/>
        <v>3.0745083628326765E-2</v>
      </c>
      <c r="E33" s="100">
        <f t="shared" si="1"/>
        <v>5.5193443485907906E-2</v>
      </c>
      <c r="F33" s="100">
        <f t="shared" si="2"/>
        <v>7.3872094647095862E-2</v>
      </c>
      <c r="G33" s="100">
        <f t="shared" si="3"/>
        <v>2.5003977375978981E-2</v>
      </c>
      <c r="H33" s="100">
        <f t="shared" si="4"/>
        <v>0.13007789248099075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102">
        <f t="shared" si="9"/>
        <v>0.1669113826274963</v>
      </c>
      <c r="W33" s="101">
        <f t="shared" si="5"/>
        <v>0.17697902980470565</v>
      </c>
      <c r="X33" s="101">
        <f t="shared" si="6"/>
        <v>0.51463787127126459</v>
      </c>
      <c r="Y33" s="76">
        <f t="shared" si="7"/>
        <v>5</v>
      </c>
      <c r="Z33" s="76">
        <f t="shared" si="8"/>
        <v>63.669110892640916</v>
      </c>
    </row>
    <row r="34" spans="1:26" x14ac:dyDescent="0.25">
      <c r="A34" s="3"/>
      <c r="B34" s="3"/>
      <c r="C34" s="90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3"/>
      <c r="W34" s="74"/>
      <c r="X34" s="74"/>
      <c r="Y34" s="76"/>
      <c r="Z34" s="76"/>
    </row>
    <row r="35" spans="1:26" x14ac:dyDescent="0.25">
      <c r="A35" s="3"/>
      <c r="B35" s="3"/>
      <c r="C35" s="90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3"/>
      <c r="W35" s="74"/>
      <c r="X35" s="74"/>
      <c r="Y35" s="76"/>
      <c r="Z35" s="76"/>
    </row>
    <row r="36" spans="1:26" x14ac:dyDescent="0.25">
      <c r="A36" s="3"/>
      <c r="B36" s="3"/>
      <c r="C36" s="91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3"/>
      <c r="W36" s="74"/>
      <c r="X36" s="74"/>
      <c r="Y36" s="76"/>
      <c r="Z36" s="76"/>
    </row>
    <row r="37" spans="1:26" x14ac:dyDescent="0.25">
      <c r="A37" s="3"/>
      <c r="B37" s="3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72"/>
      <c r="W37" s="74"/>
      <c r="X37" s="74"/>
      <c r="Y37" s="74"/>
      <c r="Z37" s="74"/>
    </row>
    <row r="38" spans="1:26" x14ac:dyDescent="0.25">
      <c r="A38" s="3"/>
      <c r="B38" s="3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72"/>
      <c r="W38" s="18"/>
      <c r="X38" s="18"/>
      <c r="Y38" s="18"/>
      <c r="Z38" s="18"/>
    </row>
    <row r="39" spans="1:26" x14ac:dyDescent="0.25">
      <c r="A39" s="3"/>
      <c r="B39" s="3"/>
      <c r="C39" s="77" t="s">
        <v>72</v>
      </c>
      <c r="D39" s="100">
        <f>+MIN(D27:D33)</f>
        <v>3.0745083628326765E-2</v>
      </c>
      <c r="E39" s="100">
        <f>+MAX(E27:E36)</f>
        <v>0.1552859013255922</v>
      </c>
      <c r="F39" s="100">
        <f t="shared" ref="F39:H39" si="10">+MAX(F27:F36)</f>
        <v>0.13389040052930654</v>
      </c>
      <c r="G39" s="100">
        <f t="shared" si="10"/>
        <v>0.15804863090724758</v>
      </c>
      <c r="H39" s="100">
        <f t="shared" si="10"/>
        <v>0.13007789248099075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2"/>
      <c r="W39" s="18"/>
      <c r="X39" s="18"/>
      <c r="Y39" s="18"/>
      <c r="Z39" s="18"/>
    </row>
    <row r="40" spans="1:26" x14ac:dyDescent="0.25">
      <c r="A40" s="3"/>
      <c r="B40" s="3"/>
      <c r="C40" s="77" t="s">
        <v>71</v>
      </c>
      <c r="D40" s="100">
        <f>+MAX(D27:D36)</f>
        <v>0.14115404883931348</v>
      </c>
      <c r="E40" s="100">
        <f>+MIN(E27:E36)</f>
        <v>1.9381912385010761E-2</v>
      </c>
      <c r="F40" s="100">
        <f t="shared" ref="F40:H40" si="11">+MIN(F27:F36)</f>
        <v>3.7470577993695527E-2</v>
      </c>
      <c r="G40" s="100">
        <f t="shared" si="11"/>
        <v>1.1513548166049454E-2</v>
      </c>
      <c r="H40" s="100">
        <f t="shared" si="11"/>
        <v>1.6588940609298965E-2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2"/>
      <c r="W40" s="18"/>
      <c r="X40" s="18"/>
      <c r="Y40" s="18"/>
      <c r="Z40" s="18"/>
    </row>
    <row r="41" spans="1:26" x14ac:dyDescent="0.25">
      <c r="A41" s="3"/>
      <c r="B41" s="3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72"/>
      <c r="W41" s="18"/>
      <c r="X41" s="18"/>
      <c r="Y41" s="18"/>
      <c r="Z41" s="18"/>
    </row>
    <row r="42" spans="1:26" x14ac:dyDescent="0.25">
      <c r="A42" s="3"/>
      <c r="B42" s="3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S42" s="20"/>
      <c r="T42" s="20"/>
      <c r="U42" s="20"/>
      <c r="V42" s="72"/>
      <c r="W42" s="18"/>
      <c r="X42" s="18"/>
      <c r="Y42" s="18"/>
      <c r="Z42" s="18"/>
    </row>
    <row r="43" spans="1:26" x14ac:dyDescent="0.25">
      <c r="A43" s="3"/>
      <c r="B43" s="3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78"/>
      <c r="P43" s="20"/>
      <c r="Q43" s="20"/>
      <c r="R43" s="20"/>
      <c r="S43" s="20"/>
      <c r="T43" s="20"/>
      <c r="U43" s="20"/>
      <c r="V43" s="72"/>
      <c r="W43" s="18"/>
      <c r="X43" s="18"/>
      <c r="Y43" s="18"/>
      <c r="Z43" s="18"/>
    </row>
  </sheetData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f0dbc0-581d-4a2b-92c9-2b3d5622a776" xsi:nil="true"/>
    <lcf76f155ced4ddcb4097134ff3c332f xmlns="a954443d-5ae2-48c6-ae50-eca34d1c85e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D1BF32678B8C4396D3503A66DF87E1" ma:contentTypeVersion="16" ma:contentTypeDescription="Criar um novo documento." ma:contentTypeScope="" ma:versionID="c1bb8bb8b09b1ceeb1d47a707044e370">
  <xsd:schema xmlns:xsd="http://www.w3.org/2001/XMLSchema" xmlns:xs="http://www.w3.org/2001/XMLSchema" xmlns:p="http://schemas.microsoft.com/office/2006/metadata/properties" xmlns:ns2="a954443d-5ae2-48c6-ae50-eca34d1c85e4" xmlns:ns3="a9f0dbc0-581d-4a2b-92c9-2b3d5622a776" targetNamespace="http://schemas.microsoft.com/office/2006/metadata/properties" ma:root="true" ma:fieldsID="7849ab7f6d04e0256aef421b43e6a414" ns2:_="" ns3:_="">
    <xsd:import namespace="a954443d-5ae2-48c6-ae50-eca34d1c85e4"/>
    <xsd:import namespace="a9f0dbc0-581d-4a2b-92c9-2b3d5622a7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4443d-5ae2-48c6-ae50-eca34d1c8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1d602765-7830-46ba-a66b-13b8df2c5c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f0dbc0-581d-4a2b-92c9-2b3d5622a77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6311d6-1b7d-4637-912d-912fefadff1b}" ma:internalName="TaxCatchAll" ma:showField="CatchAllData" ma:web="a9f0dbc0-581d-4a2b-92c9-2b3d5622a7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166DBE-F6CA-4AE3-AAEE-1EBA11DA963D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137996f3-62b9-40d5-8172-3dbaaf141940"/>
    <ds:schemaRef ds:uri="http://www.w3.org/XML/1998/namespace"/>
    <ds:schemaRef ds:uri="71f9d32c-0c2b-4340-b262-499cf52787ca"/>
    <ds:schemaRef ds:uri="http://schemas.microsoft.com/office/infopath/2007/PartnerControls"/>
    <ds:schemaRef ds:uri="http://schemas.microsoft.com/office/2006/metadata/properties"/>
    <ds:schemaRef ds:uri="http://purl.org/dc/dcmitype/"/>
    <ds:schemaRef ds:uri="a9f0dbc0-581d-4a2b-92c9-2b3d5622a776"/>
    <ds:schemaRef ds:uri="a954443d-5ae2-48c6-ae50-eca34d1c85e4"/>
  </ds:schemaRefs>
</ds:datastoreItem>
</file>

<file path=customXml/itemProps2.xml><?xml version="1.0" encoding="utf-8"?>
<ds:datastoreItem xmlns:ds="http://schemas.openxmlformats.org/officeDocument/2006/customXml" ds:itemID="{12FB4C4F-5F93-4938-B75F-590DFEF7D2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E0B4E0-648B-45CF-A6C3-CFD8A0472D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54443d-5ae2-48c6-ae50-eca34d1c85e4"/>
    <ds:schemaRef ds:uri="a9f0dbc0-581d-4a2b-92c9-2b3d5622a7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AHP_nivel_0</vt:lpstr>
      <vt:lpstr>AHP_nivel_0 (neutral)</vt:lpstr>
      <vt:lpstr>SAW_nivel_0_máximo</vt:lpstr>
      <vt:lpstr>SAW_nivel_0_máximo (neutral)</vt:lpstr>
      <vt:lpstr>WPM_nivel_0 (maximo)</vt:lpstr>
      <vt:lpstr>WPM_nivel_0 (maximo) (neutral)</vt:lpstr>
      <vt:lpstr>TOPSIS_Nivel_0</vt:lpstr>
      <vt:lpstr>TOPSIS_Nivel_0 (neutral)</vt:lpstr>
    </vt:vector>
  </TitlesOfParts>
  <Company>UA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Monique Borges</cp:lastModifiedBy>
  <dcterms:created xsi:type="dcterms:W3CDTF">2021-10-15T13:56:44Z</dcterms:created>
  <dcterms:modified xsi:type="dcterms:W3CDTF">2026-05-11T15:10:56Z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0x01010011D1BF32678B8C4396D3503A66DF87E1</vt:lpwstr>
  </property>
  <property fmtid="{D5CDD505-2E9C-101B-9397-08002B2CF9AE}" pid="3" name="MediaServiceImageTags">
    <vt:lpwstr/>
  </property>
</Properties>
</file>