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apt33090.sharepoint.com/sites/OP_Artigos_A_Submeter/Shared Documents/Socio-Economic Planning Sciences_PhD_Multicriterio/Sensitivity/"/>
    </mc:Choice>
  </mc:AlternateContent>
  <xr:revisionPtr revIDLastSave="270" documentId="11_C5D01124DEA7810A1660953BDB4A8DF88407458B" xr6:coauthVersionLast="47" xr6:coauthVersionMax="47" xr10:uidLastSave="{23FA0842-7F5B-41C2-B6A6-D068AD1A568D}"/>
  <bookViews>
    <workbookView minimized="1" xWindow="2070" yWindow="3255" windowWidth="15375" windowHeight="7875" tabRatio="845" xr2:uid="{00000000-000D-0000-FFFF-FFFF00000000}"/>
  </bookViews>
  <sheets>
    <sheet name="AHP_nivel_0" sheetId="1" r:id="rId1"/>
    <sheet name="AHP_nivel_0 (neutral)" sheetId="13" r:id="rId2"/>
    <sheet name="SAW_nivel_0_máximo" sheetId="10" r:id="rId3"/>
    <sheet name="SAW_nivel_0_máximo (neutral)" sheetId="14" r:id="rId4"/>
    <sheet name="WPM_nivel_0 (maximo)" sheetId="11" r:id="rId5"/>
    <sheet name="WPM_nivel_0 (maximo) (neutral)" sheetId="15" r:id="rId6"/>
    <sheet name="TOPSIS_Nivel_0" sheetId="3" r:id="rId7"/>
    <sheet name="TOPSIS_Nivel_0 (neutral)" sheetId="16" r:id="rId8"/>
    <sheet name="Comparacao_MCDM_Nivel_0" sheetId="4" r:id="rId9"/>
    <sheet name="Comparacao_NeutralScenario" sheetId="17" r:id="rId10"/>
    <sheet name="Comparacao_de_3_MCDM_Nivel_0" sheetId="12" r:id="rId11"/>
    <sheet name="SAW_nivel_0_minimo" sheetId="8" r:id="rId12"/>
    <sheet name="WPM_nivel_0" sheetId="9" r:id="rId13"/>
  </sheets>
  <definedNames>
    <definedName name="_xlchart.v1.0" hidden="1">Comparacao_MCDM_Nivel_0!$A$2:$A$11</definedName>
    <definedName name="_xlchart.v1.1" hidden="1">Comparacao_MCDM_Nivel_0!$C$1</definedName>
    <definedName name="_xlchart.v1.10" hidden="1">Comparacao_MCDM_Nivel_0!$K$2:$K$11</definedName>
    <definedName name="_xlchart.v1.11" hidden="1">Comparacao_MCDM_Nivel_0!$O$1</definedName>
    <definedName name="_xlchart.v1.12" hidden="1">Comparacao_MCDM_Nivel_0!$O$2:$O$11</definedName>
    <definedName name="_xlchart.v1.13" hidden="1">Comparacao_MCDM_Nivel_0!$A$2:$A$11</definedName>
    <definedName name="_xlchart.v1.14" hidden="1">Comparacao_MCDM_Nivel_0!$C$1</definedName>
    <definedName name="_xlchart.v1.15" hidden="1">Comparacao_MCDM_Nivel_0!$C$2:$C$11</definedName>
    <definedName name="_xlchart.v1.16" hidden="1">Comparacao_MCDM_Nivel_0!$E$1</definedName>
    <definedName name="_xlchart.v1.17" hidden="1">Comparacao_MCDM_Nivel_0!$E$2:$E$11</definedName>
    <definedName name="_xlchart.v1.18" hidden="1">Comparacao_MCDM_Nivel_0!$G$1</definedName>
    <definedName name="_xlchart.v1.19" hidden="1">Comparacao_MCDM_Nivel_0!$G$2:$G$11</definedName>
    <definedName name="_xlchart.v1.2" hidden="1">Comparacao_MCDM_Nivel_0!$C$2:$C$11</definedName>
    <definedName name="_xlchart.v1.20" hidden="1">Comparacao_MCDM_Nivel_0!$I$1</definedName>
    <definedName name="_xlchart.v1.21" hidden="1">Comparacao_MCDM_Nivel_0!$I$2:$I$11</definedName>
    <definedName name="_xlchart.v1.22" hidden="1">Comparacao_MCDM_Nivel_0!$K$1</definedName>
    <definedName name="_xlchart.v1.23" hidden="1">Comparacao_MCDM_Nivel_0!$K$2:$K$11</definedName>
    <definedName name="_xlchart.v1.24" hidden="1">Comparacao_MCDM_Nivel_0!$M$1</definedName>
    <definedName name="_xlchart.v1.25" hidden="1">Comparacao_MCDM_Nivel_0!$M$2:$M$11</definedName>
    <definedName name="_xlchart.v1.26" hidden="1">Comparacao_MCDM_Nivel_0!$P$1</definedName>
    <definedName name="_xlchart.v1.27" hidden="1">Comparacao_MCDM_Nivel_0!$P$2:$P$11</definedName>
    <definedName name="_xlchart.v1.28" hidden="1">Comparacao_de_3_MCDM_Nivel_0!$A$2:$A$11</definedName>
    <definedName name="_xlchart.v1.29" hidden="1">Comparacao_de_3_MCDM_Nivel_0!$C$1</definedName>
    <definedName name="_xlchart.v1.3" hidden="1">Comparacao_MCDM_Nivel_0!$E$1</definedName>
    <definedName name="_xlchart.v1.30" hidden="1">Comparacao_de_3_MCDM_Nivel_0!$C$2:$C$11</definedName>
    <definedName name="_xlchart.v1.31" hidden="1">Comparacao_de_3_MCDM_Nivel_0!$E$1</definedName>
    <definedName name="_xlchart.v1.32" hidden="1">Comparacao_de_3_MCDM_Nivel_0!$E$2:$E$11</definedName>
    <definedName name="_xlchart.v1.33" hidden="1">Comparacao_de_3_MCDM_Nivel_0!$G$1</definedName>
    <definedName name="_xlchart.v1.34" hidden="1">Comparacao_de_3_MCDM_Nivel_0!$G$2:$G$11</definedName>
    <definedName name="_xlchart.v1.35" hidden="1">Comparacao_de_3_MCDM_Nivel_0!$I$1</definedName>
    <definedName name="_xlchart.v1.36" hidden="1">Comparacao_de_3_MCDM_Nivel_0!$I$2:$I$11</definedName>
    <definedName name="_xlchart.v1.37" hidden="1">Comparacao_de_3_MCDM_Nivel_0!$K$1</definedName>
    <definedName name="_xlchart.v1.38" hidden="1">Comparacao_de_3_MCDM_Nivel_0!$K$2:$K$11</definedName>
    <definedName name="_xlchart.v1.39" hidden="1">Comparacao_de_3_MCDM_Nivel_0!$M$1</definedName>
    <definedName name="_xlchart.v1.4" hidden="1">Comparacao_MCDM_Nivel_0!$E$2:$E$11</definedName>
    <definedName name="_xlchart.v1.40" hidden="1">Comparacao_de_3_MCDM_Nivel_0!$M$2:$M$11</definedName>
    <definedName name="_xlchart.v1.41" hidden="1">Comparacao_de_3_MCDM_Nivel_0!$P$1</definedName>
    <definedName name="_xlchart.v1.42" hidden="1">Comparacao_de_3_MCDM_Nivel_0!$P$2:$P$11</definedName>
    <definedName name="_xlchart.v1.5" hidden="1">Comparacao_MCDM_Nivel_0!$G$1</definedName>
    <definedName name="_xlchart.v1.6" hidden="1">Comparacao_MCDM_Nivel_0!$G$2:$G$11</definedName>
    <definedName name="_xlchart.v1.7" hidden="1">Comparacao_MCDM_Nivel_0!$I$1</definedName>
    <definedName name="_xlchart.v1.8" hidden="1">Comparacao_MCDM_Nivel_0!$I$2:$I$11</definedName>
    <definedName name="_xlchart.v1.9" hidden="1">Comparacao_MCDM_Nivel_0!$K$1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7" l="1"/>
  <c r="D15" i="17"/>
  <c r="C15" i="17"/>
  <c r="B15" i="17"/>
  <c r="H12" i="16"/>
  <c r="G12" i="16"/>
  <c r="G25" i="16" s="1"/>
  <c r="G36" i="16" s="1"/>
  <c r="F12" i="16"/>
  <c r="F25" i="16" s="1"/>
  <c r="F36" i="16" s="1"/>
  <c r="E12" i="16"/>
  <c r="E25" i="16" s="1"/>
  <c r="E36" i="16" s="1"/>
  <c r="D12" i="16"/>
  <c r="D25" i="16" s="1"/>
  <c r="D36" i="16" s="1"/>
  <c r="H11" i="16"/>
  <c r="G11" i="16"/>
  <c r="F11" i="16"/>
  <c r="E11" i="16"/>
  <c r="D11" i="16"/>
  <c r="D24" i="16" s="1"/>
  <c r="D35" i="16" s="1"/>
  <c r="H10" i="16"/>
  <c r="H23" i="16" s="1"/>
  <c r="H34" i="16" s="1"/>
  <c r="G10" i="16"/>
  <c r="G23" i="16" s="1"/>
  <c r="G34" i="16" s="1"/>
  <c r="F10" i="16"/>
  <c r="F23" i="16" s="1"/>
  <c r="F34" i="16" s="1"/>
  <c r="E10" i="16"/>
  <c r="D10" i="16"/>
  <c r="H9" i="16"/>
  <c r="G9" i="16"/>
  <c r="F9" i="16"/>
  <c r="F22" i="16" s="1"/>
  <c r="F33" i="16" s="1"/>
  <c r="E9" i="16"/>
  <c r="E22" i="16" s="1"/>
  <c r="E33" i="16" s="1"/>
  <c r="D9" i="16"/>
  <c r="D22" i="16" s="1"/>
  <c r="D33" i="16" s="1"/>
  <c r="H8" i="16"/>
  <c r="H19" i="16" s="1"/>
  <c r="H30" i="16" s="1"/>
  <c r="G8" i="16"/>
  <c r="F8" i="16"/>
  <c r="E8" i="16"/>
  <c r="D8" i="16"/>
  <c r="H7" i="16"/>
  <c r="H20" i="16" s="1"/>
  <c r="H31" i="16" s="1"/>
  <c r="G7" i="16"/>
  <c r="G20" i="16" s="1"/>
  <c r="G31" i="16" s="1"/>
  <c r="F7" i="16"/>
  <c r="F20" i="16" s="1"/>
  <c r="F31" i="16" s="1"/>
  <c r="E7" i="16"/>
  <c r="E20" i="16" s="1"/>
  <c r="E31" i="16" s="1"/>
  <c r="D7" i="16"/>
  <c r="H6" i="16"/>
  <c r="G6" i="16"/>
  <c r="F6" i="16"/>
  <c r="E6" i="16"/>
  <c r="E19" i="16" s="1"/>
  <c r="E30" i="16" s="1"/>
  <c r="D6" i="16"/>
  <c r="D19" i="16" s="1"/>
  <c r="D30" i="16" s="1"/>
  <c r="H5" i="16"/>
  <c r="H18" i="16" s="1"/>
  <c r="H29" i="16" s="1"/>
  <c r="G5" i="16"/>
  <c r="G18" i="16" s="1"/>
  <c r="G29" i="16" s="1"/>
  <c r="F5" i="16"/>
  <c r="E5" i="16"/>
  <c r="D5" i="16"/>
  <c r="H4" i="16"/>
  <c r="G4" i="16"/>
  <c r="G17" i="16" s="1"/>
  <c r="G28" i="16" s="1"/>
  <c r="F4" i="16"/>
  <c r="F17" i="16" s="1"/>
  <c r="F28" i="16" s="1"/>
  <c r="E4" i="16"/>
  <c r="E17" i="16" s="1"/>
  <c r="E28" i="16" s="1"/>
  <c r="D4" i="16"/>
  <c r="D23" i="16" s="1"/>
  <c r="D34" i="16" s="1"/>
  <c r="H3" i="16"/>
  <c r="H22" i="16" s="1"/>
  <c r="H33" i="16" s="1"/>
  <c r="G3" i="16"/>
  <c r="G24" i="16" s="1"/>
  <c r="G35" i="16" s="1"/>
  <c r="F3" i="16"/>
  <c r="E3" i="16"/>
  <c r="D3" i="16"/>
  <c r="D16" i="16" s="1"/>
  <c r="D27" i="16" s="1"/>
  <c r="AC24" i="15"/>
  <c r="AC23" i="15"/>
  <c r="AC25" i="15" s="1"/>
  <c r="F13" i="15"/>
  <c r="E13" i="15"/>
  <c r="D13" i="15"/>
  <c r="C13" i="15"/>
  <c r="B13" i="15"/>
  <c r="F12" i="15"/>
  <c r="E12" i="15"/>
  <c r="D12" i="15"/>
  <c r="C12" i="15"/>
  <c r="B12" i="15"/>
  <c r="F11" i="15"/>
  <c r="E11" i="15"/>
  <c r="D11" i="15"/>
  <c r="C11" i="15"/>
  <c r="B11" i="15"/>
  <c r="F10" i="15"/>
  <c r="E10" i="15"/>
  <c r="D10" i="15"/>
  <c r="C10" i="15"/>
  <c r="B10" i="15"/>
  <c r="F9" i="15"/>
  <c r="E9" i="15"/>
  <c r="D9" i="15"/>
  <c r="C9" i="15"/>
  <c r="B9" i="15"/>
  <c r="F8" i="15"/>
  <c r="E8" i="15"/>
  <c r="D8" i="15"/>
  <c r="C8" i="15"/>
  <c r="B8" i="15"/>
  <c r="F7" i="15"/>
  <c r="E7" i="15"/>
  <c r="D7" i="15"/>
  <c r="C7" i="15"/>
  <c r="B7" i="15"/>
  <c r="F6" i="15"/>
  <c r="E6" i="15"/>
  <c r="D6" i="15"/>
  <c r="C6" i="15"/>
  <c r="B6" i="15"/>
  <c r="F5" i="15"/>
  <c r="E5" i="15"/>
  <c r="D5" i="15"/>
  <c r="C5" i="15"/>
  <c r="B5" i="15"/>
  <c r="F4" i="15"/>
  <c r="E4" i="15"/>
  <c r="D4" i="15"/>
  <c r="C4" i="15"/>
  <c r="B4" i="15"/>
  <c r="X24" i="15" s="1"/>
  <c r="B4" i="14"/>
  <c r="H19" i="4"/>
  <c r="H21" i="4"/>
  <c r="AC24" i="14"/>
  <c r="AC23" i="14"/>
  <c r="F13" i="14"/>
  <c r="E13" i="14"/>
  <c r="D13" i="14"/>
  <c r="C13" i="14"/>
  <c r="B13" i="14"/>
  <c r="F12" i="14"/>
  <c r="E12" i="14"/>
  <c r="D12" i="14"/>
  <c r="C12" i="14"/>
  <c r="B12" i="14"/>
  <c r="F11" i="14"/>
  <c r="E11" i="14"/>
  <c r="D11" i="14"/>
  <c r="C11" i="14"/>
  <c r="B11" i="14"/>
  <c r="F10" i="14"/>
  <c r="E10" i="14"/>
  <c r="D10" i="14"/>
  <c r="C10" i="14"/>
  <c r="B10" i="14"/>
  <c r="F9" i="14"/>
  <c r="E9" i="14"/>
  <c r="D9" i="14"/>
  <c r="C9" i="14"/>
  <c r="B9" i="14"/>
  <c r="F8" i="14"/>
  <c r="E8" i="14"/>
  <c r="D8" i="14"/>
  <c r="C8" i="14"/>
  <c r="B8" i="14"/>
  <c r="F7" i="14"/>
  <c r="E7" i="14"/>
  <c r="D7" i="14"/>
  <c r="C7" i="14"/>
  <c r="B7" i="14"/>
  <c r="F6" i="14"/>
  <c r="E6" i="14"/>
  <c r="D6" i="14"/>
  <c r="C6" i="14"/>
  <c r="B6" i="14"/>
  <c r="F5" i="14"/>
  <c r="E5" i="14"/>
  <c r="D5" i="14"/>
  <c r="C5" i="14"/>
  <c r="B5" i="14"/>
  <c r="F4" i="14"/>
  <c r="E4" i="14"/>
  <c r="D4" i="14"/>
  <c r="C4" i="14"/>
  <c r="X24" i="14"/>
  <c r="U260" i="13"/>
  <c r="T260" i="13"/>
  <c r="S260" i="13"/>
  <c r="R260" i="13"/>
  <c r="Q260" i="13"/>
  <c r="P260" i="13"/>
  <c r="L243" i="13"/>
  <c r="K243" i="13"/>
  <c r="J243" i="13"/>
  <c r="L242" i="13"/>
  <c r="K242" i="13"/>
  <c r="J242" i="13"/>
  <c r="M241" i="13"/>
  <c r="L241" i="13"/>
  <c r="K241" i="13"/>
  <c r="J241" i="13"/>
  <c r="M240" i="13"/>
  <c r="L240" i="13"/>
  <c r="K240" i="13"/>
  <c r="J240" i="13"/>
  <c r="M239" i="13"/>
  <c r="L239" i="13"/>
  <c r="K239" i="13"/>
  <c r="J239" i="13"/>
  <c r="N238" i="13"/>
  <c r="M238" i="13"/>
  <c r="L238" i="13"/>
  <c r="K238" i="13"/>
  <c r="J238" i="13"/>
  <c r="U200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U199" i="13"/>
  <c r="T199" i="13"/>
  <c r="S199" i="13"/>
  <c r="R199" i="13"/>
  <c r="Q199" i="13"/>
  <c r="P199" i="13"/>
  <c r="O199" i="13"/>
  <c r="N199" i="13"/>
  <c r="M199" i="13"/>
  <c r="L199" i="13"/>
  <c r="K199" i="13"/>
  <c r="J199" i="13"/>
  <c r="I199" i="13"/>
  <c r="U198" i="13"/>
  <c r="T198" i="13"/>
  <c r="S198" i="13"/>
  <c r="R198" i="13"/>
  <c r="Q198" i="13"/>
  <c r="P198" i="13"/>
  <c r="O198" i="13"/>
  <c r="N198" i="13"/>
  <c r="M198" i="13"/>
  <c r="L198" i="13"/>
  <c r="K198" i="13"/>
  <c r="J198" i="13"/>
  <c r="I198" i="13"/>
  <c r="U197" i="13"/>
  <c r="T197" i="13"/>
  <c r="S197" i="13"/>
  <c r="R197" i="13"/>
  <c r="Q197" i="13"/>
  <c r="P197" i="13"/>
  <c r="O197" i="13"/>
  <c r="N197" i="13"/>
  <c r="M197" i="13"/>
  <c r="L197" i="13"/>
  <c r="K197" i="13"/>
  <c r="J197" i="13"/>
  <c r="I197" i="13"/>
  <c r="U196" i="13"/>
  <c r="T196" i="13"/>
  <c r="S196" i="13"/>
  <c r="R196" i="13"/>
  <c r="Q196" i="13"/>
  <c r="P196" i="13"/>
  <c r="O196" i="13"/>
  <c r="N196" i="13"/>
  <c r="M196" i="13"/>
  <c r="L196" i="13"/>
  <c r="K196" i="13"/>
  <c r="J196" i="13"/>
  <c r="I196" i="13"/>
  <c r="U195" i="13"/>
  <c r="T195" i="13"/>
  <c r="S195" i="13"/>
  <c r="R195" i="13"/>
  <c r="Q195" i="13"/>
  <c r="P195" i="13"/>
  <c r="O195" i="13"/>
  <c r="N195" i="13"/>
  <c r="M195" i="13"/>
  <c r="L195" i="13"/>
  <c r="K195" i="13"/>
  <c r="J195" i="13"/>
  <c r="I195" i="13"/>
  <c r="U194" i="13"/>
  <c r="T194" i="13"/>
  <c r="S194" i="13"/>
  <c r="R194" i="13"/>
  <c r="Q194" i="13"/>
  <c r="P194" i="13"/>
  <c r="O194" i="13"/>
  <c r="N194" i="13"/>
  <c r="M194" i="13"/>
  <c r="L194" i="13"/>
  <c r="K194" i="13"/>
  <c r="J194" i="13"/>
  <c r="I194" i="13"/>
  <c r="U193" i="13"/>
  <c r="T193" i="13"/>
  <c r="S193" i="13"/>
  <c r="R193" i="13"/>
  <c r="Q193" i="13"/>
  <c r="P193" i="13"/>
  <c r="O193" i="13"/>
  <c r="N193" i="13"/>
  <c r="M193" i="13"/>
  <c r="L193" i="13"/>
  <c r="K193" i="13"/>
  <c r="J193" i="13"/>
  <c r="I193" i="13"/>
  <c r="U192" i="13"/>
  <c r="T192" i="13"/>
  <c r="S192" i="13"/>
  <c r="R192" i="13"/>
  <c r="Q192" i="13"/>
  <c r="P192" i="13"/>
  <c r="O192" i="13"/>
  <c r="N192" i="13"/>
  <c r="M192" i="13"/>
  <c r="L192" i="13"/>
  <c r="K192" i="13"/>
  <c r="J192" i="13"/>
  <c r="I192" i="13"/>
  <c r="U191" i="13"/>
  <c r="T191" i="13"/>
  <c r="S191" i="13"/>
  <c r="R191" i="13"/>
  <c r="Q191" i="13"/>
  <c r="P191" i="13"/>
  <c r="O191" i="13"/>
  <c r="N191" i="13"/>
  <c r="M191" i="13"/>
  <c r="L191" i="13"/>
  <c r="K191" i="13"/>
  <c r="J191" i="13"/>
  <c r="I191" i="13"/>
  <c r="F176" i="13"/>
  <c r="E176" i="13"/>
  <c r="G175" i="13"/>
  <c r="F175" i="13"/>
  <c r="E175" i="13"/>
  <c r="E174" i="13"/>
  <c r="G173" i="13"/>
  <c r="F173" i="13"/>
  <c r="E173" i="13"/>
  <c r="F172" i="13"/>
  <c r="E172" i="13"/>
  <c r="G171" i="13"/>
  <c r="F171" i="13"/>
  <c r="E171" i="13"/>
  <c r="E170" i="13"/>
  <c r="G169" i="13"/>
  <c r="F169" i="13"/>
  <c r="E169" i="13"/>
  <c r="F168" i="13"/>
  <c r="E168" i="13"/>
  <c r="G167" i="13"/>
  <c r="F167" i="13"/>
  <c r="E167" i="13"/>
  <c r="AD162" i="13"/>
  <c r="H176" i="13" s="1"/>
  <c r="AC162" i="13"/>
  <c r="G176" i="13" s="1"/>
  <c r="AB162" i="13"/>
  <c r="AA162" i="13"/>
  <c r="Z162" i="13"/>
  <c r="D176" i="13" s="1"/>
  <c r="V162" i="13"/>
  <c r="AD161" i="13"/>
  <c r="H175" i="13" s="1"/>
  <c r="AC161" i="13"/>
  <c r="AB161" i="13"/>
  <c r="AA161" i="13"/>
  <c r="Z161" i="13"/>
  <c r="D175" i="13" s="1"/>
  <c r="V161" i="13"/>
  <c r="AD160" i="13"/>
  <c r="H174" i="13" s="1"/>
  <c r="AC160" i="13"/>
  <c r="G174" i="13" s="1"/>
  <c r="AB160" i="13"/>
  <c r="F174" i="13" s="1"/>
  <c r="AA160" i="13"/>
  <c r="Z160" i="13"/>
  <c r="D174" i="13" s="1"/>
  <c r="V160" i="13"/>
  <c r="AD159" i="13"/>
  <c r="H173" i="13" s="1"/>
  <c r="AC159" i="13"/>
  <c r="AB159" i="13"/>
  <c r="AA159" i="13"/>
  <c r="Z159" i="13"/>
  <c r="D173" i="13" s="1"/>
  <c r="V159" i="13"/>
  <c r="AD158" i="13"/>
  <c r="H172" i="13" s="1"/>
  <c r="AC158" i="13"/>
  <c r="G172" i="13" s="1"/>
  <c r="AB158" i="13"/>
  <c r="AA158" i="13"/>
  <c r="Z158" i="13"/>
  <c r="D172" i="13" s="1"/>
  <c r="V158" i="13"/>
  <c r="AD157" i="13"/>
  <c r="H171" i="13" s="1"/>
  <c r="AC157" i="13"/>
  <c r="AB157" i="13"/>
  <c r="AA157" i="13"/>
  <c r="Z157" i="13"/>
  <c r="D171" i="13" s="1"/>
  <c r="V157" i="13"/>
  <c r="AD156" i="13"/>
  <c r="H170" i="13" s="1"/>
  <c r="AC156" i="13"/>
  <c r="G170" i="13" s="1"/>
  <c r="AB156" i="13"/>
  <c r="F170" i="13" s="1"/>
  <c r="AA156" i="13"/>
  <c r="Z156" i="13"/>
  <c r="D170" i="13" s="1"/>
  <c r="V156" i="13"/>
  <c r="AD155" i="13"/>
  <c r="H169" i="13" s="1"/>
  <c r="AC155" i="13"/>
  <c r="AB155" i="13"/>
  <c r="AA155" i="13"/>
  <c r="Z155" i="13"/>
  <c r="D169" i="13" s="1"/>
  <c r="W169" i="13" s="1"/>
  <c r="X169" i="13" s="1"/>
  <c r="V155" i="13"/>
  <c r="AD154" i="13"/>
  <c r="H168" i="13" s="1"/>
  <c r="AC154" i="13"/>
  <c r="G168" i="13" s="1"/>
  <c r="AB154" i="13"/>
  <c r="AA154" i="13"/>
  <c r="Z154" i="13"/>
  <c r="D168" i="13" s="1"/>
  <c r="V154" i="13"/>
  <c r="AD153" i="13"/>
  <c r="H167" i="13" s="1"/>
  <c r="AC153" i="13"/>
  <c r="AB153" i="13"/>
  <c r="AA153" i="13"/>
  <c r="Z153" i="13"/>
  <c r="D167" i="13" s="1"/>
  <c r="V153" i="13"/>
  <c r="U147" i="13"/>
  <c r="T147" i="13"/>
  <c r="S147" i="13"/>
  <c r="R147" i="13"/>
  <c r="Q147" i="13"/>
  <c r="P147" i="13"/>
  <c r="P143" i="13" s="1"/>
  <c r="O147" i="13"/>
  <c r="N147" i="13"/>
  <c r="N143" i="13" s="1"/>
  <c r="M147" i="13"/>
  <c r="L147" i="13"/>
  <c r="K147" i="13"/>
  <c r="J147" i="13"/>
  <c r="I147" i="13"/>
  <c r="H147" i="13"/>
  <c r="G147" i="13"/>
  <c r="F147" i="13"/>
  <c r="F143" i="13" s="1"/>
  <c r="E147" i="13"/>
  <c r="D147" i="13"/>
  <c r="U144" i="13"/>
  <c r="T144" i="13"/>
  <c r="T143" i="13" s="1"/>
  <c r="S144" i="13"/>
  <c r="S143" i="13" s="1"/>
  <c r="R144" i="13"/>
  <c r="R143" i="13" s="1"/>
  <c r="Q144" i="13"/>
  <c r="Q143" i="13" s="1"/>
  <c r="P144" i="13"/>
  <c r="O144" i="13"/>
  <c r="N144" i="13"/>
  <c r="M144" i="13"/>
  <c r="L144" i="13"/>
  <c r="L143" i="13" s="1"/>
  <c r="K144" i="13"/>
  <c r="K143" i="13" s="1"/>
  <c r="J144" i="13"/>
  <c r="J143" i="13" s="1"/>
  <c r="I144" i="13"/>
  <c r="I143" i="13" s="1"/>
  <c r="H144" i="13"/>
  <c r="G144" i="13"/>
  <c r="F144" i="13"/>
  <c r="E144" i="13"/>
  <c r="D144" i="13"/>
  <c r="D143" i="13" s="1"/>
  <c r="U143" i="13"/>
  <c r="O143" i="13"/>
  <c r="M143" i="13"/>
  <c r="G143" i="13"/>
  <c r="E143" i="13"/>
  <c r="V142" i="13"/>
  <c r="V141" i="13"/>
  <c r="U140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V140" i="13" s="1"/>
  <c r="D140" i="13"/>
  <c r="V139" i="13"/>
  <c r="V138" i="13"/>
  <c r="U137" i="13"/>
  <c r="T137" i="13"/>
  <c r="S137" i="13"/>
  <c r="R137" i="13"/>
  <c r="Q137" i="13"/>
  <c r="P137" i="13"/>
  <c r="O137" i="13"/>
  <c r="N137" i="13"/>
  <c r="M137" i="13"/>
  <c r="L137" i="13"/>
  <c r="K137" i="13"/>
  <c r="J137" i="13"/>
  <c r="I137" i="13"/>
  <c r="H137" i="13"/>
  <c r="G137" i="13"/>
  <c r="F137" i="13"/>
  <c r="E137" i="13"/>
  <c r="D137" i="13"/>
  <c r="V137" i="13" s="1"/>
  <c r="V136" i="13"/>
  <c r="V135" i="13"/>
  <c r="U134" i="13"/>
  <c r="T134" i="13"/>
  <c r="S134" i="13"/>
  <c r="R134" i="13"/>
  <c r="R130" i="13" s="1"/>
  <c r="Q134" i="13"/>
  <c r="Q130" i="13" s="1"/>
  <c r="P134" i="13"/>
  <c r="O134" i="13"/>
  <c r="N134" i="13"/>
  <c r="M134" i="13"/>
  <c r="L134" i="13"/>
  <c r="K134" i="13"/>
  <c r="J134" i="13"/>
  <c r="J130" i="13" s="1"/>
  <c r="I134" i="13"/>
  <c r="I130" i="13" s="1"/>
  <c r="H134" i="13"/>
  <c r="G134" i="13"/>
  <c r="F134" i="13"/>
  <c r="E134" i="13"/>
  <c r="D134" i="13"/>
  <c r="V133" i="13"/>
  <c r="V132" i="13"/>
  <c r="U131" i="13"/>
  <c r="U130" i="13" s="1"/>
  <c r="T131" i="13"/>
  <c r="S131" i="13"/>
  <c r="R131" i="13"/>
  <c r="Q131" i="13"/>
  <c r="P131" i="13"/>
  <c r="P130" i="13" s="1"/>
  <c r="O131" i="13"/>
  <c r="O130" i="13" s="1"/>
  <c r="N131" i="13"/>
  <c r="N130" i="13" s="1"/>
  <c r="M131" i="13"/>
  <c r="M130" i="13" s="1"/>
  <c r="L131" i="13"/>
  <c r="K131" i="13"/>
  <c r="J131" i="13"/>
  <c r="I131" i="13"/>
  <c r="H131" i="13"/>
  <c r="H130" i="13" s="1"/>
  <c r="G131" i="13"/>
  <c r="G130" i="13" s="1"/>
  <c r="F131" i="13"/>
  <c r="F130" i="13" s="1"/>
  <c r="E131" i="13"/>
  <c r="E130" i="13" s="1"/>
  <c r="D131" i="13"/>
  <c r="V131" i="13" s="1"/>
  <c r="T130" i="13"/>
  <c r="S130" i="13"/>
  <c r="L130" i="13"/>
  <c r="K130" i="13"/>
  <c r="D130" i="13"/>
  <c r="V129" i="13"/>
  <c r="V128" i="13"/>
  <c r="U127" i="13"/>
  <c r="T127" i="13"/>
  <c r="S127" i="13"/>
  <c r="R127" i="13"/>
  <c r="Q127" i="13"/>
  <c r="P127" i="13"/>
  <c r="O127" i="13"/>
  <c r="N127" i="13"/>
  <c r="M127" i="13"/>
  <c r="L127" i="13"/>
  <c r="K127" i="13"/>
  <c r="J127" i="13"/>
  <c r="I127" i="13"/>
  <c r="H127" i="13"/>
  <c r="G127" i="13"/>
  <c r="F127" i="13"/>
  <c r="E127" i="13"/>
  <c r="D127" i="13"/>
  <c r="V126" i="13"/>
  <c r="V125" i="13"/>
  <c r="U124" i="13"/>
  <c r="T124" i="13"/>
  <c r="S124" i="13"/>
  <c r="R124" i="13"/>
  <c r="Q124" i="13"/>
  <c r="P124" i="13"/>
  <c r="O124" i="13"/>
  <c r="O117" i="13" s="1"/>
  <c r="N124" i="13"/>
  <c r="M124" i="13"/>
  <c r="L124" i="13"/>
  <c r="K124" i="13"/>
  <c r="J124" i="13"/>
  <c r="I124" i="13"/>
  <c r="H124" i="13"/>
  <c r="G124" i="13"/>
  <c r="F124" i="13"/>
  <c r="E124" i="13"/>
  <c r="D124" i="13"/>
  <c r="V123" i="13"/>
  <c r="V122" i="13"/>
  <c r="U121" i="13"/>
  <c r="U117" i="13" s="1"/>
  <c r="T121" i="13"/>
  <c r="S121" i="13"/>
  <c r="R121" i="13"/>
  <c r="Q121" i="13"/>
  <c r="P121" i="13"/>
  <c r="O121" i="13"/>
  <c r="N121" i="13"/>
  <c r="N117" i="13" s="1"/>
  <c r="M121" i="13"/>
  <c r="M117" i="13" s="1"/>
  <c r="L121" i="13"/>
  <c r="K121" i="13"/>
  <c r="J121" i="13"/>
  <c r="I121" i="13"/>
  <c r="H121" i="13"/>
  <c r="G121" i="13"/>
  <c r="F121" i="13"/>
  <c r="F117" i="13" s="1"/>
  <c r="E121" i="13"/>
  <c r="D121" i="13"/>
  <c r="V120" i="13"/>
  <c r="V119" i="13"/>
  <c r="U118" i="13"/>
  <c r="T118" i="13"/>
  <c r="T117" i="13" s="1"/>
  <c r="S118" i="13"/>
  <c r="S117" i="13" s="1"/>
  <c r="R118" i="13"/>
  <c r="R117" i="13" s="1"/>
  <c r="Q118" i="13"/>
  <c r="P118" i="13"/>
  <c r="O118" i="13"/>
  <c r="N118" i="13"/>
  <c r="M118" i="13"/>
  <c r="L118" i="13"/>
  <c r="L117" i="13" s="1"/>
  <c r="K118" i="13"/>
  <c r="K117" i="13" s="1"/>
  <c r="J118" i="13"/>
  <c r="J117" i="13" s="1"/>
  <c r="I118" i="13"/>
  <c r="H118" i="13"/>
  <c r="G118" i="13"/>
  <c r="F118" i="13"/>
  <c r="E118" i="13"/>
  <c r="D118" i="13"/>
  <c r="D117" i="13" s="1"/>
  <c r="P117" i="13"/>
  <c r="H117" i="13"/>
  <c r="G117" i="13"/>
  <c r="V116" i="13"/>
  <c r="V115" i="13"/>
  <c r="U114" i="13"/>
  <c r="U110" i="13" s="1"/>
  <c r="T114" i="13"/>
  <c r="S114" i="13"/>
  <c r="R114" i="13"/>
  <c r="Q114" i="13"/>
  <c r="P114" i="13"/>
  <c r="O114" i="13"/>
  <c r="N114" i="13"/>
  <c r="N110" i="13" s="1"/>
  <c r="M114" i="13"/>
  <c r="M110" i="13" s="1"/>
  <c r="L114" i="13"/>
  <c r="K114" i="13"/>
  <c r="J114" i="13"/>
  <c r="I114" i="13"/>
  <c r="H114" i="13"/>
  <c r="G114" i="13"/>
  <c r="F114" i="13"/>
  <c r="F110" i="13" s="1"/>
  <c r="E114" i="13"/>
  <c r="D114" i="13"/>
  <c r="V113" i="13"/>
  <c r="V112" i="13"/>
  <c r="U111" i="13"/>
  <c r="T111" i="13"/>
  <c r="T110" i="13" s="1"/>
  <c r="S111" i="13"/>
  <c r="S110" i="13" s="1"/>
  <c r="R111" i="13"/>
  <c r="R110" i="13" s="1"/>
  <c r="Q111" i="13"/>
  <c r="Q110" i="13" s="1"/>
  <c r="P111" i="13"/>
  <c r="O111" i="13"/>
  <c r="N111" i="13"/>
  <c r="M111" i="13"/>
  <c r="L111" i="13"/>
  <c r="L110" i="13" s="1"/>
  <c r="K111" i="13"/>
  <c r="K110" i="13" s="1"/>
  <c r="J111" i="13"/>
  <c r="J110" i="13" s="1"/>
  <c r="I111" i="13"/>
  <c r="I110" i="13" s="1"/>
  <c r="H111" i="13"/>
  <c r="G111" i="13"/>
  <c r="F111" i="13"/>
  <c r="E111" i="13"/>
  <c r="D111" i="13"/>
  <c r="D110" i="13" s="1"/>
  <c r="P110" i="13"/>
  <c r="O110" i="13"/>
  <c r="H110" i="13"/>
  <c r="G110" i="13"/>
  <c r="V109" i="13"/>
  <c r="V108" i="13"/>
  <c r="U107" i="13"/>
  <c r="U103" i="13" s="1"/>
  <c r="T107" i="13"/>
  <c r="S107" i="13"/>
  <c r="R107" i="13"/>
  <c r="Q107" i="13"/>
  <c r="P107" i="13"/>
  <c r="O107" i="13"/>
  <c r="N107" i="13"/>
  <c r="N103" i="13" s="1"/>
  <c r="M107" i="13"/>
  <c r="M103" i="13" s="1"/>
  <c r="L107" i="13"/>
  <c r="K107" i="13"/>
  <c r="J107" i="13"/>
  <c r="I107" i="13"/>
  <c r="H107" i="13"/>
  <c r="G107" i="13"/>
  <c r="F107" i="13"/>
  <c r="F103" i="13" s="1"/>
  <c r="E107" i="13"/>
  <c r="D107" i="13"/>
  <c r="V106" i="13"/>
  <c r="V105" i="13"/>
  <c r="U104" i="13"/>
  <c r="T104" i="13"/>
  <c r="T103" i="13" s="1"/>
  <c r="S104" i="13"/>
  <c r="S103" i="13" s="1"/>
  <c r="R104" i="13"/>
  <c r="R103" i="13" s="1"/>
  <c r="Q104" i="13"/>
  <c r="Q103" i="13" s="1"/>
  <c r="P104" i="13"/>
  <c r="O104" i="13"/>
  <c r="N104" i="13"/>
  <c r="M104" i="13"/>
  <c r="L104" i="13"/>
  <c r="L103" i="13" s="1"/>
  <c r="K104" i="13"/>
  <c r="K103" i="13" s="1"/>
  <c r="J104" i="13"/>
  <c r="J103" i="13" s="1"/>
  <c r="I104" i="13"/>
  <c r="I103" i="13" s="1"/>
  <c r="H104" i="13"/>
  <c r="G104" i="13"/>
  <c r="F104" i="13"/>
  <c r="E104" i="13"/>
  <c r="D104" i="13"/>
  <c r="D103" i="13" s="1"/>
  <c r="P103" i="13"/>
  <c r="O103" i="13"/>
  <c r="H103" i="13"/>
  <c r="G103" i="13"/>
  <c r="V102" i="13"/>
  <c r="V101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V100" i="13" s="1"/>
  <c r="D100" i="13"/>
  <c r="V99" i="13"/>
  <c r="V98" i="13"/>
  <c r="U97" i="13"/>
  <c r="T97" i="13"/>
  <c r="S97" i="13"/>
  <c r="R97" i="13"/>
  <c r="Q97" i="13"/>
  <c r="P97" i="13"/>
  <c r="O97" i="13"/>
  <c r="N97" i="13"/>
  <c r="M97" i="13"/>
  <c r="L97" i="13"/>
  <c r="K97" i="13"/>
  <c r="K90" i="13" s="1"/>
  <c r="J97" i="13"/>
  <c r="I97" i="13"/>
  <c r="H97" i="13"/>
  <c r="G97" i="13"/>
  <c r="F97" i="13"/>
  <c r="E97" i="13"/>
  <c r="D97" i="13"/>
  <c r="V96" i="13"/>
  <c r="V95" i="13"/>
  <c r="U94" i="13"/>
  <c r="T94" i="13"/>
  <c r="S94" i="13"/>
  <c r="R94" i="13"/>
  <c r="R90" i="13" s="1"/>
  <c r="Q94" i="13"/>
  <c r="Q90" i="13" s="1"/>
  <c r="P94" i="13"/>
  <c r="O94" i="13"/>
  <c r="N94" i="13"/>
  <c r="M94" i="13"/>
  <c r="L94" i="13"/>
  <c r="K94" i="13"/>
  <c r="J94" i="13"/>
  <c r="J90" i="13" s="1"/>
  <c r="I94" i="13"/>
  <c r="I90" i="13" s="1"/>
  <c r="H94" i="13"/>
  <c r="G94" i="13"/>
  <c r="F94" i="13"/>
  <c r="E94" i="13"/>
  <c r="D94" i="13"/>
  <c r="V93" i="13"/>
  <c r="V92" i="13"/>
  <c r="U91" i="13"/>
  <c r="T91" i="13"/>
  <c r="S91" i="13"/>
  <c r="R91" i="13"/>
  <c r="Q91" i="13"/>
  <c r="P91" i="13"/>
  <c r="P90" i="13" s="1"/>
  <c r="O91" i="13"/>
  <c r="O90" i="13" s="1"/>
  <c r="N91" i="13"/>
  <c r="N90" i="13" s="1"/>
  <c r="M91" i="13"/>
  <c r="L91" i="13"/>
  <c r="K91" i="13"/>
  <c r="J91" i="13"/>
  <c r="I91" i="13"/>
  <c r="H91" i="13"/>
  <c r="H90" i="13" s="1"/>
  <c r="G91" i="13"/>
  <c r="G90" i="13" s="1"/>
  <c r="F91" i="13"/>
  <c r="F90" i="13" s="1"/>
  <c r="E91" i="13"/>
  <c r="D91" i="13"/>
  <c r="T90" i="13"/>
  <c r="S90" i="13"/>
  <c r="L90" i="13"/>
  <c r="D90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G77" i="13" s="1"/>
  <c r="F87" i="13"/>
  <c r="E87" i="13"/>
  <c r="D87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V84" i="13" s="1"/>
  <c r="G84" i="13"/>
  <c r="F84" i="13"/>
  <c r="E84" i="13"/>
  <c r="D84" i="13"/>
  <c r="U81" i="13"/>
  <c r="T81" i="13"/>
  <c r="S81" i="13"/>
  <c r="R81" i="13"/>
  <c r="Q81" i="13"/>
  <c r="P81" i="13"/>
  <c r="O81" i="13"/>
  <c r="O77" i="13" s="1"/>
  <c r="N81" i="13"/>
  <c r="M81" i="13"/>
  <c r="L81" i="13"/>
  <c r="K81" i="13"/>
  <c r="J81" i="13"/>
  <c r="I81" i="13"/>
  <c r="H81" i="13"/>
  <c r="V81" i="13" s="1"/>
  <c r="G81" i="13"/>
  <c r="F81" i="13"/>
  <c r="E81" i="13"/>
  <c r="D81" i="13"/>
  <c r="U78" i="13"/>
  <c r="T78" i="13"/>
  <c r="S78" i="13"/>
  <c r="S77" i="13" s="1"/>
  <c r="R78" i="13"/>
  <c r="R77" i="13" s="1"/>
  <c r="Q78" i="13"/>
  <c r="Q77" i="13" s="1"/>
  <c r="P78" i="13"/>
  <c r="O78" i="13"/>
  <c r="N78" i="13"/>
  <c r="M78" i="13"/>
  <c r="L78" i="13"/>
  <c r="K78" i="13"/>
  <c r="K77" i="13" s="1"/>
  <c r="J78" i="13"/>
  <c r="J77" i="13" s="1"/>
  <c r="I78" i="13"/>
  <c r="I77" i="13" s="1"/>
  <c r="H78" i="13"/>
  <c r="G78" i="13"/>
  <c r="F78" i="13"/>
  <c r="E78" i="13"/>
  <c r="D78" i="13"/>
  <c r="U77" i="13"/>
  <c r="T77" i="13"/>
  <c r="P77" i="13"/>
  <c r="N77" i="13"/>
  <c r="M77" i="13"/>
  <c r="L77" i="13"/>
  <c r="H77" i="13"/>
  <c r="F77" i="13"/>
  <c r="E77" i="13"/>
  <c r="D77" i="13"/>
  <c r="V76" i="13"/>
  <c r="V75" i="13"/>
  <c r="U74" i="13"/>
  <c r="T74" i="13"/>
  <c r="S74" i="13"/>
  <c r="R74" i="13"/>
  <c r="Q74" i="13"/>
  <c r="P74" i="13"/>
  <c r="O74" i="13"/>
  <c r="N74" i="13"/>
  <c r="M74" i="13"/>
  <c r="M67" i="13" s="1"/>
  <c r="L74" i="13"/>
  <c r="K74" i="13"/>
  <c r="J74" i="13"/>
  <c r="I74" i="13"/>
  <c r="H74" i="13"/>
  <c r="G74" i="13"/>
  <c r="F74" i="13"/>
  <c r="E74" i="13"/>
  <c r="V74" i="13" s="1"/>
  <c r="D74" i="13"/>
  <c r="V73" i="13"/>
  <c r="V72" i="13"/>
  <c r="U71" i="13"/>
  <c r="T71" i="13"/>
  <c r="T67" i="13" s="1"/>
  <c r="S71" i="13"/>
  <c r="S67" i="13" s="1"/>
  <c r="R71" i="13"/>
  <c r="Q71" i="13"/>
  <c r="P71" i="13"/>
  <c r="O71" i="13"/>
  <c r="N71" i="13"/>
  <c r="M71" i="13"/>
  <c r="L71" i="13"/>
  <c r="L67" i="13" s="1"/>
  <c r="K71" i="13"/>
  <c r="K67" i="13" s="1"/>
  <c r="J71" i="13"/>
  <c r="I71" i="13"/>
  <c r="H71" i="13"/>
  <c r="G71" i="13"/>
  <c r="F71" i="13"/>
  <c r="E71" i="13"/>
  <c r="D71" i="13"/>
  <c r="D67" i="13" s="1"/>
  <c r="V70" i="13"/>
  <c r="V69" i="13"/>
  <c r="U68" i="13"/>
  <c r="T68" i="13"/>
  <c r="S68" i="13"/>
  <c r="R68" i="13"/>
  <c r="Q68" i="13"/>
  <c r="Q67" i="13" s="1"/>
  <c r="P68" i="13"/>
  <c r="P67" i="13" s="1"/>
  <c r="O68" i="13"/>
  <c r="O67" i="13" s="1"/>
  <c r="N68" i="13"/>
  <c r="N67" i="13" s="1"/>
  <c r="M68" i="13"/>
  <c r="L68" i="13"/>
  <c r="K68" i="13"/>
  <c r="J68" i="13"/>
  <c r="I68" i="13"/>
  <c r="I67" i="13" s="1"/>
  <c r="H68" i="13"/>
  <c r="H67" i="13" s="1"/>
  <c r="G68" i="13"/>
  <c r="G67" i="13" s="1"/>
  <c r="F68" i="13"/>
  <c r="V68" i="13" s="1"/>
  <c r="E68" i="13"/>
  <c r="D68" i="13"/>
  <c r="U67" i="13"/>
  <c r="R67" i="13"/>
  <c r="J67" i="13"/>
  <c r="E67" i="13"/>
  <c r="V66" i="13"/>
  <c r="V65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V64" i="13" s="1"/>
  <c r="V63" i="13"/>
  <c r="V62" i="13"/>
  <c r="U61" i="13"/>
  <c r="T61" i="13"/>
  <c r="S61" i="13"/>
  <c r="R61" i="13"/>
  <c r="Q61" i="13"/>
  <c r="Q54" i="13" s="1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V60" i="13"/>
  <c r="V59" i="13"/>
  <c r="U58" i="13"/>
  <c r="T58" i="13"/>
  <c r="S58" i="13"/>
  <c r="R58" i="13"/>
  <c r="Q58" i="13"/>
  <c r="P58" i="13"/>
  <c r="P54" i="13" s="1"/>
  <c r="O58" i="13"/>
  <c r="O54" i="13" s="1"/>
  <c r="N58" i="13"/>
  <c r="M58" i="13"/>
  <c r="L58" i="13"/>
  <c r="K58" i="13"/>
  <c r="J58" i="13"/>
  <c r="I58" i="13"/>
  <c r="H58" i="13"/>
  <c r="H54" i="13" s="1"/>
  <c r="G58" i="13"/>
  <c r="G54" i="13" s="1"/>
  <c r="F58" i="13"/>
  <c r="E58" i="13"/>
  <c r="D58" i="13"/>
  <c r="V58" i="13" s="1"/>
  <c r="V57" i="13"/>
  <c r="V56" i="13"/>
  <c r="U55" i="13"/>
  <c r="U54" i="13" s="1"/>
  <c r="T55" i="13"/>
  <c r="T54" i="13" s="1"/>
  <c r="S55" i="13"/>
  <c r="R55" i="13"/>
  <c r="R54" i="13" s="1"/>
  <c r="Q55" i="13"/>
  <c r="P55" i="13"/>
  <c r="O55" i="13"/>
  <c r="N55" i="13"/>
  <c r="M55" i="13"/>
  <c r="M54" i="13" s="1"/>
  <c r="L55" i="13"/>
  <c r="L54" i="13" s="1"/>
  <c r="K55" i="13"/>
  <c r="J55" i="13"/>
  <c r="J54" i="13" s="1"/>
  <c r="I55" i="13"/>
  <c r="H55" i="13"/>
  <c r="G55" i="13"/>
  <c r="F55" i="13"/>
  <c r="E55" i="13"/>
  <c r="D55" i="13"/>
  <c r="D54" i="13" s="1"/>
  <c r="N54" i="13"/>
  <c r="I54" i="13"/>
  <c r="F54" i="13"/>
  <c r="V53" i="13"/>
  <c r="V52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V50" i="13"/>
  <c r="V49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V48" i="13" s="1"/>
  <c r="D48" i="13"/>
  <c r="V47" i="13"/>
  <c r="V46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V44" i="13"/>
  <c r="V43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V42" i="13" s="1"/>
  <c r="E42" i="13"/>
  <c r="D42" i="13"/>
  <c r="V41" i="13"/>
  <c r="V40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V38" i="13"/>
  <c r="V37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V35" i="13"/>
  <c r="V34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V32" i="13"/>
  <c r="V31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V30" i="13" s="1"/>
  <c r="E30" i="13"/>
  <c r="D30" i="13"/>
  <c r="V29" i="13"/>
  <c r="V28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V26" i="13"/>
  <c r="V25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V23" i="13"/>
  <c r="V22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V20" i="13"/>
  <c r="V19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V18" i="13" s="1"/>
  <c r="E18" i="13"/>
  <c r="D18" i="13"/>
  <c r="V17" i="13"/>
  <c r="V16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V14" i="13"/>
  <c r="V13" i="13"/>
  <c r="U12" i="13"/>
  <c r="T12" i="13"/>
  <c r="S12" i="13"/>
  <c r="R12" i="13"/>
  <c r="R5" i="13" s="1"/>
  <c r="Q12" i="13"/>
  <c r="P12" i="13"/>
  <c r="O12" i="13"/>
  <c r="N12" i="13"/>
  <c r="M12" i="13"/>
  <c r="M5" i="13" s="1"/>
  <c r="L12" i="13"/>
  <c r="K12" i="13"/>
  <c r="J12" i="13"/>
  <c r="J5" i="13" s="1"/>
  <c r="I12" i="13"/>
  <c r="H12" i="13"/>
  <c r="G12" i="13"/>
  <c r="F12" i="13"/>
  <c r="E12" i="13"/>
  <c r="V12" i="13" s="1"/>
  <c r="D12" i="13"/>
  <c r="V11" i="13"/>
  <c r="V10" i="13"/>
  <c r="U9" i="13"/>
  <c r="T9" i="13"/>
  <c r="S9" i="13"/>
  <c r="S5" i="13" s="1"/>
  <c r="R9" i="13"/>
  <c r="Q9" i="13"/>
  <c r="P9" i="13"/>
  <c r="O9" i="13"/>
  <c r="N9" i="13"/>
  <c r="M9" i="13"/>
  <c r="L9" i="13"/>
  <c r="L5" i="13" s="1"/>
  <c r="K9" i="13"/>
  <c r="J9" i="13"/>
  <c r="I9" i="13"/>
  <c r="H9" i="13"/>
  <c r="G9" i="13"/>
  <c r="F9" i="13"/>
  <c r="E9" i="13"/>
  <c r="D9" i="13"/>
  <c r="D5" i="13" s="1"/>
  <c r="V8" i="13"/>
  <c r="V7" i="13"/>
  <c r="U6" i="13"/>
  <c r="T6" i="13"/>
  <c r="S6" i="13"/>
  <c r="R6" i="13"/>
  <c r="Q6" i="13"/>
  <c r="P6" i="13"/>
  <c r="P5" i="13" s="1"/>
  <c r="O6" i="13"/>
  <c r="O5" i="13" s="1"/>
  <c r="N6" i="13"/>
  <c r="M6" i="13"/>
  <c r="L6" i="13"/>
  <c r="K6" i="13"/>
  <c r="J6" i="13"/>
  <c r="I6" i="13"/>
  <c r="H6" i="13"/>
  <c r="H5" i="13" s="1"/>
  <c r="G6" i="13"/>
  <c r="G5" i="13" s="1"/>
  <c r="F6" i="13"/>
  <c r="E6" i="13"/>
  <c r="D6" i="13"/>
  <c r="U5" i="13"/>
  <c r="K5" i="13"/>
  <c r="D179" i="1"/>
  <c r="D191" i="1" s="1"/>
  <c r="D167" i="1"/>
  <c r="G97" i="12"/>
  <c r="H97" i="12"/>
  <c r="I97" i="12"/>
  <c r="J97" i="12"/>
  <c r="K97" i="12"/>
  <c r="L97" i="12"/>
  <c r="M97" i="12"/>
  <c r="N97" i="12"/>
  <c r="O97" i="12"/>
  <c r="F97" i="12"/>
  <c r="C58" i="12"/>
  <c r="F18" i="16" l="1"/>
  <c r="F29" i="16" s="1"/>
  <c r="G21" i="16"/>
  <c r="G32" i="16" s="1"/>
  <c r="E23" i="16"/>
  <c r="E34" i="16" s="1"/>
  <c r="D17" i="16"/>
  <c r="D28" i="16" s="1"/>
  <c r="H21" i="16"/>
  <c r="H32" i="16" s="1"/>
  <c r="E16" i="16"/>
  <c r="E27" i="16" s="1"/>
  <c r="H17" i="16"/>
  <c r="H28" i="16" s="1"/>
  <c r="F19" i="16"/>
  <c r="F30" i="16" s="1"/>
  <c r="D21" i="16"/>
  <c r="D32" i="16" s="1"/>
  <c r="G22" i="16"/>
  <c r="G33" i="16" s="1"/>
  <c r="E24" i="16"/>
  <c r="E35" i="16" s="1"/>
  <c r="H25" i="16"/>
  <c r="H36" i="16" s="1"/>
  <c r="F16" i="16"/>
  <c r="F27" i="16" s="1"/>
  <c r="D18" i="16"/>
  <c r="D29" i="16" s="1"/>
  <c r="G19" i="16"/>
  <c r="G30" i="16" s="1"/>
  <c r="E21" i="16"/>
  <c r="E32" i="16" s="1"/>
  <c r="F24" i="16"/>
  <c r="F35" i="16" s="1"/>
  <c r="G16" i="16"/>
  <c r="G27" i="16" s="1"/>
  <c r="E18" i="16"/>
  <c r="E29" i="16" s="1"/>
  <c r="F21" i="16"/>
  <c r="F32" i="16" s="1"/>
  <c r="H16" i="16"/>
  <c r="H27" i="16" s="1"/>
  <c r="D20" i="16"/>
  <c r="D31" i="16" s="1"/>
  <c r="H24" i="16"/>
  <c r="H35" i="16" s="1"/>
  <c r="AC26" i="15"/>
  <c r="X23" i="15"/>
  <c r="AC25" i="14"/>
  <c r="AC26" i="14"/>
  <c r="X23" i="14"/>
  <c r="I5" i="13"/>
  <c r="V91" i="13"/>
  <c r="E110" i="13"/>
  <c r="V114" i="13"/>
  <c r="V124" i="13"/>
  <c r="G150" i="13"/>
  <c r="Q5" i="13"/>
  <c r="T5" i="13"/>
  <c r="V15" i="13"/>
  <c r="V24" i="13"/>
  <c r="V45" i="13"/>
  <c r="V51" i="13"/>
  <c r="K54" i="13"/>
  <c r="S54" i="13"/>
  <c r="E90" i="13"/>
  <c r="M90" i="13"/>
  <c r="M150" i="13" s="1"/>
  <c r="U90" i="13"/>
  <c r="U150" i="13" s="1"/>
  <c r="V97" i="13"/>
  <c r="V130" i="13"/>
  <c r="V144" i="13"/>
  <c r="W173" i="13"/>
  <c r="X173" i="13" s="1"/>
  <c r="O150" i="13"/>
  <c r="I150" i="13"/>
  <c r="V90" i="13"/>
  <c r="E103" i="13"/>
  <c r="V107" i="13"/>
  <c r="V110" i="13"/>
  <c r="J150" i="13"/>
  <c r="R150" i="13"/>
  <c r="V147" i="13"/>
  <c r="H143" i="13"/>
  <c r="H150" i="13" s="1"/>
  <c r="P150" i="13"/>
  <c r="W168" i="13"/>
  <c r="X168" i="13" s="1"/>
  <c r="W172" i="13"/>
  <c r="X172" i="13" s="1"/>
  <c r="W176" i="13"/>
  <c r="X176" i="13" s="1"/>
  <c r="E54" i="13"/>
  <c r="V54" i="13" s="1"/>
  <c r="V55" i="13"/>
  <c r="V27" i="13"/>
  <c r="K150" i="13"/>
  <c r="S150" i="13"/>
  <c r="E5" i="13"/>
  <c r="V5" i="13" s="1"/>
  <c r="V21" i="13"/>
  <c r="V36" i="13"/>
  <c r="V77" i="13"/>
  <c r="V87" i="13"/>
  <c r="F5" i="13"/>
  <c r="N5" i="13"/>
  <c r="N150" i="13" s="1"/>
  <c r="V6" i="13"/>
  <c r="V61" i="13"/>
  <c r="V78" i="13"/>
  <c r="I117" i="13"/>
  <c r="Q117" i="13"/>
  <c r="Q150" i="13" s="1"/>
  <c r="E117" i="13"/>
  <c r="E150" i="13" s="1"/>
  <c r="V121" i="13"/>
  <c r="V134" i="13"/>
  <c r="D150" i="13"/>
  <c r="V143" i="13"/>
  <c r="L150" i="13"/>
  <c r="T150" i="13"/>
  <c r="W167" i="13"/>
  <c r="W171" i="13"/>
  <c r="X171" i="13" s="1"/>
  <c r="W175" i="13"/>
  <c r="X175" i="13" s="1"/>
  <c r="V103" i="13"/>
  <c r="V33" i="13"/>
  <c r="V39" i="13"/>
  <c r="V94" i="13"/>
  <c r="V127" i="13"/>
  <c r="W170" i="13"/>
  <c r="X170" i="13" s="1"/>
  <c r="W174" i="13"/>
  <c r="X174" i="13" s="1"/>
  <c r="F67" i="13"/>
  <c r="V67" i="13" s="1"/>
  <c r="V9" i="13"/>
  <c r="V71" i="13"/>
  <c r="V104" i="13"/>
  <c r="V111" i="13"/>
  <c r="V118" i="13"/>
  <c r="C43" i="4"/>
  <c r="D43" i="4"/>
  <c r="E43" i="4"/>
  <c r="F43" i="4"/>
  <c r="G43" i="4"/>
  <c r="C45" i="4"/>
  <c r="D45" i="4"/>
  <c r="E45" i="4"/>
  <c r="F45" i="4"/>
  <c r="G45" i="4"/>
  <c r="C43" i="12"/>
  <c r="C45" i="12"/>
  <c r="E45" i="12"/>
  <c r="D45" i="12"/>
  <c r="D40" i="16" l="1"/>
  <c r="G40" i="16"/>
  <c r="G39" i="16"/>
  <c r="H40" i="16"/>
  <c r="H39" i="16"/>
  <c r="E39" i="16"/>
  <c r="E40" i="16"/>
  <c r="F40" i="16"/>
  <c r="F39" i="16"/>
  <c r="D39" i="16"/>
  <c r="U24" i="15"/>
  <c r="U26" i="15"/>
  <c r="AB21" i="15"/>
  <c r="AD20" i="15"/>
  <c r="AA11" i="15"/>
  <c r="AA21" i="15"/>
  <c r="AC20" i="15"/>
  <c r="AB20" i="15"/>
  <c r="AA20" i="15"/>
  <c r="AE21" i="15"/>
  <c r="AD21" i="15"/>
  <c r="AC21" i="15"/>
  <c r="AE20" i="15"/>
  <c r="AE21" i="14"/>
  <c r="AA20" i="14"/>
  <c r="AC20" i="14"/>
  <c r="AE20" i="14"/>
  <c r="AB21" i="14"/>
  <c r="AD20" i="14"/>
  <c r="AA11" i="14"/>
  <c r="AA21" i="14"/>
  <c r="AD21" i="14"/>
  <c r="AC21" i="14"/>
  <c r="AB20" i="14"/>
  <c r="C48" i="4"/>
  <c r="D48" i="4"/>
  <c r="E48" i="4"/>
  <c r="F49" i="4"/>
  <c r="F48" i="4"/>
  <c r="U26" i="14"/>
  <c r="U24" i="14"/>
  <c r="V117" i="13"/>
  <c r="F150" i="13"/>
  <c r="W177" i="13"/>
  <c r="X167" i="13"/>
  <c r="X177" i="13" s="1"/>
  <c r="W45" i="13"/>
  <c r="V150" i="13"/>
  <c r="W6" i="13"/>
  <c r="D49" i="12"/>
  <c r="E49" i="12"/>
  <c r="F49" i="12"/>
  <c r="G49" i="12"/>
  <c r="H49" i="12"/>
  <c r="I49" i="12"/>
  <c r="J49" i="12"/>
  <c r="K49" i="12"/>
  <c r="L49" i="12"/>
  <c r="C49" i="12"/>
  <c r="D48" i="12"/>
  <c r="E48" i="12"/>
  <c r="F48" i="12"/>
  <c r="G48" i="12"/>
  <c r="H48" i="12"/>
  <c r="I48" i="12"/>
  <c r="J48" i="12"/>
  <c r="K48" i="12"/>
  <c r="L48" i="12"/>
  <c r="C48" i="12"/>
  <c r="F45" i="12"/>
  <c r="C71" i="12"/>
  <c r="V27" i="16" l="1"/>
  <c r="V29" i="16"/>
  <c r="V28" i="16"/>
  <c r="V35" i="16"/>
  <c r="V30" i="16"/>
  <c r="V31" i="16"/>
  <c r="W36" i="16"/>
  <c r="W34" i="16"/>
  <c r="W27" i="16"/>
  <c r="X27" i="16" s="1"/>
  <c r="W33" i="16"/>
  <c r="W35" i="16"/>
  <c r="W30" i="16"/>
  <c r="W28" i="16"/>
  <c r="V33" i="16"/>
  <c r="W29" i="16"/>
  <c r="X29" i="16" s="1"/>
  <c r="V34" i="16"/>
  <c r="W31" i="16"/>
  <c r="V32" i="16"/>
  <c r="V36" i="16"/>
  <c r="W32" i="16"/>
  <c r="E27" i="15"/>
  <c r="D26" i="15"/>
  <c r="B25" i="15"/>
  <c r="B24" i="15"/>
  <c r="F22" i="15"/>
  <c r="B20" i="15"/>
  <c r="D27" i="15"/>
  <c r="C26" i="15"/>
  <c r="E22" i="15"/>
  <c r="F19" i="15"/>
  <c r="F28" i="15"/>
  <c r="C27" i="15"/>
  <c r="B26" i="15"/>
  <c r="D22" i="15"/>
  <c r="F21" i="15"/>
  <c r="E19" i="15"/>
  <c r="E28" i="15"/>
  <c r="B27" i="15"/>
  <c r="F23" i="15"/>
  <c r="C22" i="15"/>
  <c r="E21" i="15"/>
  <c r="D19" i="15"/>
  <c r="D28" i="15"/>
  <c r="F25" i="15"/>
  <c r="F24" i="15"/>
  <c r="E23" i="15"/>
  <c r="B22" i="15"/>
  <c r="D21" i="15"/>
  <c r="F20" i="15"/>
  <c r="C19" i="15"/>
  <c r="C28" i="15"/>
  <c r="E25" i="15"/>
  <c r="E24" i="15"/>
  <c r="D23" i="15"/>
  <c r="C21" i="15"/>
  <c r="E20" i="15"/>
  <c r="B19" i="15"/>
  <c r="B28" i="15"/>
  <c r="F26" i="15"/>
  <c r="F54" i="15" s="1"/>
  <c r="F55" i="15" s="1"/>
  <c r="D25" i="15"/>
  <c r="D24" i="15"/>
  <c r="D48" i="15" s="1"/>
  <c r="D49" i="15" s="1"/>
  <c r="C23" i="15"/>
  <c r="B21" i="15"/>
  <c r="B39" i="15" s="1"/>
  <c r="B40" i="15" s="1"/>
  <c r="D20" i="15"/>
  <c r="F27" i="15"/>
  <c r="E26" i="15"/>
  <c r="E54" i="15" s="1"/>
  <c r="E55" i="15" s="1"/>
  <c r="C25" i="15"/>
  <c r="C51" i="15" s="1"/>
  <c r="C52" i="15" s="1"/>
  <c r="C24" i="15"/>
  <c r="B23" i="15"/>
  <c r="B45" i="15" s="1"/>
  <c r="B46" i="15" s="1"/>
  <c r="C20" i="15"/>
  <c r="B19" i="14"/>
  <c r="C28" i="14"/>
  <c r="E25" i="14"/>
  <c r="E24" i="14"/>
  <c r="D23" i="14"/>
  <c r="C21" i="14"/>
  <c r="E20" i="14"/>
  <c r="B22" i="14"/>
  <c r="B28" i="14"/>
  <c r="F26" i="14"/>
  <c r="D25" i="14"/>
  <c r="D24" i="14"/>
  <c r="C23" i="14"/>
  <c r="B21" i="14"/>
  <c r="D20" i="14"/>
  <c r="F27" i="14"/>
  <c r="E26" i="14"/>
  <c r="C25" i="14"/>
  <c r="C24" i="14"/>
  <c r="B23" i="14"/>
  <c r="C20" i="14"/>
  <c r="D28" i="14"/>
  <c r="E27" i="14"/>
  <c r="D26" i="14"/>
  <c r="B25" i="14"/>
  <c r="B24" i="14"/>
  <c r="F22" i="14"/>
  <c r="B20" i="14"/>
  <c r="D21" i="14"/>
  <c r="D27" i="14"/>
  <c r="C26" i="14"/>
  <c r="C54" i="14" s="1"/>
  <c r="C55" i="14" s="1"/>
  <c r="E22" i="14"/>
  <c r="F19" i="14"/>
  <c r="F24" i="14"/>
  <c r="C19" i="14"/>
  <c r="F28" i="14"/>
  <c r="C27" i="14"/>
  <c r="B26" i="14"/>
  <c r="D22" i="14"/>
  <c r="D42" i="14" s="1"/>
  <c r="D43" i="14" s="1"/>
  <c r="F21" i="14"/>
  <c r="E19" i="14"/>
  <c r="E28" i="14"/>
  <c r="B27" i="14"/>
  <c r="F23" i="14"/>
  <c r="C22" i="14"/>
  <c r="E21" i="14"/>
  <c r="D19" i="14"/>
  <c r="D33" i="14" s="1"/>
  <c r="D34" i="14" s="1"/>
  <c r="F25" i="14"/>
  <c r="F51" i="14" s="1"/>
  <c r="F52" i="14" s="1"/>
  <c r="E23" i="14"/>
  <c r="F20" i="14"/>
  <c r="W30" i="13"/>
  <c r="W42" i="13"/>
  <c r="W81" i="13"/>
  <c r="W58" i="13"/>
  <c r="W68" i="13"/>
  <c r="W140" i="13"/>
  <c r="W137" i="13"/>
  <c r="W131" i="13"/>
  <c r="W12" i="13"/>
  <c r="W84" i="13"/>
  <c r="W18" i="13"/>
  <c r="W74" i="13"/>
  <c r="W100" i="13"/>
  <c r="W64" i="13"/>
  <c r="W48" i="13"/>
  <c r="W55" i="13"/>
  <c r="W118" i="13"/>
  <c r="W36" i="13"/>
  <c r="W9" i="13"/>
  <c r="W39" i="13"/>
  <c r="W71" i="13"/>
  <c r="W97" i="13"/>
  <c r="W103" i="13"/>
  <c r="Z176" i="13"/>
  <c r="Z175" i="13"/>
  <c r="Z174" i="13"/>
  <c r="Z173" i="13"/>
  <c r="Z172" i="13"/>
  <c r="Z171" i="13"/>
  <c r="Z170" i="13"/>
  <c r="Z169" i="13"/>
  <c r="Z168" i="13"/>
  <c r="Z167" i="13"/>
  <c r="W21" i="13"/>
  <c r="W107" i="13"/>
  <c r="W24" i="13"/>
  <c r="W114" i="13"/>
  <c r="W27" i="13"/>
  <c r="W104" i="13"/>
  <c r="W61" i="13"/>
  <c r="W78" i="13"/>
  <c r="W87" i="13"/>
  <c r="W121" i="13"/>
  <c r="W111" i="13"/>
  <c r="W77" i="13"/>
  <c r="W143" i="13"/>
  <c r="W127" i="13"/>
  <c r="W33" i="13"/>
  <c r="W117" i="13"/>
  <c r="W5" i="13"/>
  <c r="W124" i="13"/>
  <c r="W91" i="13"/>
  <c r="W110" i="13"/>
  <c r="W67" i="13"/>
  <c r="W51" i="13"/>
  <c r="W15" i="13"/>
  <c r="W94" i="13"/>
  <c r="W130" i="13"/>
  <c r="W90" i="13"/>
  <c r="W134" i="13"/>
  <c r="W54" i="13"/>
  <c r="F71" i="12"/>
  <c r="X28" i="16" l="1"/>
  <c r="X35" i="16"/>
  <c r="X31" i="16"/>
  <c r="X32" i="16"/>
  <c r="X30" i="16"/>
  <c r="X33" i="16"/>
  <c r="X34" i="16"/>
  <c r="X36" i="16"/>
  <c r="C48" i="15"/>
  <c r="C49" i="15" s="1"/>
  <c r="D51" i="15"/>
  <c r="D52" i="15" s="1"/>
  <c r="E51" i="15"/>
  <c r="E52" i="15" s="1"/>
  <c r="F51" i="15"/>
  <c r="F52" i="15" s="1"/>
  <c r="E33" i="15"/>
  <c r="E34" i="15" s="1"/>
  <c r="C54" i="15"/>
  <c r="C55" i="15" s="1"/>
  <c r="C60" i="15"/>
  <c r="C61" i="15" s="1"/>
  <c r="D60" i="15"/>
  <c r="D61" i="15" s="1"/>
  <c r="F39" i="15"/>
  <c r="F40" i="15" s="1"/>
  <c r="D57" i="15"/>
  <c r="D58" i="15" s="1"/>
  <c r="B60" i="15"/>
  <c r="B61" i="15" s="1"/>
  <c r="C33" i="15"/>
  <c r="C34" i="15" s="1"/>
  <c r="D33" i="15"/>
  <c r="D34" i="15" s="1"/>
  <c r="D42" i="15"/>
  <c r="D43" i="15" s="1"/>
  <c r="B36" i="15"/>
  <c r="B37" i="15" s="1"/>
  <c r="B33" i="15"/>
  <c r="B34" i="15" s="1"/>
  <c r="V33" i="15" s="1"/>
  <c r="E39" i="15"/>
  <c r="E40" i="15" s="1"/>
  <c r="B54" i="15"/>
  <c r="B55" i="15" s="1"/>
  <c r="F42" i="15"/>
  <c r="F43" i="15" s="1"/>
  <c r="F57" i="15"/>
  <c r="F58" i="15" s="1"/>
  <c r="F36" i="15"/>
  <c r="F37" i="15" s="1"/>
  <c r="D36" i="15"/>
  <c r="D37" i="15" s="1"/>
  <c r="E36" i="15"/>
  <c r="E37" i="15" s="1"/>
  <c r="D39" i="15"/>
  <c r="D40" i="15" s="1"/>
  <c r="V35" i="15" s="1"/>
  <c r="C42" i="15"/>
  <c r="C43" i="15" s="1"/>
  <c r="C57" i="15"/>
  <c r="C58" i="15" s="1"/>
  <c r="B48" i="15"/>
  <c r="B49" i="15" s="1"/>
  <c r="C39" i="15"/>
  <c r="C40" i="15" s="1"/>
  <c r="B42" i="15"/>
  <c r="B43" i="15" s="1"/>
  <c r="F45" i="15"/>
  <c r="F46" i="15" s="1"/>
  <c r="F60" i="15"/>
  <c r="F61" i="15" s="1"/>
  <c r="B51" i="15"/>
  <c r="B52" i="15" s="1"/>
  <c r="V39" i="15" s="1"/>
  <c r="C36" i="15"/>
  <c r="C37" i="15" s="1"/>
  <c r="C45" i="15"/>
  <c r="C46" i="15" s="1"/>
  <c r="D45" i="15"/>
  <c r="D46" i="15" s="1"/>
  <c r="E45" i="15"/>
  <c r="E46" i="15" s="1"/>
  <c r="B57" i="15"/>
  <c r="B58" i="15" s="1"/>
  <c r="F33" i="15"/>
  <c r="F34" i="15" s="1"/>
  <c r="D54" i="15"/>
  <c r="D55" i="15" s="1"/>
  <c r="E48" i="15"/>
  <c r="E49" i="15" s="1"/>
  <c r="F48" i="15"/>
  <c r="F49" i="15" s="1"/>
  <c r="E60" i="15"/>
  <c r="E61" i="15" s="1"/>
  <c r="E42" i="15"/>
  <c r="E43" i="15" s="1"/>
  <c r="E57" i="15"/>
  <c r="E58" i="15" s="1"/>
  <c r="E57" i="14"/>
  <c r="E58" i="14" s="1"/>
  <c r="B33" i="14"/>
  <c r="B34" i="14" s="1"/>
  <c r="F39" i="14"/>
  <c r="F40" i="14" s="1"/>
  <c r="E42" i="14"/>
  <c r="E43" i="14" s="1"/>
  <c r="D54" i="14"/>
  <c r="D55" i="14" s="1"/>
  <c r="F57" i="14"/>
  <c r="F58" i="14" s="1"/>
  <c r="B42" i="14"/>
  <c r="B43" i="14" s="1"/>
  <c r="C57" i="14"/>
  <c r="C58" i="14" s="1"/>
  <c r="C36" i="14"/>
  <c r="C37" i="14" s="1"/>
  <c r="C45" i="14"/>
  <c r="C46" i="14" s="1"/>
  <c r="C39" i="14"/>
  <c r="C40" i="14" s="1"/>
  <c r="B54" i="14"/>
  <c r="B55" i="14" s="1"/>
  <c r="E36" i="14"/>
  <c r="E37" i="14" s="1"/>
  <c r="F45" i="14"/>
  <c r="F46" i="14" s="1"/>
  <c r="F60" i="14"/>
  <c r="F61" i="14" s="1"/>
  <c r="B36" i="14"/>
  <c r="B37" i="14" s="1"/>
  <c r="B45" i="14"/>
  <c r="B46" i="14" s="1"/>
  <c r="D48" i="14"/>
  <c r="D49" i="14" s="1"/>
  <c r="D45" i="14"/>
  <c r="D46" i="14" s="1"/>
  <c r="D36" i="14"/>
  <c r="D37" i="14" s="1"/>
  <c r="D60" i="14"/>
  <c r="D61" i="14" s="1"/>
  <c r="C42" i="14"/>
  <c r="C43" i="14" s="1"/>
  <c r="D39" i="14"/>
  <c r="D40" i="14" s="1"/>
  <c r="B57" i="14"/>
  <c r="B58" i="14" s="1"/>
  <c r="C33" i="14"/>
  <c r="C34" i="14" s="1"/>
  <c r="F42" i="14"/>
  <c r="F43" i="14" s="1"/>
  <c r="C48" i="14"/>
  <c r="C49" i="14" s="1"/>
  <c r="D51" i="14"/>
  <c r="D52" i="14" s="1"/>
  <c r="E48" i="14"/>
  <c r="E49" i="14" s="1"/>
  <c r="D57" i="14"/>
  <c r="D58" i="14" s="1"/>
  <c r="F36" i="14"/>
  <c r="F37" i="14" s="1"/>
  <c r="E60" i="14"/>
  <c r="E61" i="14" s="1"/>
  <c r="F48" i="14"/>
  <c r="F49" i="14" s="1"/>
  <c r="B48" i="14"/>
  <c r="B49" i="14" s="1"/>
  <c r="C51" i="14"/>
  <c r="C52" i="14" s="1"/>
  <c r="F54" i="14"/>
  <c r="F55" i="14" s="1"/>
  <c r="E51" i="14"/>
  <c r="E52" i="14" s="1"/>
  <c r="E39" i="14"/>
  <c r="E40" i="14" s="1"/>
  <c r="B39" i="14"/>
  <c r="B40" i="14" s="1"/>
  <c r="E45" i="14"/>
  <c r="E46" i="14" s="1"/>
  <c r="E33" i="14"/>
  <c r="E34" i="14" s="1"/>
  <c r="F33" i="14"/>
  <c r="F34" i="14" s="1"/>
  <c r="B51" i="14"/>
  <c r="B52" i="14" s="1"/>
  <c r="E54" i="14"/>
  <c r="E55" i="14" s="1"/>
  <c r="B60" i="14"/>
  <c r="B61" i="14" s="1"/>
  <c r="C60" i="14"/>
  <c r="C61" i="14" s="1"/>
  <c r="G180" i="13"/>
  <c r="H180" i="13"/>
  <c r="E180" i="13"/>
  <c r="D180" i="13"/>
  <c r="F180" i="13"/>
  <c r="G188" i="13"/>
  <c r="E188" i="13"/>
  <c r="F188" i="13"/>
  <c r="D188" i="13"/>
  <c r="H188" i="13"/>
  <c r="E182" i="13"/>
  <c r="F182" i="13"/>
  <c r="G182" i="13"/>
  <c r="D182" i="13"/>
  <c r="H182" i="13"/>
  <c r="G183" i="13"/>
  <c r="F183" i="13"/>
  <c r="H183" i="13"/>
  <c r="E183" i="13"/>
  <c r="D183" i="13"/>
  <c r="D181" i="13"/>
  <c r="E181" i="13"/>
  <c r="F181" i="13"/>
  <c r="G181" i="13"/>
  <c r="H181" i="13"/>
  <c r="X150" i="13"/>
  <c r="D184" i="13"/>
  <c r="G184" i="13"/>
  <c r="F184" i="13"/>
  <c r="E184" i="13"/>
  <c r="H184" i="13"/>
  <c r="H185" i="13"/>
  <c r="D185" i="13"/>
  <c r="G185" i="13"/>
  <c r="F185" i="13"/>
  <c r="E185" i="13"/>
  <c r="E186" i="13"/>
  <c r="G186" i="13"/>
  <c r="H186" i="13"/>
  <c r="F186" i="13"/>
  <c r="D186" i="13"/>
  <c r="Z177" i="13"/>
  <c r="E179" i="13"/>
  <c r="G179" i="13"/>
  <c r="D179" i="13"/>
  <c r="F179" i="13"/>
  <c r="H179" i="13"/>
  <c r="G187" i="13"/>
  <c r="D187" i="13"/>
  <c r="E187" i="13"/>
  <c r="H187" i="13"/>
  <c r="F187" i="13"/>
  <c r="D71" i="12"/>
  <c r="E71" i="12"/>
  <c r="G71" i="12"/>
  <c r="H71" i="12"/>
  <c r="I71" i="12"/>
  <c r="J71" i="12"/>
  <c r="K71" i="12"/>
  <c r="L71" i="12"/>
  <c r="Z27" i="16" l="1"/>
  <c r="Y31" i="16"/>
  <c r="Y27" i="16"/>
  <c r="Y35" i="16"/>
  <c r="Y28" i="16"/>
  <c r="Y29" i="16"/>
  <c r="Z28" i="16"/>
  <c r="Z29" i="16"/>
  <c r="Z36" i="16"/>
  <c r="Y36" i="16"/>
  <c r="Z33" i="16"/>
  <c r="Y33" i="16"/>
  <c r="Z35" i="16"/>
  <c r="Z31" i="16"/>
  <c r="Z34" i="16"/>
  <c r="Y34" i="16"/>
  <c r="Z30" i="16"/>
  <c r="Y30" i="16"/>
  <c r="Z32" i="16"/>
  <c r="Y32" i="16"/>
  <c r="V37" i="15"/>
  <c r="V34" i="15"/>
  <c r="V41" i="15"/>
  <c r="V36" i="15"/>
  <c r="V38" i="15"/>
  <c r="V42" i="15"/>
  <c r="V40" i="15"/>
  <c r="V33" i="14"/>
  <c r="V41" i="14"/>
  <c r="V34" i="14"/>
  <c r="V35" i="14"/>
  <c r="V37" i="14"/>
  <c r="V36" i="14"/>
  <c r="V42" i="14"/>
  <c r="V40" i="14"/>
  <c r="V39" i="14"/>
  <c r="V38" i="14"/>
  <c r="E212" i="13"/>
  <c r="E199" i="13"/>
  <c r="G212" i="13"/>
  <c r="G199" i="13"/>
  <c r="F211" i="13"/>
  <c r="F198" i="13"/>
  <c r="H210" i="13"/>
  <c r="H197" i="13"/>
  <c r="G206" i="13"/>
  <c r="G193" i="13"/>
  <c r="G195" i="13"/>
  <c r="G208" i="13"/>
  <c r="F200" i="13"/>
  <c r="F213" i="13"/>
  <c r="H211" i="13"/>
  <c r="H198" i="13"/>
  <c r="E200" i="13"/>
  <c r="E213" i="13"/>
  <c r="H204" i="13"/>
  <c r="H191" i="13"/>
  <c r="H207" i="13"/>
  <c r="H194" i="13"/>
  <c r="E206" i="13"/>
  <c r="E193" i="13"/>
  <c r="D194" i="13"/>
  <c r="X182" i="13"/>
  <c r="W182" i="13"/>
  <c r="D207" i="13"/>
  <c r="G213" i="13"/>
  <c r="G200" i="13"/>
  <c r="F206" i="13"/>
  <c r="F193" i="13"/>
  <c r="G211" i="13"/>
  <c r="G198" i="13"/>
  <c r="W179" i="13"/>
  <c r="D204" i="13"/>
  <c r="D191" i="13"/>
  <c r="X179" i="13"/>
  <c r="F209" i="13"/>
  <c r="F196" i="13"/>
  <c r="G207" i="13"/>
  <c r="G194" i="13"/>
  <c r="F192" i="13"/>
  <c r="F205" i="13"/>
  <c r="H209" i="13"/>
  <c r="H196" i="13"/>
  <c r="F204" i="13"/>
  <c r="F191" i="13"/>
  <c r="E209" i="13"/>
  <c r="E196" i="13"/>
  <c r="E211" i="13"/>
  <c r="E198" i="13"/>
  <c r="X181" i="13"/>
  <c r="W181" i="13"/>
  <c r="D206" i="13"/>
  <c r="D193" i="13"/>
  <c r="F212" i="13"/>
  <c r="F199" i="13"/>
  <c r="G204" i="13"/>
  <c r="G191" i="13"/>
  <c r="E197" i="13"/>
  <c r="E210" i="13"/>
  <c r="G209" i="13"/>
  <c r="G196" i="13"/>
  <c r="D195" i="13"/>
  <c r="X183" i="13"/>
  <c r="D208" i="13"/>
  <c r="W183" i="13"/>
  <c r="F207" i="13"/>
  <c r="F194" i="13"/>
  <c r="X180" i="13"/>
  <c r="W180" i="13"/>
  <c r="D192" i="13"/>
  <c r="D205" i="13"/>
  <c r="H212" i="13"/>
  <c r="H199" i="13"/>
  <c r="E204" i="13"/>
  <c r="E191" i="13"/>
  <c r="F210" i="13"/>
  <c r="F197" i="13"/>
  <c r="D209" i="13"/>
  <c r="X184" i="13"/>
  <c r="W184" i="13"/>
  <c r="D196" i="13"/>
  <c r="E195" i="13"/>
  <c r="E208" i="13"/>
  <c r="E207" i="13"/>
  <c r="E194" i="13"/>
  <c r="E192" i="13"/>
  <c r="E205" i="13"/>
  <c r="H208" i="13"/>
  <c r="H195" i="13"/>
  <c r="H213" i="13"/>
  <c r="H200" i="13"/>
  <c r="H205" i="13"/>
  <c r="H192" i="13"/>
  <c r="G210" i="13"/>
  <c r="G197" i="13"/>
  <c r="W187" i="13"/>
  <c r="D212" i="13"/>
  <c r="X187" i="13"/>
  <c r="D199" i="13"/>
  <c r="D211" i="13"/>
  <c r="D198" i="13"/>
  <c r="X186" i="13"/>
  <c r="W186" i="13"/>
  <c r="D197" i="13"/>
  <c r="D210" i="13"/>
  <c r="X185" i="13"/>
  <c r="W185" i="13"/>
  <c r="H206" i="13"/>
  <c r="H193" i="13"/>
  <c r="F195" i="13"/>
  <c r="F208" i="13"/>
  <c r="X188" i="13"/>
  <c r="W188" i="13"/>
  <c r="D200" i="13"/>
  <c r="V200" i="13" s="1"/>
  <c r="D213" i="13"/>
  <c r="G205" i="13"/>
  <c r="G192" i="13"/>
  <c r="H72" i="12"/>
  <c r="C72" i="12"/>
  <c r="L72" i="12"/>
  <c r="K72" i="12"/>
  <c r="J72" i="12"/>
  <c r="G72" i="12"/>
  <c r="I72" i="12"/>
  <c r="F72" i="12"/>
  <c r="E72" i="12"/>
  <c r="D72" i="12"/>
  <c r="V198" i="13" l="1"/>
  <c r="W42" i="15"/>
  <c r="W38" i="15"/>
  <c r="W36" i="15"/>
  <c r="W41" i="15"/>
  <c r="W34" i="15"/>
  <c r="W33" i="15"/>
  <c r="W39" i="15"/>
  <c r="W37" i="15"/>
  <c r="X37" i="15" s="1"/>
  <c r="W40" i="15"/>
  <c r="W35" i="15"/>
  <c r="V211" i="13"/>
  <c r="W42" i="14"/>
  <c r="W36" i="14"/>
  <c r="W35" i="14"/>
  <c r="W34" i="14"/>
  <c r="W38" i="14"/>
  <c r="W37" i="14"/>
  <c r="W41" i="14"/>
  <c r="W33" i="14"/>
  <c r="W39" i="14"/>
  <c r="W46" i="14"/>
  <c r="W40" i="14"/>
  <c r="W45" i="14"/>
  <c r="V213" i="13"/>
  <c r="V199" i="13"/>
  <c r="V197" i="13"/>
  <c r="V193" i="13"/>
  <c r="V206" i="13"/>
  <c r="V191" i="13"/>
  <c r="V210" i="13"/>
  <c r="V212" i="13"/>
  <c r="V196" i="13"/>
  <c r="V204" i="13"/>
  <c r="V207" i="13"/>
  <c r="V208" i="13"/>
  <c r="V205" i="13"/>
  <c r="V209" i="13"/>
  <c r="V192" i="13"/>
  <c r="V195" i="13"/>
  <c r="V194" i="13"/>
  <c r="L45" i="12"/>
  <c r="K45" i="12"/>
  <c r="J45" i="12"/>
  <c r="I45" i="12"/>
  <c r="H45" i="12"/>
  <c r="G45" i="12"/>
  <c r="L43" i="12"/>
  <c r="K43" i="12"/>
  <c r="J43" i="12"/>
  <c r="I43" i="12"/>
  <c r="H43" i="12"/>
  <c r="G43" i="12"/>
  <c r="F43" i="12"/>
  <c r="E43" i="12"/>
  <c r="D43" i="12"/>
  <c r="H43" i="4"/>
  <c r="I43" i="4"/>
  <c r="J43" i="4"/>
  <c r="K43" i="4"/>
  <c r="L43" i="4"/>
  <c r="H45" i="4"/>
  <c r="I45" i="4"/>
  <c r="J45" i="4"/>
  <c r="K45" i="4"/>
  <c r="L45" i="4"/>
  <c r="X34" i="15" l="1"/>
  <c r="X39" i="15"/>
  <c r="X33" i="15"/>
  <c r="X42" i="15"/>
  <c r="X41" i="15"/>
  <c r="X35" i="15"/>
  <c r="X36" i="15"/>
  <c r="X40" i="15"/>
  <c r="X38" i="15"/>
  <c r="Y197" i="13"/>
  <c r="X33" i="14"/>
  <c r="W44" i="14"/>
  <c r="X41" i="14"/>
  <c r="X36" i="14"/>
  <c r="X37" i="14"/>
  <c r="X38" i="14"/>
  <c r="X34" i="14"/>
  <c r="X35" i="14"/>
  <c r="X40" i="14"/>
  <c r="X39" i="14"/>
  <c r="X42" i="14"/>
  <c r="Y205" i="13"/>
  <c r="Y208" i="13"/>
  <c r="Y195" i="13"/>
  <c r="Y196" i="13"/>
  <c r="Y200" i="13"/>
  <c r="Y191" i="13"/>
  <c r="V201" i="13"/>
  <c r="Y211" i="13"/>
  <c r="Y213" i="13"/>
  <c r="Y207" i="13"/>
  <c r="Y194" i="13"/>
  <c r="V214" i="13"/>
  <c r="Y204" i="13"/>
  <c r="Y199" i="13"/>
  <c r="Y206" i="13"/>
  <c r="Y212" i="13"/>
  <c r="Y193" i="13"/>
  <c r="Y192" i="13"/>
  <c r="Y209" i="13"/>
  <c r="Y210" i="13"/>
  <c r="Y198" i="13"/>
  <c r="K50" i="4"/>
  <c r="J56" i="12"/>
  <c r="G54" i="12"/>
  <c r="L49" i="4"/>
  <c r="C52" i="12"/>
  <c r="K52" i="12"/>
  <c r="I53" i="12"/>
  <c r="K54" i="12"/>
  <c r="E55" i="12"/>
  <c r="I55" i="12"/>
  <c r="C56" i="12"/>
  <c r="G56" i="12"/>
  <c r="K56" i="12"/>
  <c r="D52" i="12"/>
  <c r="H52" i="12"/>
  <c r="L52" i="12"/>
  <c r="F53" i="12"/>
  <c r="J53" i="12"/>
  <c r="D54" i="12"/>
  <c r="H54" i="12"/>
  <c r="L54" i="12"/>
  <c r="F55" i="12"/>
  <c r="J55" i="12"/>
  <c r="D56" i="12"/>
  <c r="H56" i="12"/>
  <c r="L56" i="12"/>
  <c r="G52" i="12"/>
  <c r="C54" i="12"/>
  <c r="E52" i="12"/>
  <c r="I52" i="12"/>
  <c r="C53" i="12"/>
  <c r="C62" i="12" s="1"/>
  <c r="G53" i="12"/>
  <c r="K53" i="12"/>
  <c r="K62" i="12" s="1"/>
  <c r="E54" i="12"/>
  <c r="I54" i="12"/>
  <c r="C55" i="12"/>
  <c r="G55" i="12"/>
  <c r="K55" i="12"/>
  <c r="E56" i="12"/>
  <c r="I56" i="12"/>
  <c r="E53" i="12"/>
  <c r="F52" i="12"/>
  <c r="J52" i="12"/>
  <c r="D53" i="12"/>
  <c r="H53" i="12"/>
  <c r="H62" i="12" s="1"/>
  <c r="L53" i="12"/>
  <c r="F54" i="12"/>
  <c r="J54" i="12"/>
  <c r="D55" i="12"/>
  <c r="H55" i="12"/>
  <c r="L55" i="12"/>
  <c r="F56" i="12"/>
  <c r="I52" i="4"/>
  <c r="D49" i="4"/>
  <c r="J51" i="4"/>
  <c r="C49" i="4"/>
  <c r="C54" i="4" s="1"/>
  <c r="E52" i="4"/>
  <c r="F51" i="4"/>
  <c r="G50" i="4"/>
  <c r="H49" i="4"/>
  <c r="I48" i="4"/>
  <c r="L52" i="4"/>
  <c r="D52" i="4"/>
  <c r="E51" i="4"/>
  <c r="F50" i="4"/>
  <c r="G49" i="4"/>
  <c r="H48" i="4"/>
  <c r="C52" i="4"/>
  <c r="H52" i="4"/>
  <c r="I51" i="4"/>
  <c r="J50" i="4"/>
  <c r="K49" i="4"/>
  <c r="L48" i="4"/>
  <c r="C51" i="4"/>
  <c r="K52" i="4"/>
  <c r="G52" i="4"/>
  <c r="L51" i="4"/>
  <c r="H51" i="4"/>
  <c r="D51" i="4"/>
  <c r="I50" i="4"/>
  <c r="E50" i="4"/>
  <c r="J49" i="4"/>
  <c r="K48" i="4"/>
  <c r="G48" i="4"/>
  <c r="C50" i="4"/>
  <c r="J52" i="4"/>
  <c r="F52" i="4"/>
  <c r="K51" i="4"/>
  <c r="G51" i="4"/>
  <c r="L50" i="4"/>
  <c r="H50" i="4"/>
  <c r="D50" i="4"/>
  <c r="I49" i="4"/>
  <c r="E49" i="4"/>
  <c r="J48" i="4"/>
  <c r="Z199" i="13" l="1"/>
  <c r="Z198" i="13"/>
  <c r="Z206" i="13"/>
  <c r="Z210" i="13"/>
  <c r="Z212" i="13"/>
  <c r="Z213" i="13"/>
  <c r="Z211" i="13"/>
  <c r="Z196" i="13"/>
  <c r="Z191" i="13"/>
  <c r="Z209" i="13"/>
  <c r="Z204" i="13"/>
  <c r="Z208" i="13"/>
  <c r="Z192" i="13"/>
  <c r="Z197" i="13"/>
  <c r="Z195" i="13"/>
  <c r="Z194" i="13"/>
  <c r="Z200" i="13"/>
  <c r="Z193" i="13"/>
  <c r="Z207" i="13"/>
  <c r="Z205" i="13"/>
  <c r="C59" i="12"/>
  <c r="N19" i="12" s="1"/>
  <c r="Q2" i="12" s="1"/>
  <c r="L62" i="12"/>
  <c r="J62" i="12"/>
  <c r="F60" i="12"/>
  <c r="F62" i="12"/>
  <c r="G62" i="12"/>
  <c r="I62" i="12"/>
  <c r="E62" i="12"/>
  <c r="D62" i="12"/>
  <c r="D60" i="12"/>
  <c r="D61" i="12"/>
  <c r="L60" i="12"/>
  <c r="L61" i="12"/>
  <c r="H60" i="12"/>
  <c r="H61" i="12"/>
  <c r="I61" i="12"/>
  <c r="I60" i="12"/>
  <c r="K61" i="12"/>
  <c r="K60" i="12"/>
  <c r="E60" i="12"/>
  <c r="E61" i="12"/>
  <c r="C60" i="12"/>
  <c r="C61" i="12"/>
  <c r="J58" i="12"/>
  <c r="J61" i="12"/>
  <c r="J60" i="12"/>
  <c r="F61" i="12"/>
  <c r="G58" i="12"/>
  <c r="G61" i="12"/>
  <c r="G60" i="12"/>
  <c r="F58" i="12"/>
  <c r="K58" i="12"/>
  <c r="L58" i="12"/>
  <c r="I58" i="12"/>
  <c r="H58" i="12"/>
  <c r="E58" i="12"/>
  <c r="D58" i="12"/>
  <c r="H54" i="4"/>
  <c r="K54" i="4"/>
  <c r="J54" i="4"/>
  <c r="E54" i="4"/>
  <c r="I54" i="4"/>
  <c r="L54" i="4"/>
  <c r="F54" i="4"/>
  <c r="D54" i="4"/>
  <c r="G54" i="4"/>
  <c r="AC24" i="11"/>
  <c r="AC23" i="11"/>
  <c r="J59" i="12" l="1"/>
  <c r="N26" i="12" s="1"/>
  <c r="Q9" i="12" s="1"/>
  <c r="E59" i="12"/>
  <c r="N21" i="12" s="1"/>
  <c r="Q4" i="12" s="1"/>
  <c r="I59" i="12"/>
  <c r="N25" i="12" s="1"/>
  <c r="Q8" i="12" s="1"/>
  <c r="L59" i="12"/>
  <c r="N28" i="12" s="1"/>
  <c r="Q11" i="12" s="1"/>
  <c r="K59" i="12"/>
  <c r="N27" i="12" s="1"/>
  <c r="Q10" i="12" s="1"/>
  <c r="D59" i="12"/>
  <c r="N20" i="12" s="1"/>
  <c r="Q3" i="12" s="1"/>
  <c r="H59" i="12"/>
  <c r="N24" i="12" s="1"/>
  <c r="Q7" i="12" s="1"/>
  <c r="G59" i="12"/>
  <c r="N23" i="12" s="1"/>
  <c r="Q6" i="12" s="1"/>
  <c r="F59" i="12"/>
  <c r="N22" i="12" s="1"/>
  <c r="Q5" i="12" s="1"/>
  <c r="AC26" i="11"/>
  <c r="AA21" i="11" s="1"/>
  <c r="AC25" i="11"/>
  <c r="AA20" i="11" s="1"/>
  <c r="V153" i="1"/>
  <c r="AE21" i="11" l="1"/>
  <c r="AA11" i="11"/>
  <c r="AB20" i="11"/>
  <c r="AD21" i="11"/>
  <c r="AB21" i="11"/>
  <c r="AC21" i="11"/>
  <c r="AE20" i="11"/>
  <c r="AC20" i="11"/>
  <c r="AD20" i="11"/>
  <c r="AC24" i="10"/>
  <c r="AC23" i="10"/>
  <c r="AC26" i="10" s="1"/>
  <c r="AC24" i="9"/>
  <c r="AC23" i="9"/>
  <c r="AC26" i="9" s="1"/>
  <c r="AC25" i="9" l="1"/>
  <c r="AC21" i="9" s="1"/>
  <c r="AD20" i="9"/>
  <c r="AC20" i="9"/>
  <c r="AE21" i="9"/>
  <c r="AC25" i="10"/>
  <c r="AE21" i="10" s="1"/>
  <c r="AA21" i="9"/>
  <c r="AB21" i="9"/>
  <c r="AA11" i="9"/>
  <c r="Z153" i="1"/>
  <c r="B19" i="12" s="1"/>
  <c r="AD156" i="1"/>
  <c r="AC156" i="1"/>
  <c r="AA153" i="1"/>
  <c r="E167" i="1" s="1"/>
  <c r="AD153" i="1"/>
  <c r="V154" i="1"/>
  <c r="AD154" i="1"/>
  <c r="H168" i="1" s="1"/>
  <c r="V155" i="1"/>
  <c r="AD155" i="1"/>
  <c r="V156" i="1"/>
  <c r="AD157" i="1"/>
  <c r="H171" i="1" s="1"/>
  <c r="AC158" i="1"/>
  <c r="AD158" i="1"/>
  <c r="V159" i="1"/>
  <c r="AD159" i="1"/>
  <c r="V160" i="1"/>
  <c r="AC160" i="1"/>
  <c r="AD160" i="1"/>
  <c r="AD161" i="1"/>
  <c r="V162" i="1"/>
  <c r="AC162" i="1"/>
  <c r="AD162" i="1"/>
  <c r="AC161" i="1"/>
  <c r="V161" i="1"/>
  <c r="AC159" i="1"/>
  <c r="AC157" i="1"/>
  <c r="V157" i="1"/>
  <c r="AC155" i="1"/>
  <c r="AC153" i="1"/>
  <c r="AB153" i="1"/>
  <c r="AC154" i="1"/>
  <c r="V158" i="1"/>
  <c r="AB20" i="9" l="1"/>
  <c r="F23" i="12"/>
  <c r="F23" i="4"/>
  <c r="AA20" i="10"/>
  <c r="AB20" i="10"/>
  <c r="B19" i="4"/>
  <c r="AD20" i="10"/>
  <c r="AE20" i="9"/>
  <c r="C19" i="12"/>
  <c r="C19" i="4"/>
  <c r="F20" i="12"/>
  <c r="F20" i="4"/>
  <c r="AD21" i="9"/>
  <c r="AA20" i="9"/>
  <c r="AE20" i="10"/>
  <c r="AD21" i="10"/>
  <c r="AB21" i="10"/>
  <c r="AC21" i="10"/>
  <c r="AC20" i="10"/>
  <c r="AA21" i="10"/>
  <c r="AA11" i="10"/>
  <c r="AC24" i="8" l="1"/>
  <c r="AC23" i="8"/>
  <c r="AC25" i="8" s="1"/>
  <c r="Z155" i="1"/>
  <c r="K191" i="1"/>
  <c r="M196" i="1"/>
  <c r="G168" i="1"/>
  <c r="D169" i="1"/>
  <c r="G169" i="1"/>
  <c r="G170" i="1"/>
  <c r="G171" i="1"/>
  <c r="G172" i="1"/>
  <c r="G173" i="1"/>
  <c r="G174" i="1"/>
  <c r="G175" i="1"/>
  <c r="G176" i="1"/>
  <c r="G167" i="1"/>
  <c r="F167" i="1"/>
  <c r="E27" i="12" l="1"/>
  <c r="E27" i="4"/>
  <c r="E19" i="12"/>
  <c r="E19" i="4"/>
  <c r="E21" i="12"/>
  <c r="E21" i="4"/>
  <c r="E28" i="12"/>
  <c r="E28" i="4"/>
  <c r="B21" i="12"/>
  <c r="B21" i="4"/>
  <c r="E20" i="12"/>
  <c r="E20" i="4"/>
  <c r="E26" i="12"/>
  <c r="E26" i="4"/>
  <c r="E25" i="12"/>
  <c r="E25" i="4"/>
  <c r="E24" i="12"/>
  <c r="E24" i="4"/>
  <c r="E23" i="12"/>
  <c r="E23" i="4"/>
  <c r="D19" i="12"/>
  <c r="D19" i="4"/>
  <c r="E22" i="12"/>
  <c r="E22" i="4"/>
  <c r="AC26" i="8"/>
  <c r="E29" i="4" l="1"/>
  <c r="E29" i="12"/>
  <c r="AD20" i="8"/>
  <c r="AE20" i="8"/>
  <c r="AB20" i="8"/>
  <c r="AC20" i="8"/>
  <c r="AA20" i="8"/>
  <c r="AC21" i="8"/>
  <c r="AB21" i="8"/>
  <c r="AE21" i="8"/>
  <c r="AA21" i="8"/>
  <c r="AD21" i="8"/>
  <c r="AA11" i="8"/>
  <c r="Z154" i="1" l="1"/>
  <c r="D168" i="1" s="1"/>
  <c r="AA154" i="1"/>
  <c r="E168" i="1" s="1"/>
  <c r="AB154" i="1"/>
  <c r="F168" i="1" s="1"/>
  <c r="AA155" i="1"/>
  <c r="E169" i="1" s="1"/>
  <c r="AB155" i="1"/>
  <c r="F169" i="1" s="1"/>
  <c r="Z156" i="1"/>
  <c r="D170" i="1" s="1"/>
  <c r="AA156" i="1"/>
  <c r="E170" i="1" s="1"/>
  <c r="AB156" i="1"/>
  <c r="F170" i="1" s="1"/>
  <c r="Z157" i="1"/>
  <c r="D171" i="1" s="1"/>
  <c r="AA157" i="1"/>
  <c r="E171" i="1" s="1"/>
  <c r="AB157" i="1"/>
  <c r="F171" i="1" s="1"/>
  <c r="Z158" i="1"/>
  <c r="D172" i="1" s="1"/>
  <c r="AA158" i="1"/>
  <c r="E172" i="1" s="1"/>
  <c r="AB158" i="1"/>
  <c r="F172" i="1" s="1"/>
  <c r="Z159" i="1"/>
  <c r="D173" i="1" s="1"/>
  <c r="AA159" i="1"/>
  <c r="E173" i="1" s="1"/>
  <c r="AB159" i="1"/>
  <c r="F173" i="1" s="1"/>
  <c r="Z160" i="1"/>
  <c r="D174" i="1" s="1"/>
  <c r="AA160" i="1"/>
  <c r="E174" i="1" s="1"/>
  <c r="AB160" i="1"/>
  <c r="F174" i="1" s="1"/>
  <c r="Z161" i="1"/>
  <c r="D175" i="1" s="1"/>
  <c r="AA161" i="1"/>
  <c r="E175" i="1" s="1"/>
  <c r="AB161" i="1"/>
  <c r="F175" i="1" s="1"/>
  <c r="Z162" i="1"/>
  <c r="D176" i="1" s="1"/>
  <c r="AA162" i="1"/>
  <c r="E176" i="1" s="1"/>
  <c r="AB162" i="1"/>
  <c r="F176" i="1" s="1"/>
  <c r="D28" i="12" l="1"/>
  <c r="D28" i="4"/>
  <c r="B28" i="12"/>
  <c r="B28" i="4"/>
  <c r="C25" i="12"/>
  <c r="C25" i="4"/>
  <c r="D22" i="12"/>
  <c r="D22" i="4"/>
  <c r="B27" i="12"/>
  <c r="B27" i="4"/>
  <c r="D27" i="12"/>
  <c r="D27" i="4"/>
  <c r="B25" i="12"/>
  <c r="B25" i="4"/>
  <c r="C22" i="12"/>
  <c r="C22" i="4"/>
  <c r="C27" i="12"/>
  <c r="C27" i="4"/>
  <c r="D21" i="12"/>
  <c r="D21" i="4"/>
  <c r="D26" i="12"/>
  <c r="D26" i="4"/>
  <c r="B24" i="12"/>
  <c r="B24" i="4"/>
  <c r="C21" i="12"/>
  <c r="C21" i="4"/>
  <c r="D24" i="12"/>
  <c r="D24" i="4"/>
  <c r="C24" i="12"/>
  <c r="C24" i="4"/>
  <c r="C26" i="12"/>
  <c r="C26" i="4"/>
  <c r="D23" i="12"/>
  <c r="D23" i="4"/>
  <c r="D20" i="12"/>
  <c r="D20" i="4"/>
  <c r="B26" i="12"/>
  <c r="B26" i="4"/>
  <c r="C23" i="12"/>
  <c r="C23" i="4"/>
  <c r="C20" i="12"/>
  <c r="C20" i="4"/>
  <c r="B22" i="12"/>
  <c r="B22" i="4"/>
  <c r="C28" i="12"/>
  <c r="C28" i="4"/>
  <c r="D25" i="12"/>
  <c r="D25" i="4"/>
  <c r="B23" i="12"/>
  <c r="H23" i="12" s="1"/>
  <c r="B23" i="4"/>
  <c r="H23" i="4" s="1"/>
  <c r="B20" i="12"/>
  <c r="B20" i="4"/>
  <c r="U260" i="1"/>
  <c r="T260" i="1"/>
  <c r="S260" i="1"/>
  <c r="R260" i="1"/>
  <c r="Q260" i="1"/>
  <c r="P260" i="1"/>
  <c r="L243" i="1"/>
  <c r="K243" i="1"/>
  <c r="J243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N238" i="1"/>
  <c r="M238" i="1"/>
  <c r="L238" i="1"/>
  <c r="K238" i="1"/>
  <c r="J238" i="1"/>
  <c r="U147" i="1"/>
  <c r="T147" i="1"/>
  <c r="S147" i="1"/>
  <c r="R147" i="1"/>
  <c r="Q147" i="1"/>
  <c r="P147" i="1"/>
  <c r="O147" i="1"/>
  <c r="N147" i="1"/>
  <c r="N143" i="1" s="1"/>
  <c r="M147" i="1"/>
  <c r="L147" i="1"/>
  <c r="K147" i="1"/>
  <c r="K143" i="1" s="1"/>
  <c r="J147" i="1"/>
  <c r="I147" i="1"/>
  <c r="H147" i="1"/>
  <c r="G147" i="1"/>
  <c r="F147" i="1"/>
  <c r="E147" i="1"/>
  <c r="D147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V142" i="1"/>
  <c r="V141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V139" i="1"/>
  <c r="V138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V136" i="1"/>
  <c r="V135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V133" i="1"/>
  <c r="V132" i="1"/>
  <c r="U131" i="1"/>
  <c r="T131" i="1"/>
  <c r="T130" i="1" s="1"/>
  <c r="S131" i="1"/>
  <c r="R131" i="1"/>
  <c r="Q131" i="1"/>
  <c r="Q130" i="1" s="1"/>
  <c r="P131" i="1"/>
  <c r="O131" i="1"/>
  <c r="O130" i="1" s="1"/>
  <c r="N131" i="1"/>
  <c r="M131" i="1"/>
  <c r="L131" i="1"/>
  <c r="L130" i="1" s="1"/>
  <c r="K131" i="1"/>
  <c r="J131" i="1"/>
  <c r="I131" i="1"/>
  <c r="I130" i="1" s="1"/>
  <c r="H131" i="1"/>
  <c r="G131" i="1"/>
  <c r="G130" i="1" s="1"/>
  <c r="F131" i="1"/>
  <c r="E131" i="1"/>
  <c r="D131" i="1"/>
  <c r="D130" i="1" s="1"/>
  <c r="P130" i="1"/>
  <c r="H130" i="1"/>
  <c r="E130" i="1"/>
  <c r="V129" i="1"/>
  <c r="V128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V126" i="1"/>
  <c r="V125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V123" i="1"/>
  <c r="V122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V120" i="1"/>
  <c r="V119" i="1"/>
  <c r="U118" i="1"/>
  <c r="T118" i="1"/>
  <c r="T117" i="1" s="1"/>
  <c r="S118" i="1"/>
  <c r="R118" i="1"/>
  <c r="Q118" i="1"/>
  <c r="P118" i="1"/>
  <c r="O118" i="1"/>
  <c r="N118" i="1"/>
  <c r="M118" i="1"/>
  <c r="L118" i="1"/>
  <c r="L117" i="1" s="1"/>
  <c r="K118" i="1"/>
  <c r="J118" i="1"/>
  <c r="J117" i="1" s="1"/>
  <c r="I118" i="1"/>
  <c r="H118" i="1"/>
  <c r="G118" i="1"/>
  <c r="F118" i="1"/>
  <c r="E118" i="1"/>
  <c r="D118" i="1"/>
  <c r="S117" i="1"/>
  <c r="R117" i="1"/>
  <c r="O117" i="1"/>
  <c r="K117" i="1"/>
  <c r="G117" i="1"/>
  <c r="V116" i="1"/>
  <c r="V115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V113" i="1"/>
  <c r="V112" i="1"/>
  <c r="U111" i="1"/>
  <c r="T111" i="1"/>
  <c r="S111" i="1"/>
  <c r="R111" i="1"/>
  <c r="R110" i="1" s="1"/>
  <c r="Q111" i="1"/>
  <c r="Q110" i="1" s="1"/>
  <c r="P111" i="1"/>
  <c r="P110" i="1" s="1"/>
  <c r="O111" i="1"/>
  <c r="O110" i="1" s="1"/>
  <c r="N111" i="1"/>
  <c r="M111" i="1"/>
  <c r="L111" i="1"/>
  <c r="K111" i="1"/>
  <c r="J111" i="1"/>
  <c r="J110" i="1" s="1"/>
  <c r="I111" i="1"/>
  <c r="I110" i="1" s="1"/>
  <c r="H111" i="1"/>
  <c r="H110" i="1" s="1"/>
  <c r="G111" i="1"/>
  <c r="G110" i="1" s="1"/>
  <c r="F111" i="1"/>
  <c r="E111" i="1"/>
  <c r="D111" i="1"/>
  <c r="T110" i="1"/>
  <c r="L110" i="1"/>
  <c r="V109" i="1"/>
  <c r="V108" i="1"/>
  <c r="U107" i="1"/>
  <c r="T107" i="1"/>
  <c r="S107" i="1"/>
  <c r="R107" i="1"/>
  <c r="R103" i="1" s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V106" i="1"/>
  <c r="V105" i="1"/>
  <c r="U104" i="1"/>
  <c r="U103" i="1" s="1"/>
  <c r="T104" i="1"/>
  <c r="T103" i="1" s="1"/>
  <c r="S104" i="1"/>
  <c r="R104" i="1"/>
  <c r="Q104" i="1"/>
  <c r="P104" i="1"/>
  <c r="O104" i="1"/>
  <c r="O103" i="1" s="1"/>
  <c r="N104" i="1"/>
  <c r="N103" i="1" s="1"/>
  <c r="M104" i="1"/>
  <c r="M103" i="1" s="1"/>
  <c r="L104" i="1"/>
  <c r="L103" i="1" s="1"/>
  <c r="K104" i="1"/>
  <c r="K103" i="1" s="1"/>
  <c r="J104" i="1"/>
  <c r="I104" i="1"/>
  <c r="H104" i="1"/>
  <c r="H103" i="1" s="1"/>
  <c r="G104" i="1"/>
  <c r="G103" i="1" s="1"/>
  <c r="F104" i="1"/>
  <c r="F103" i="1" s="1"/>
  <c r="E104" i="1"/>
  <c r="E103" i="1" s="1"/>
  <c r="D104" i="1"/>
  <c r="V102" i="1"/>
  <c r="V101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V99" i="1"/>
  <c r="V98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V96" i="1"/>
  <c r="V95" i="1"/>
  <c r="U94" i="1"/>
  <c r="T94" i="1"/>
  <c r="S94" i="1"/>
  <c r="R94" i="1"/>
  <c r="Q94" i="1"/>
  <c r="Q90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V93" i="1"/>
  <c r="V92" i="1"/>
  <c r="U91" i="1"/>
  <c r="U90" i="1" s="1"/>
  <c r="T91" i="1"/>
  <c r="T90" i="1" s="1"/>
  <c r="S91" i="1"/>
  <c r="R91" i="1"/>
  <c r="Q91" i="1"/>
  <c r="P91" i="1"/>
  <c r="O91" i="1"/>
  <c r="N91" i="1"/>
  <c r="N90" i="1" s="1"/>
  <c r="M91" i="1"/>
  <c r="M90" i="1" s="1"/>
  <c r="L91" i="1"/>
  <c r="L90" i="1" s="1"/>
  <c r="K91" i="1"/>
  <c r="J91" i="1"/>
  <c r="I91" i="1"/>
  <c r="I90" i="1" s="1"/>
  <c r="H91" i="1"/>
  <c r="G91" i="1"/>
  <c r="F91" i="1"/>
  <c r="F90" i="1" s="1"/>
  <c r="E91" i="1"/>
  <c r="E90" i="1" s="1"/>
  <c r="D91" i="1"/>
  <c r="D90" i="1" s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V76" i="1"/>
  <c r="V75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V73" i="1"/>
  <c r="V72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V70" i="1"/>
  <c r="V69" i="1"/>
  <c r="U68" i="1"/>
  <c r="U67" i="1" s="1"/>
  <c r="T68" i="1"/>
  <c r="S68" i="1"/>
  <c r="R68" i="1"/>
  <c r="Q68" i="1"/>
  <c r="Q67" i="1" s="1"/>
  <c r="P68" i="1"/>
  <c r="O68" i="1"/>
  <c r="O67" i="1" s="1"/>
  <c r="N68" i="1"/>
  <c r="N67" i="1" s="1"/>
  <c r="M68" i="1"/>
  <c r="M67" i="1" s="1"/>
  <c r="L68" i="1"/>
  <c r="K68" i="1"/>
  <c r="J68" i="1"/>
  <c r="I68" i="1"/>
  <c r="I67" i="1" s="1"/>
  <c r="H68" i="1"/>
  <c r="G68" i="1"/>
  <c r="G67" i="1" s="1"/>
  <c r="F68" i="1"/>
  <c r="F67" i="1" s="1"/>
  <c r="E68" i="1"/>
  <c r="E67" i="1" s="1"/>
  <c r="D68" i="1"/>
  <c r="T67" i="1"/>
  <c r="P67" i="1"/>
  <c r="L67" i="1"/>
  <c r="H67" i="1"/>
  <c r="D67" i="1"/>
  <c r="V66" i="1"/>
  <c r="V65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V63" i="1"/>
  <c r="V62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V60" i="1"/>
  <c r="V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V57" i="1"/>
  <c r="V56" i="1"/>
  <c r="U55" i="1"/>
  <c r="T55" i="1"/>
  <c r="T54" i="1" s="1"/>
  <c r="S55" i="1"/>
  <c r="R55" i="1"/>
  <c r="Q55" i="1"/>
  <c r="P55" i="1"/>
  <c r="O55" i="1"/>
  <c r="N55" i="1"/>
  <c r="N54" i="1" s="1"/>
  <c r="M55" i="1"/>
  <c r="M54" i="1" s="1"/>
  <c r="L55" i="1"/>
  <c r="L54" i="1" s="1"/>
  <c r="K55" i="1"/>
  <c r="K54" i="1" s="1"/>
  <c r="J55" i="1"/>
  <c r="J54" i="1" s="1"/>
  <c r="I55" i="1"/>
  <c r="H55" i="1"/>
  <c r="G55" i="1"/>
  <c r="F55" i="1"/>
  <c r="E55" i="1"/>
  <c r="D55" i="1"/>
  <c r="S54" i="1"/>
  <c r="R54" i="1"/>
  <c r="F54" i="1"/>
  <c r="V53" i="1"/>
  <c r="V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V50" i="1"/>
  <c r="V49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V47" i="1"/>
  <c r="V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V44" i="1"/>
  <c r="V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V41" i="1"/>
  <c r="V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V38" i="1"/>
  <c r="V37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V35" i="1"/>
  <c r="V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V32" i="1"/>
  <c r="V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V29" i="1"/>
  <c r="V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V26" i="1"/>
  <c r="V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V23" i="1"/>
  <c r="V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V20" i="1"/>
  <c r="V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V17" i="1"/>
  <c r="V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V14" i="1"/>
  <c r="V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V11" i="1"/>
  <c r="V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V8" i="1"/>
  <c r="V7" i="1"/>
  <c r="U6" i="1"/>
  <c r="T6" i="1"/>
  <c r="S6" i="1"/>
  <c r="R6" i="1"/>
  <c r="R5" i="1" s="1"/>
  <c r="Q6" i="1"/>
  <c r="Q5" i="1" s="1"/>
  <c r="P6" i="1"/>
  <c r="P5" i="1" s="1"/>
  <c r="O6" i="1"/>
  <c r="O5" i="1" s="1"/>
  <c r="N6" i="1"/>
  <c r="M6" i="1"/>
  <c r="L6" i="1"/>
  <c r="K6" i="1"/>
  <c r="K5" i="1" s="1"/>
  <c r="J6" i="1"/>
  <c r="J5" i="1" s="1"/>
  <c r="I6" i="1"/>
  <c r="I5" i="1" s="1"/>
  <c r="H6" i="1"/>
  <c r="H5" i="1" s="1"/>
  <c r="G6" i="1"/>
  <c r="G5" i="1" s="1"/>
  <c r="F6" i="1"/>
  <c r="E6" i="1"/>
  <c r="D6" i="1"/>
  <c r="S103" i="1" l="1"/>
  <c r="P103" i="1"/>
  <c r="L5" i="1"/>
  <c r="T5" i="1"/>
  <c r="G54" i="1"/>
  <c r="O54" i="1"/>
  <c r="I103" i="1"/>
  <c r="Q103" i="1"/>
  <c r="E110" i="1"/>
  <c r="M110" i="1"/>
  <c r="U110" i="1"/>
  <c r="H117" i="1"/>
  <c r="P117" i="1"/>
  <c r="M130" i="1"/>
  <c r="U130" i="1"/>
  <c r="S143" i="1"/>
  <c r="E5" i="1"/>
  <c r="U5" i="1"/>
  <c r="K67" i="1"/>
  <c r="S67" i="1"/>
  <c r="J90" i="1"/>
  <c r="R90" i="1"/>
  <c r="F110" i="1"/>
  <c r="N110" i="1"/>
  <c r="N150" i="1" s="1"/>
  <c r="I117" i="1"/>
  <c r="Q117" i="1"/>
  <c r="F130" i="1"/>
  <c r="N130" i="1"/>
  <c r="D5" i="1"/>
  <c r="M5" i="1"/>
  <c r="O77" i="1"/>
  <c r="D110" i="1"/>
  <c r="V110" i="1" s="1"/>
  <c r="H54" i="1"/>
  <c r="G90" i="1"/>
  <c r="J103" i="1"/>
  <c r="K110" i="1"/>
  <c r="E117" i="1"/>
  <c r="J130" i="1"/>
  <c r="F77" i="1"/>
  <c r="N77" i="1"/>
  <c r="P54" i="1"/>
  <c r="S110" i="1"/>
  <c r="M117" i="1"/>
  <c r="G77" i="1"/>
  <c r="D54" i="1"/>
  <c r="S90" i="1"/>
  <c r="K90" i="1"/>
  <c r="J77" i="1"/>
  <c r="R77" i="1"/>
  <c r="F143" i="1"/>
  <c r="H20" i="4"/>
  <c r="B29" i="4"/>
  <c r="B30" i="4" s="1"/>
  <c r="D29" i="4"/>
  <c r="H20" i="12"/>
  <c r="B29" i="12"/>
  <c r="D29" i="12"/>
  <c r="C29" i="4"/>
  <c r="O90" i="1"/>
  <c r="U117" i="1"/>
  <c r="R130" i="1"/>
  <c r="R150" i="1" s="1"/>
  <c r="N5" i="1"/>
  <c r="I54" i="1"/>
  <c r="J67" i="1"/>
  <c r="R67" i="1"/>
  <c r="V67" i="1" s="1"/>
  <c r="H90" i="1"/>
  <c r="P90" i="1"/>
  <c r="F117" i="1"/>
  <c r="N117" i="1"/>
  <c r="K130" i="1"/>
  <c r="S130" i="1"/>
  <c r="C29" i="12"/>
  <c r="G143" i="1"/>
  <c r="O143" i="1"/>
  <c r="E54" i="1"/>
  <c r="Q54" i="1"/>
  <c r="U54" i="1"/>
  <c r="U150" i="1" s="1"/>
  <c r="E77" i="1"/>
  <c r="I77" i="1"/>
  <c r="M77" i="1"/>
  <c r="Q77" i="1"/>
  <c r="U77" i="1"/>
  <c r="K77" i="1"/>
  <c r="S77" i="1"/>
  <c r="D143" i="1"/>
  <c r="D150" i="1" s="1"/>
  <c r="L143" i="1"/>
  <c r="P143" i="1"/>
  <c r="T143" i="1"/>
  <c r="T150" i="1" s="1"/>
  <c r="J143" i="1"/>
  <c r="R143" i="1"/>
  <c r="S5" i="1"/>
  <c r="V61" i="1"/>
  <c r="V104" i="1"/>
  <c r="E143" i="1"/>
  <c r="I143" i="1"/>
  <c r="M143" i="1"/>
  <c r="Q143" i="1"/>
  <c r="U143" i="1"/>
  <c r="V58" i="1"/>
  <c r="V64" i="1"/>
  <c r="V107" i="1"/>
  <c r="V6" i="1"/>
  <c r="V12" i="1"/>
  <c r="V18" i="1"/>
  <c r="V24" i="1"/>
  <c r="V30" i="1"/>
  <c r="V36" i="1"/>
  <c r="D77" i="1"/>
  <c r="V78" i="1"/>
  <c r="L77" i="1"/>
  <c r="P77" i="1"/>
  <c r="P150" i="1" s="1"/>
  <c r="T77" i="1"/>
  <c r="V84" i="1"/>
  <c r="V118" i="1"/>
  <c r="V121" i="1"/>
  <c r="V124" i="1"/>
  <c r="V127" i="1"/>
  <c r="V144" i="1"/>
  <c r="V68" i="1"/>
  <c r="V71" i="1"/>
  <c r="V74" i="1"/>
  <c r="H77" i="1"/>
  <c r="V81" i="1"/>
  <c r="V87" i="1"/>
  <c r="V91" i="1"/>
  <c r="V94" i="1"/>
  <c r="V97" i="1"/>
  <c r="V100" i="1"/>
  <c r="D103" i="1"/>
  <c r="V111" i="1"/>
  <c r="V114" i="1"/>
  <c r="D117" i="1"/>
  <c r="V131" i="1"/>
  <c r="V134" i="1"/>
  <c r="V137" i="1"/>
  <c r="V140" i="1"/>
  <c r="H143" i="1"/>
  <c r="V147" i="1"/>
  <c r="V55" i="1"/>
  <c r="F5" i="1"/>
  <c r="V9" i="1"/>
  <c r="V15" i="1"/>
  <c r="V21" i="1"/>
  <c r="V27" i="1"/>
  <c r="V33" i="1"/>
  <c r="V39" i="1"/>
  <c r="V42" i="1"/>
  <c r="V45" i="1"/>
  <c r="V48" i="1"/>
  <c r="V51" i="1"/>
  <c r="N191" i="1"/>
  <c r="O191" i="1"/>
  <c r="S191" i="1"/>
  <c r="I192" i="1"/>
  <c r="M192" i="1"/>
  <c r="Q192" i="1"/>
  <c r="U192" i="1"/>
  <c r="K193" i="1"/>
  <c r="O193" i="1"/>
  <c r="S193" i="1"/>
  <c r="I194" i="1"/>
  <c r="M194" i="1"/>
  <c r="Q194" i="1"/>
  <c r="U194" i="1"/>
  <c r="K195" i="1"/>
  <c r="O195" i="1"/>
  <c r="S195" i="1"/>
  <c r="I196" i="1"/>
  <c r="Q196" i="1"/>
  <c r="U196" i="1"/>
  <c r="K197" i="1"/>
  <c r="O197" i="1"/>
  <c r="S197" i="1"/>
  <c r="I198" i="1"/>
  <c r="M198" i="1"/>
  <c r="Q198" i="1"/>
  <c r="U198" i="1"/>
  <c r="K199" i="1"/>
  <c r="O199" i="1"/>
  <c r="S199" i="1"/>
  <c r="I200" i="1"/>
  <c r="M200" i="1"/>
  <c r="Q200" i="1"/>
  <c r="U200" i="1"/>
  <c r="H167" i="1"/>
  <c r="L191" i="1"/>
  <c r="T191" i="1"/>
  <c r="J192" i="1"/>
  <c r="N192" i="1"/>
  <c r="R192" i="1"/>
  <c r="L193" i="1"/>
  <c r="P193" i="1"/>
  <c r="T193" i="1"/>
  <c r="J194" i="1"/>
  <c r="N194" i="1"/>
  <c r="R194" i="1"/>
  <c r="L195" i="1"/>
  <c r="P195" i="1"/>
  <c r="T195" i="1"/>
  <c r="J196" i="1"/>
  <c r="N196" i="1"/>
  <c r="R196" i="1"/>
  <c r="L197" i="1"/>
  <c r="P197" i="1"/>
  <c r="T197" i="1"/>
  <c r="J198" i="1"/>
  <c r="N198" i="1"/>
  <c r="R198" i="1"/>
  <c r="L199" i="1"/>
  <c r="P199" i="1"/>
  <c r="T199" i="1"/>
  <c r="J191" i="1"/>
  <c r="P191" i="1"/>
  <c r="I191" i="1"/>
  <c r="M191" i="1"/>
  <c r="Q191" i="1"/>
  <c r="U191" i="1"/>
  <c r="K192" i="1"/>
  <c r="O192" i="1"/>
  <c r="S192" i="1"/>
  <c r="I193" i="1"/>
  <c r="M193" i="1"/>
  <c r="Q193" i="1"/>
  <c r="U193" i="1"/>
  <c r="K194" i="1"/>
  <c r="O194" i="1"/>
  <c r="S194" i="1"/>
  <c r="I195" i="1"/>
  <c r="M195" i="1"/>
  <c r="Q195" i="1"/>
  <c r="U195" i="1"/>
  <c r="K196" i="1"/>
  <c r="O196" i="1"/>
  <c r="S196" i="1"/>
  <c r="I197" i="1"/>
  <c r="M197" i="1"/>
  <c r="Q197" i="1"/>
  <c r="U197" i="1"/>
  <c r="K198" i="1"/>
  <c r="O198" i="1"/>
  <c r="S198" i="1"/>
  <c r="I199" i="1"/>
  <c r="M199" i="1"/>
  <c r="Q199" i="1"/>
  <c r="U199" i="1"/>
  <c r="K150" i="1"/>
  <c r="R191" i="1"/>
  <c r="L192" i="1"/>
  <c r="P192" i="1"/>
  <c r="T192" i="1"/>
  <c r="J193" i="1"/>
  <c r="N193" i="1"/>
  <c r="R193" i="1"/>
  <c r="L194" i="1"/>
  <c r="P194" i="1"/>
  <c r="T194" i="1"/>
  <c r="J195" i="1"/>
  <c r="N195" i="1"/>
  <c r="R195" i="1"/>
  <c r="L196" i="1"/>
  <c r="P196" i="1"/>
  <c r="T196" i="1"/>
  <c r="J197" i="1"/>
  <c r="N197" i="1"/>
  <c r="R197" i="1"/>
  <c r="L198" i="1"/>
  <c r="P198" i="1"/>
  <c r="T198" i="1"/>
  <c r="J199" i="1"/>
  <c r="N199" i="1"/>
  <c r="R199" i="1"/>
  <c r="I150" i="1" l="1"/>
  <c r="V130" i="1"/>
  <c r="O150" i="1"/>
  <c r="G150" i="1"/>
  <c r="V103" i="1"/>
  <c r="V90" i="1"/>
  <c r="M150" i="1"/>
  <c r="E150" i="1"/>
  <c r="J150" i="1"/>
  <c r="V117" i="1"/>
  <c r="S150" i="1"/>
  <c r="V54" i="1"/>
  <c r="L150" i="1"/>
  <c r="W167" i="1"/>
  <c r="X167" i="1" s="1"/>
  <c r="F19" i="12"/>
  <c r="H19" i="12" s="1"/>
  <c r="F19" i="4"/>
  <c r="H150" i="1"/>
  <c r="V5" i="1"/>
  <c r="H175" i="1"/>
  <c r="W175" i="1" s="1"/>
  <c r="X175" i="1" s="1"/>
  <c r="H169" i="1"/>
  <c r="Q150" i="1"/>
  <c r="V143" i="1"/>
  <c r="V77" i="1"/>
  <c r="F150" i="1"/>
  <c r="T200" i="1"/>
  <c r="K200" i="1"/>
  <c r="W168" i="1"/>
  <c r="X168" i="1" s="1"/>
  <c r="P200" i="1"/>
  <c r="R200" i="1"/>
  <c r="W171" i="1"/>
  <c r="X171" i="1" s="1"/>
  <c r="L200" i="1"/>
  <c r="S200" i="1"/>
  <c r="N200" i="1"/>
  <c r="O200" i="1"/>
  <c r="J200" i="1"/>
  <c r="F21" i="12" l="1"/>
  <c r="H21" i="12" s="1"/>
  <c r="F21" i="4"/>
  <c r="F27" i="12"/>
  <c r="H27" i="12" s="1"/>
  <c r="F27" i="4"/>
  <c r="H27" i="4" s="1"/>
  <c r="V150" i="1"/>
  <c r="W21" i="1" s="1"/>
  <c r="W169" i="1"/>
  <c r="X169" i="1" s="1"/>
  <c r="H173" i="1"/>
  <c r="H170" i="1"/>
  <c r="H172" i="1"/>
  <c r="H176" i="1"/>
  <c r="H174" i="1"/>
  <c r="W143" i="1" l="1"/>
  <c r="W48" i="1"/>
  <c r="W9" i="1"/>
  <c r="W30" i="1"/>
  <c r="W84" i="1"/>
  <c r="W124" i="1"/>
  <c r="W54" i="1"/>
  <c r="W64" i="1"/>
  <c r="W104" i="1"/>
  <c r="W103" i="1"/>
  <c r="W55" i="1"/>
  <c r="W107" i="1"/>
  <c r="W131" i="1"/>
  <c r="W130" i="1"/>
  <c r="W140" i="1"/>
  <c r="W91" i="1"/>
  <c r="W18" i="1"/>
  <c r="W5" i="1"/>
  <c r="W87" i="1"/>
  <c r="W137" i="1"/>
  <c r="W15" i="1"/>
  <c r="W61" i="1"/>
  <c r="W81" i="1"/>
  <c r="W51" i="1"/>
  <c r="W58" i="1"/>
  <c r="W33" i="1"/>
  <c r="W117" i="1"/>
  <c r="W94" i="1"/>
  <c r="W74" i="1"/>
  <c r="W127" i="1"/>
  <c r="W71" i="1"/>
  <c r="W114" i="1"/>
  <c r="W110" i="1"/>
  <c r="W42" i="1"/>
  <c r="W97" i="1"/>
  <c r="W77" i="1"/>
  <c r="W121" i="1"/>
  <c r="W111" i="1"/>
  <c r="W36" i="1"/>
  <c r="W12" i="1"/>
  <c r="F28" i="12"/>
  <c r="H28" i="12" s="1"/>
  <c r="F28" i="4"/>
  <c r="H28" i="4" s="1"/>
  <c r="F25" i="12"/>
  <c r="H25" i="12" s="1"/>
  <c r="F25" i="4"/>
  <c r="H25" i="4" s="1"/>
  <c r="F26" i="12"/>
  <c r="H26" i="12" s="1"/>
  <c r="F26" i="4"/>
  <c r="H26" i="4" s="1"/>
  <c r="W27" i="1"/>
  <c r="W118" i="1"/>
  <c r="W90" i="1"/>
  <c r="W68" i="1"/>
  <c r="W24" i="1"/>
  <c r="W78" i="1"/>
  <c r="W67" i="1"/>
  <c r="F24" i="12"/>
  <c r="H24" i="12" s="1"/>
  <c r="F24" i="4"/>
  <c r="H24" i="4" s="1"/>
  <c r="F22" i="12"/>
  <c r="F22" i="4"/>
  <c r="W45" i="1"/>
  <c r="W100" i="1"/>
  <c r="W6" i="1"/>
  <c r="W39" i="1"/>
  <c r="W134" i="1"/>
  <c r="W176" i="1"/>
  <c r="X176" i="1" s="1"/>
  <c r="W170" i="1"/>
  <c r="X170" i="1" s="1"/>
  <c r="X177" i="1" s="1"/>
  <c r="W172" i="1"/>
  <c r="X172" i="1" s="1"/>
  <c r="W173" i="1"/>
  <c r="X173" i="1" s="1"/>
  <c r="W174" i="1"/>
  <c r="X174" i="1" s="1"/>
  <c r="X150" i="1" l="1"/>
  <c r="Z169" i="1"/>
  <c r="Z176" i="1"/>
  <c r="Z168" i="1"/>
  <c r="Z175" i="1"/>
  <c r="Z174" i="1"/>
  <c r="Z173" i="1"/>
  <c r="Z172" i="1"/>
  <c r="Z171" i="1"/>
  <c r="Z170" i="1"/>
  <c r="Z167" i="1"/>
  <c r="H22" i="12"/>
  <c r="I26" i="12" s="1"/>
  <c r="P9" i="12" s="1"/>
  <c r="F29" i="12"/>
  <c r="H22" i="4"/>
  <c r="K28" i="4" s="1"/>
  <c r="O11" i="4" s="1"/>
  <c r="F29" i="4"/>
  <c r="K25" i="4"/>
  <c r="O8" i="4" s="1"/>
  <c r="W177" i="1"/>
  <c r="K25" i="12" l="1"/>
  <c r="O8" i="12" s="1"/>
  <c r="I24" i="12"/>
  <c r="P7" i="12" s="1"/>
  <c r="I25" i="4"/>
  <c r="P8" i="4" s="1"/>
  <c r="I28" i="12"/>
  <c r="P11" i="12" s="1"/>
  <c r="K26" i="4"/>
  <c r="O9" i="4" s="1"/>
  <c r="I26" i="4"/>
  <c r="P9" i="4" s="1"/>
  <c r="I24" i="4"/>
  <c r="P7" i="4" s="1"/>
  <c r="I25" i="12"/>
  <c r="P8" i="12" s="1"/>
  <c r="K24" i="4"/>
  <c r="O7" i="4" s="1"/>
  <c r="G183" i="1"/>
  <c r="D183" i="1"/>
  <c r="E183" i="1"/>
  <c r="F183" i="1"/>
  <c r="H183" i="1"/>
  <c r="K28" i="12"/>
  <c r="O11" i="12" s="1"/>
  <c r="G184" i="1"/>
  <c r="E184" i="1"/>
  <c r="F184" i="1"/>
  <c r="D184" i="1"/>
  <c r="H184" i="1"/>
  <c r="E186" i="1"/>
  <c r="F186" i="1"/>
  <c r="G186" i="1"/>
  <c r="D186" i="1"/>
  <c r="H186" i="1"/>
  <c r="I28" i="4"/>
  <c r="P11" i="4" s="1"/>
  <c r="G187" i="1"/>
  <c r="D187" i="1"/>
  <c r="F187" i="1"/>
  <c r="E187" i="1"/>
  <c r="H187" i="1"/>
  <c r="G185" i="1"/>
  <c r="F185" i="1"/>
  <c r="D185" i="1"/>
  <c r="E185" i="1"/>
  <c r="H185" i="1"/>
  <c r="K22" i="12"/>
  <c r="O5" i="12" s="1"/>
  <c r="I22" i="12"/>
  <c r="P5" i="12" s="1"/>
  <c r="K21" i="12"/>
  <c r="O4" i="12" s="1"/>
  <c r="I23" i="12"/>
  <c r="P6" i="12" s="1"/>
  <c r="I21" i="12"/>
  <c r="P4" i="12" s="1"/>
  <c r="K20" i="12"/>
  <c r="O3" i="12" s="1"/>
  <c r="K19" i="12"/>
  <c r="O2" i="12" s="1"/>
  <c r="I20" i="12"/>
  <c r="P3" i="12" s="1"/>
  <c r="K27" i="12"/>
  <c r="O10" i="12" s="1"/>
  <c r="I27" i="12"/>
  <c r="P10" i="12" s="1"/>
  <c r="I19" i="12"/>
  <c r="P2" i="12" s="1"/>
  <c r="K23" i="12"/>
  <c r="O6" i="12" s="1"/>
  <c r="K26" i="12"/>
  <c r="O9" i="12" s="1"/>
  <c r="D180" i="1"/>
  <c r="F180" i="1"/>
  <c r="E180" i="1"/>
  <c r="G180" i="1"/>
  <c r="H180" i="1"/>
  <c r="E179" i="1"/>
  <c r="F179" i="1"/>
  <c r="Z177" i="1"/>
  <c r="G179" i="1"/>
  <c r="H179" i="1"/>
  <c r="F188" i="1"/>
  <c r="D188" i="1"/>
  <c r="G188" i="1"/>
  <c r="E188" i="1"/>
  <c r="H188" i="1"/>
  <c r="K24" i="12"/>
  <c r="O7" i="12" s="1"/>
  <c r="K22" i="4"/>
  <c r="O5" i="4" s="1"/>
  <c r="I22" i="4"/>
  <c r="P5" i="4" s="1"/>
  <c r="I20" i="4"/>
  <c r="P3" i="4" s="1"/>
  <c r="I19" i="4"/>
  <c r="P2" i="4" s="1"/>
  <c r="I21" i="4"/>
  <c r="P4" i="4" s="1"/>
  <c r="K23" i="4"/>
  <c r="O6" i="4" s="1"/>
  <c r="K21" i="4"/>
  <c r="O4" i="4" s="1"/>
  <c r="K19" i="4"/>
  <c r="O2" i="4" s="1"/>
  <c r="I23" i="4"/>
  <c r="P6" i="4" s="1"/>
  <c r="I27" i="4"/>
  <c r="P10" i="4" s="1"/>
  <c r="K20" i="4"/>
  <c r="O3" i="4" s="1"/>
  <c r="K27" i="4"/>
  <c r="O10" i="4" s="1"/>
  <c r="F182" i="1"/>
  <c r="G182" i="1"/>
  <c r="D182" i="1"/>
  <c r="E182" i="1"/>
  <c r="H182" i="1"/>
  <c r="G181" i="1"/>
  <c r="D181" i="1"/>
  <c r="E181" i="1"/>
  <c r="F181" i="1"/>
  <c r="H181" i="1"/>
  <c r="D194" i="1" l="1"/>
  <c r="D6" i="3"/>
  <c r="D207" i="1"/>
  <c r="B7" i="9"/>
  <c r="B7" i="11"/>
  <c r="B7" i="8"/>
  <c r="B7" i="10"/>
  <c r="X182" i="1"/>
  <c r="W182" i="1"/>
  <c r="F13" i="8"/>
  <c r="F13" i="11"/>
  <c r="F13" i="9"/>
  <c r="H213" i="1"/>
  <c r="H200" i="1"/>
  <c r="F13" i="10"/>
  <c r="H12" i="3"/>
  <c r="D4" i="9"/>
  <c r="D4" i="11"/>
  <c r="D4" i="10"/>
  <c r="F3" i="3"/>
  <c r="F204" i="1"/>
  <c r="D4" i="8"/>
  <c r="F191" i="1"/>
  <c r="F9" i="3"/>
  <c r="D10" i="9"/>
  <c r="D10" i="8"/>
  <c r="D10" i="11"/>
  <c r="F197" i="1"/>
  <c r="D10" i="10"/>
  <c r="F210" i="1"/>
  <c r="F11" i="9"/>
  <c r="F11" i="8"/>
  <c r="H211" i="1"/>
  <c r="F11" i="10"/>
  <c r="F11" i="11"/>
  <c r="H198" i="1"/>
  <c r="H10" i="3"/>
  <c r="E209" i="1"/>
  <c r="C9" i="10"/>
  <c r="E196" i="1"/>
  <c r="E8" i="3"/>
  <c r="C9" i="11"/>
  <c r="C9" i="9"/>
  <c r="C9" i="8"/>
  <c r="F6" i="9"/>
  <c r="F6" i="10"/>
  <c r="F6" i="8"/>
  <c r="H5" i="3"/>
  <c r="F6" i="11"/>
  <c r="H206" i="1"/>
  <c r="H193" i="1"/>
  <c r="G6" i="3"/>
  <c r="E7" i="9"/>
  <c r="E7" i="10"/>
  <c r="E7" i="8"/>
  <c r="E7" i="11"/>
  <c r="G194" i="1"/>
  <c r="G207" i="1"/>
  <c r="E12" i="3"/>
  <c r="C13" i="9"/>
  <c r="C13" i="8"/>
  <c r="E200" i="1"/>
  <c r="C13" i="11"/>
  <c r="E213" i="1"/>
  <c r="C13" i="10"/>
  <c r="D204" i="1"/>
  <c r="B4" i="11"/>
  <c r="D3" i="3"/>
  <c r="B4" i="8"/>
  <c r="B4" i="9"/>
  <c r="B4" i="10"/>
  <c r="W179" i="1"/>
  <c r="X179" i="1"/>
  <c r="E10" i="11"/>
  <c r="G197" i="1"/>
  <c r="E10" i="10"/>
  <c r="G210" i="1"/>
  <c r="G9" i="3"/>
  <c r="E10" i="9"/>
  <c r="E10" i="8"/>
  <c r="D10" i="3"/>
  <c r="B11" i="9"/>
  <c r="B11" i="8"/>
  <c r="B11" i="11"/>
  <c r="B11" i="10"/>
  <c r="D211" i="1"/>
  <c r="D198" i="1"/>
  <c r="X186" i="1"/>
  <c r="W186" i="1"/>
  <c r="E9" i="8"/>
  <c r="E9" i="11"/>
  <c r="E9" i="10"/>
  <c r="G8" i="3"/>
  <c r="G196" i="1"/>
  <c r="E9" i="9"/>
  <c r="G209" i="1"/>
  <c r="F5" i="3"/>
  <c r="D6" i="9"/>
  <c r="D6" i="8"/>
  <c r="D6" i="11"/>
  <c r="F193" i="1"/>
  <c r="D6" i="10"/>
  <c r="F206" i="1"/>
  <c r="G213" i="1"/>
  <c r="G200" i="1"/>
  <c r="G12" i="3"/>
  <c r="E13" i="11"/>
  <c r="E13" i="9"/>
  <c r="E13" i="8"/>
  <c r="E13" i="10"/>
  <c r="C6" i="9"/>
  <c r="C6" i="8"/>
  <c r="E206" i="1"/>
  <c r="C6" i="11"/>
  <c r="C6" i="10"/>
  <c r="E5" i="3"/>
  <c r="E193" i="1"/>
  <c r="E11" i="3"/>
  <c r="E199" i="1"/>
  <c r="C12" i="9"/>
  <c r="E212" i="1"/>
  <c r="C12" i="8"/>
  <c r="C12" i="11"/>
  <c r="C12" i="10"/>
  <c r="D11" i="8"/>
  <c r="F10" i="3"/>
  <c r="D11" i="9"/>
  <c r="F211" i="1"/>
  <c r="D11" i="10"/>
  <c r="D11" i="11"/>
  <c r="F198" i="1"/>
  <c r="B6" i="10"/>
  <c r="D5" i="3"/>
  <c r="B6" i="8"/>
  <c r="D206" i="1"/>
  <c r="B6" i="11"/>
  <c r="D193" i="1"/>
  <c r="B6" i="9"/>
  <c r="W181" i="1"/>
  <c r="X181" i="1"/>
  <c r="D13" i="8"/>
  <c r="F213" i="1"/>
  <c r="F12" i="3"/>
  <c r="D13" i="11"/>
  <c r="F200" i="1"/>
  <c r="D13" i="9"/>
  <c r="D13" i="10"/>
  <c r="E5" i="9"/>
  <c r="E5" i="8"/>
  <c r="E5" i="11"/>
  <c r="G205" i="1"/>
  <c r="E5" i="10"/>
  <c r="G192" i="1"/>
  <c r="G4" i="3"/>
  <c r="F199" i="1"/>
  <c r="D12" i="11"/>
  <c r="D12" i="10"/>
  <c r="F212" i="1"/>
  <c r="D12" i="8"/>
  <c r="F11" i="3"/>
  <c r="D12" i="9"/>
  <c r="C11" i="10"/>
  <c r="E211" i="1"/>
  <c r="E10" i="3"/>
  <c r="E198" i="1"/>
  <c r="C11" i="9"/>
  <c r="C11" i="8"/>
  <c r="C11" i="11"/>
  <c r="F208" i="1"/>
  <c r="D8" i="10"/>
  <c r="F195" i="1"/>
  <c r="D8" i="8"/>
  <c r="D8" i="11"/>
  <c r="D8" i="9"/>
  <c r="F7" i="3"/>
  <c r="D7" i="8"/>
  <c r="F6" i="3"/>
  <c r="D7" i="11"/>
  <c r="D7" i="9"/>
  <c r="F207" i="1"/>
  <c r="D7" i="10"/>
  <c r="F194" i="1"/>
  <c r="F5" i="8"/>
  <c r="F5" i="11"/>
  <c r="H205" i="1"/>
  <c r="H192" i="1"/>
  <c r="H4" i="3"/>
  <c r="F5" i="9"/>
  <c r="F5" i="10"/>
  <c r="H195" i="1"/>
  <c r="F8" i="9"/>
  <c r="F8" i="10"/>
  <c r="F8" i="11"/>
  <c r="H7" i="3"/>
  <c r="H208" i="1"/>
  <c r="F8" i="8"/>
  <c r="G5" i="3"/>
  <c r="E6" i="9"/>
  <c r="E6" i="10"/>
  <c r="E6" i="8"/>
  <c r="E6" i="11"/>
  <c r="G206" i="1"/>
  <c r="G193" i="1"/>
  <c r="H3" i="3"/>
  <c r="H191" i="1"/>
  <c r="F4" i="9"/>
  <c r="F4" i="8"/>
  <c r="F4" i="10"/>
  <c r="F4" i="11"/>
  <c r="H204" i="1"/>
  <c r="E192" i="1"/>
  <c r="C5" i="8"/>
  <c r="C5" i="11"/>
  <c r="C5" i="10"/>
  <c r="E4" i="3"/>
  <c r="C5" i="9"/>
  <c r="E205" i="1"/>
  <c r="F10" i="10"/>
  <c r="H197" i="1"/>
  <c r="F10" i="11"/>
  <c r="H9" i="3"/>
  <c r="F10" i="9"/>
  <c r="F10" i="8"/>
  <c r="H210" i="1"/>
  <c r="B12" i="9"/>
  <c r="B12" i="8"/>
  <c r="B12" i="11"/>
  <c r="B12" i="10"/>
  <c r="D212" i="1"/>
  <c r="D11" i="3"/>
  <c r="D199" i="1"/>
  <c r="X187" i="1"/>
  <c r="W187" i="1"/>
  <c r="H8" i="3"/>
  <c r="F9" i="11"/>
  <c r="F9" i="9"/>
  <c r="H209" i="1"/>
  <c r="F9" i="8"/>
  <c r="H196" i="1"/>
  <c r="F9" i="10"/>
  <c r="C8" i="11"/>
  <c r="C8" i="10"/>
  <c r="C8" i="8"/>
  <c r="E7" i="3"/>
  <c r="C8" i="9"/>
  <c r="E195" i="1"/>
  <c r="E208" i="1"/>
  <c r="E11" i="8"/>
  <c r="E11" i="11"/>
  <c r="E11" i="10"/>
  <c r="G198" i="1"/>
  <c r="G211" i="1"/>
  <c r="G10" i="3"/>
  <c r="E11" i="9"/>
  <c r="D213" i="1"/>
  <c r="B13" i="10"/>
  <c r="D12" i="3"/>
  <c r="B13" i="9"/>
  <c r="B13" i="8"/>
  <c r="D200" i="1"/>
  <c r="B13" i="11"/>
  <c r="X188" i="1"/>
  <c r="W188" i="1"/>
  <c r="G204" i="1"/>
  <c r="E4" i="10"/>
  <c r="G3" i="3"/>
  <c r="G191" i="1"/>
  <c r="E4" i="9"/>
  <c r="E4" i="8"/>
  <c r="E4" i="11"/>
  <c r="F192" i="1"/>
  <c r="D5" i="11"/>
  <c r="D5" i="10"/>
  <c r="D5" i="9"/>
  <c r="F205" i="1"/>
  <c r="D5" i="8"/>
  <c r="F4" i="3"/>
  <c r="E9" i="3"/>
  <c r="C10" i="9"/>
  <c r="C10" i="8"/>
  <c r="E197" i="1"/>
  <c r="E210" i="1"/>
  <c r="C10" i="11"/>
  <c r="C10" i="10"/>
  <c r="E12" i="10"/>
  <c r="G11" i="3"/>
  <c r="E12" i="9"/>
  <c r="G212" i="1"/>
  <c r="E12" i="8"/>
  <c r="G199" i="1"/>
  <c r="E12" i="11"/>
  <c r="B9" i="8"/>
  <c r="D209" i="1"/>
  <c r="D196" i="1"/>
  <c r="B9" i="11"/>
  <c r="B9" i="10"/>
  <c r="D8" i="3"/>
  <c r="B9" i="9"/>
  <c r="X184" i="1"/>
  <c r="W184" i="1"/>
  <c r="B8" i="10"/>
  <c r="B8" i="11"/>
  <c r="B8" i="8"/>
  <c r="D7" i="3"/>
  <c r="D208" i="1"/>
  <c r="B8" i="9"/>
  <c r="D195" i="1"/>
  <c r="X183" i="1"/>
  <c r="W183" i="1"/>
  <c r="C4" i="8"/>
  <c r="E3" i="3"/>
  <c r="C4" i="9"/>
  <c r="C4" i="10"/>
  <c r="C4" i="11"/>
  <c r="E191" i="1"/>
  <c r="E204" i="1"/>
  <c r="H199" i="1"/>
  <c r="F12" i="9"/>
  <c r="F12" i="11"/>
  <c r="H11" i="3"/>
  <c r="F12" i="8"/>
  <c r="F12" i="10"/>
  <c r="H212" i="1"/>
  <c r="F7" i="9"/>
  <c r="F7" i="10"/>
  <c r="F7" i="8"/>
  <c r="H6" i="3"/>
  <c r="H207" i="1"/>
  <c r="F7" i="11"/>
  <c r="H194" i="1"/>
  <c r="E6" i="3"/>
  <c r="E207" i="1"/>
  <c r="C7" i="11"/>
  <c r="E194" i="1"/>
  <c r="C7" i="10"/>
  <c r="C7" i="9"/>
  <c r="C7" i="8"/>
  <c r="D205" i="1"/>
  <c r="B5" i="11"/>
  <c r="B5" i="10"/>
  <c r="D4" i="3"/>
  <c r="B5" i="9"/>
  <c r="B5" i="8"/>
  <c r="D192" i="1"/>
  <c r="X180" i="1"/>
  <c r="W180" i="1"/>
  <c r="D9" i="3"/>
  <c r="D210" i="1"/>
  <c r="D197" i="1"/>
  <c r="B10" i="11"/>
  <c r="B10" i="8"/>
  <c r="B10" i="10"/>
  <c r="B10" i="9"/>
  <c r="W185" i="1"/>
  <c r="X185" i="1"/>
  <c r="D9" i="10"/>
  <c r="F209" i="1"/>
  <c r="F196" i="1"/>
  <c r="F8" i="3"/>
  <c r="D9" i="8"/>
  <c r="D9" i="9"/>
  <c r="D9" i="11"/>
  <c r="E8" i="10"/>
  <c r="G208" i="1"/>
  <c r="G7" i="3"/>
  <c r="G195" i="1"/>
  <c r="E8" i="9"/>
  <c r="E8" i="8"/>
  <c r="E8" i="11"/>
  <c r="F21" i="3" l="1"/>
  <c r="F32" i="3" s="1"/>
  <c r="H19" i="3"/>
  <c r="H30" i="3" s="1"/>
  <c r="V191" i="1"/>
  <c r="V196" i="1"/>
  <c r="D17" i="3"/>
  <c r="D28" i="3" s="1"/>
  <c r="D16" i="3"/>
  <c r="D27" i="3" s="1"/>
  <c r="E16" i="3"/>
  <c r="E27" i="3" s="1"/>
  <c r="G20" i="3"/>
  <c r="G31" i="3" s="1"/>
  <c r="V194" i="1"/>
  <c r="X23" i="10"/>
  <c r="X24" i="10"/>
  <c r="E17" i="3"/>
  <c r="E28" i="3" s="1"/>
  <c r="F20" i="3"/>
  <c r="F31" i="3" s="1"/>
  <c r="F25" i="3"/>
  <c r="F36" i="3" s="1"/>
  <c r="H18" i="3"/>
  <c r="H29" i="3" s="1"/>
  <c r="X24" i="8"/>
  <c r="F22" i="3"/>
  <c r="F33" i="3" s="1"/>
  <c r="H25" i="3"/>
  <c r="H36" i="3" s="1"/>
  <c r="G24" i="3"/>
  <c r="G35" i="3" s="1"/>
  <c r="E22" i="3"/>
  <c r="E33" i="3" s="1"/>
  <c r="D24" i="3"/>
  <c r="D35" i="3" s="1"/>
  <c r="V195" i="1"/>
  <c r="F23" i="3"/>
  <c r="F34" i="3" s="1"/>
  <c r="E24" i="3"/>
  <c r="E35" i="3" s="1"/>
  <c r="G22" i="3"/>
  <c r="G33" i="3" s="1"/>
  <c r="X23" i="9"/>
  <c r="X24" i="9"/>
  <c r="V199" i="1"/>
  <c r="H22" i="3"/>
  <c r="H33" i="3" s="1"/>
  <c r="E20" i="3"/>
  <c r="E31" i="3" s="1"/>
  <c r="H16" i="3"/>
  <c r="H27" i="3" s="1"/>
  <c r="E23" i="3"/>
  <c r="E34" i="3" s="1"/>
  <c r="E18" i="3"/>
  <c r="E29" i="3" s="1"/>
  <c r="H23" i="3"/>
  <c r="H34" i="3" s="1"/>
  <c r="V213" i="1"/>
  <c r="G21" i="3"/>
  <c r="G32" i="3" s="1"/>
  <c r="V200" i="1"/>
  <c r="D22" i="3"/>
  <c r="D33" i="3" s="1"/>
  <c r="E19" i="3"/>
  <c r="E30" i="3" s="1"/>
  <c r="V212" i="1"/>
  <c r="V197" i="1"/>
  <c r="V208" i="1"/>
  <c r="H17" i="3"/>
  <c r="H28" i="3" s="1"/>
  <c r="X24" i="11"/>
  <c r="G19" i="3"/>
  <c r="G30" i="3" s="1"/>
  <c r="V198" i="1"/>
  <c r="F16" i="3"/>
  <c r="F27" i="3" s="1"/>
  <c r="G23" i="3"/>
  <c r="G34" i="3" s="1"/>
  <c r="G18" i="3"/>
  <c r="G29" i="3" s="1"/>
  <c r="G16" i="3"/>
  <c r="G27" i="3" s="1"/>
  <c r="H21" i="3"/>
  <c r="H32" i="3" s="1"/>
  <c r="V204" i="1"/>
  <c r="H20" i="3"/>
  <c r="H31" i="3" s="1"/>
  <c r="V192" i="1"/>
  <c r="G17" i="3"/>
  <c r="G28" i="3" s="1"/>
  <c r="G25" i="3"/>
  <c r="G36" i="3" s="1"/>
  <c r="E25" i="3"/>
  <c r="E36" i="3" s="1"/>
  <c r="V193" i="1"/>
  <c r="X23" i="11"/>
  <c r="V209" i="1"/>
  <c r="D18" i="3"/>
  <c r="D29" i="3" s="1"/>
  <c r="D21" i="3"/>
  <c r="D32" i="3" s="1"/>
  <c r="D25" i="3"/>
  <c r="D36" i="3" s="1"/>
  <c r="V205" i="1"/>
  <c r="F19" i="3"/>
  <c r="F30" i="3" s="1"/>
  <c r="F18" i="3"/>
  <c r="F29" i="3" s="1"/>
  <c r="D23" i="3"/>
  <c r="D34" i="3" s="1"/>
  <c r="V206" i="1"/>
  <c r="D19" i="3"/>
  <c r="D30" i="3" s="1"/>
  <c r="F17" i="3"/>
  <c r="F28" i="3" s="1"/>
  <c r="X23" i="8"/>
  <c r="V207" i="1"/>
  <c r="H24" i="3"/>
  <c r="H35" i="3" s="1"/>
  <c r="D20" i="3"/>
  <c r="D31" i="3" s="1"/>
  <c r="V210" i="1"/>
  <c r="F24" i="3"/>
  <c r="F35" i="3" s="1"/>
  <c r="E21" i="3"/>
  <c r="E32" i="3" s="1"/>
  <c r="V211" i="1"/>
  <c r="Y194" i="1" l="1"/>
  <c r="U24" i="11"/>
  <c r="U24" i="10"/>
  <c r="E40" i="3"/>
  <c r="Y193" i="1"/>
  <c r="B4" i="4" s="1"/>
  <c r="D39" i="3"/>
  <c r="Y208" i="1"/>
  <c r="B5" i="4"/>
  <c r="B5" i="12"/>
  <c r="U26" i="11"/>
  <c r="Y207" i="1"/>
  <c r="G39" i="3"/>
  <c r="G40" i="3"/>
  <c r="Y213" i="1"/>
  <c r="Y211" i="1"/>
  <c r="Y205" i="1"/>
  <c r="Y197" i="1"/>
  <c r="E39" i="3"/>
  <c r="Y195" i="1"/>
  <c r="U26" i="10"/>
  <c r="Y212" i="1"/>
  <c r="Y192" i="1"/>
  <c r="F40" i="3"/>
  <c r="F39" i="3"/>
  <c r="Y199" i="1"/>
  <c r="U24" i="8"/>
  <c r="U26" i="8"/>
  <c r="H39" i="3"/>
  <c r="H40" i="3"/>
  <c r="Y210" i="1"/>
  <c r="Y206" i="1"/>
  <c r="Y198" i="1"/>
  <c r="Y191" i="1"/>
  <c r="B2" i="4" s="1"/>
  <c r="V201" i="1"/>
  <c r="Y209" i="1"/>
  <c r="Y204" i="1"/>
  <c r="V214" i="1"/>
  <c r="Y200" i="1"/>
  <c r="D40" i="3"/>
  <c r="U26" i="9"/>
  <c r="U24" i="9"/>
  <c r="Y196" i="1"/>
  <c r="V27" i="3" l="1"/>
  <c r="W27" i="3"/>
  <c r="X27" i="3" s="1"/>
  <c r="Z204" i="1"/>
  <c r="W33" i="3"/>
  <c r="V32" i="3"/>
  <c r="B4" i="12"/>
  <c r="D28" i="10"/>
  <c r="B19" i="10"/>
  <c r="W32" i="3"/>
  <c r="Z207" i="1"/>
  <c r="Z206" i="1"/>
  <c r="B11" i="4"/>
  <c r="B11" i="12"/>
  <c r="Z200" i="1"/>
  <c r="B9" i="4"/>
  <c r="B9" i="12"/>
  <c r="Z198" i="1"/>
  <c r="W36" i="3"/>
  <c r="B8" i="4"/>
  <c r="B8" i="12"/>
  <c r="Z197" i="1"/>
  <c r="B10" i="4"/>
  <c r="B10" i="12"/>
  <c r="Z199" i="1"/>
  <c r="W30" i="3"/>
  <c r="Z205" i="1"/>
  <c r="W29" i="3"/>
  <c r="Z213" i="1"/>
  <c r="C24" i="9"/>
  <c r="C20" i="9"/>
  <c r="E23" i="9"/>
  <c r="F24" i="9"/>
  <c r="F28" i="9"/>
  <c r="E19" i="9"/>
  <c r="B24" i="9"/>
  <c r="F23" i="9"/>
  <c r="B25" i="9"/>
  <c r="D22" i="9"/>
  <c r="D26" i="9"/>
  <c r="B27" i="9"/>
  <c r="C21" i="9"/>
  <c r="E20" i="9"/>
  <c r="E22" i="9"/>
  <c r="B23" i="9"/>
  <c r="C26" i="9"/>
  <c r="B19" i="9"/>
  <c r="F27" i="9"/>
  <c r="E21" i="9"/>
  <c r="C28" i="9"/>
  <c r="D28" i="9"/>
  <c r="C27" i="9"/>
  <c r="B22" i="9"/>
  <c r="E28" i="9"/>
  <c r="B21" i="9"/>
  <c r="F25" i="9"/>
  <c r="C25" i="9"/>
  <c r="D19" i="9"/>
  <c r="D23" i="9"/>
  <c r="D20" i="9"/>
  <c r="E26" i="9"/>
  <c r="E24" i="9"/>
  <c r="B26" i="9"/>
  <c r="C23" i="9"/>
  <c r="D25" i="9"/>
  <c r="C19" i="9"/>
  <c r="D24" i="9"/>
  <c r="C22" i="9"/>
  <c r="F20" i="9"/>
  <c r="F19" i="9"/>
  <c r="F22" i="9"/>
  <c r="B28" i="9"/>
  <c r="B20" i="9"/>
  <c r="F26" i="9"/>
  <c r="E25" i="9"/>
  <c r="D21" i="9"/>
  <c r="E27" i="9"/>
  <c r="D27" i="9"/>
  <c r="F21" i="9"/>
  <c r="Z210" i="1"/>
  <c r="B3" i="4"/>
  <c r="B3" i="12"/>
  <c r="Z192" i="1"/>
  <c r="Z208" i="1"/>
  <c r="W28" i="3"/>
  <c r="W34" i="3"/>
  <c r="Z211" i="1"/>
  <c r="Z209" i="1"/>
  <c r="B2" i="12"/>
  <c r="Z191" i="1"/>
  <c r="V33" i="3"/>
  <c r="C22" i="10"/>
  <c r="B21" i="10"/>
  <c r="B20" i="10"/>
  <c r="F27" i="10"/>
  <c r="E25" i="10"/>
  <c r="D24" i="10"/>
  <c r="C27" i="10"/>
  <c r="C26" i="10"/>
  <c r="D25" i="10"/>
  <c r="B28" i="10"/>
  <c r="D27" i="10"/>
  <c r="E27" i="10"/>
  <c r="B22" i="10"/>
  <c r="F22" i="10"/>
  <c r="E24" i="10"/>
  <c r="B27" i="10"/>
  <c r="C24" i="10"/>
  <c r="D22" i="10"/>
  <c r="C20" i="10"/>
  <c r="C19" i="10"/>
  <c r="E28" i="10"/>
  <c r="E26" i="10"/>
  <c r="F19" i="10"/>
  <c r="F21" i="10"/>
  <c r="C23" i="10"/>
  <c r="B23" i="10"/>
  <c r="D23" i="10"/>
  <c r="D21" i="10"/>
  <c r="D20" i="10"/>
  <c r="E19" i="10"/>
  <c r="D26" i="10"/>
  <c r="F23" i="10"/>
  <c r="C28" i="10"/>
  <c r="B26" i="10"/>
  <c r="F28" i="10"/>
  <c r="B25" i="10"/>
  <c r="E22" i="10"/>
  <c r="C21" i="10"/>
  <c r="D19" i="10"/>
  <c r="B24" i="10"/>
  <c r="E21" i="10"/>
  <c r="F26" i="10"/>
  <c r="F25" i="10"/>
  <c r="E20" i="10"/>
  <c r="F20" i="10"/>
  <c r="E23" i="10"/>
  <c r="F24" i="10"/>
  <c r="C25" i="10"/>
  <c r="Z194" i="1"/>
  <c r="B7" i="4"/>
  <c r="B7" i="12"/>
  <c r="Z196" i="1"/>
  <c r="W31" i="3"/>
  <c r="W35" i="3"/>
  <c r="B6" i="4"/>
  <c r="B6" i="12"/>
  <c r="Z195" i="1"/>
  <c r="F20" i="11"/>
  <c r="F22" i="11"/>
  <c r="F25" i="11"/>
  <c r="D22" i="11"/>
  <c r="B19" i="11"/>
  <c r="C21" i="11"/>
  <c r="F23" i="11"/>
  <c r="C27" i="11"/>
  <c r="D28" i="11"/>
  <c r="E25" i="11"/>
  <c r="D21" i="11"/>
  <c r="D25" i="11"/>
  <c r="C19" i="11"/>
  <c r="D19" i="11"/>
  <c r="D20" i="11"/>
  <c r="B27" i="11"/>
  <c r="E24" i="11"/>
  <c r="B22" i="11"/>
  <c r="B24" i="11"/>
  <c r="D27" i="11"/>
  <c r="C20" i="11"/>
  <c r="E28" i="11"/>
  <c r="C24" i="11"/>
  <c r="F19" i="11"/>
  <c r="B26" i="11"/>
  <c r="E21" i="11"/>
  <c r="E22" i="11"/>
  <c r="D24" i="11"/>
  <c r="B21" i="11"/>
  <c r="D23" i="11"/>
  <c r="E23" i="11"/>
  <c r="C26" i="11"/>
  <c r="E26" i="11"/>
  <c r="F26" i="11"/>
  <c r="B20" i="11"/>
  <c r="F28" i="11"/>
  <c r="E20" i="11"/>
  <c r="E27" i="11"/>
  <c r="B23" i="11"/>
  <c r="C25" i="11"/>
  <c r="F24" i="11"/>
  <c r="E19" i="11"/>
  <c r="C23" i="11"/>
  <c r="B28" i="11"/>
  <c r="C28" i="11"/>
  <c r="B25" i="11"/>
  <c r="D26" i="11"/>
  <c r="F21" i="11"/>
  <c r="F27" i="11"/>
  <c r="C22" i="11"/>
  <c r="V30" i="3"/>
  <c r="V36" i="3"/>
  <c r="V34" i="3"/>
  <c r="V28" i="3"/>
  <c r="V35" i="3"/>
  <c r="V31" i="3"/>
  <c r="V29" i="3"/>
  <c r="B24" i="8"/>
  <c r="C25" i="8"/>
  <c r="E27" i="8"/>
  <c r="F25" i="8"/>
  <c r="E19" i="8"/>
  <c r="F24" i="8"/>
  <c r="B22" i="8"/>
  <c r="E23" i="8"/>
  <c r="E28" i="8"/>
  <c r="E24" i="8"/>
  <c r="B19" i="8"/>
  <c r="D23" i="8"/>
  <c r="E20" i="8"/>
  <c r="C22" i="8"/>
  <c r="C23" i="8"/>
  <c r="D22" i="8"/>
  <c r="D20" i="8"/>
  <c r="D21" i="8"/>
  <c r="D28" i="8"/>
  <c r="F20" i="8"/>
  <c r="C28" i="8"/>
  <c r="C19" i="8"/>
  <c r="D24" i="8"/>
  <c r="F22" i="8"/>
  <c r="E26" i="8"/>
  <c r="B20" i="8"/>
  <c r="F19" i="8"/>
  <c r="C21" i="8"/>
  <c r="D27" i="8"/>
  <c r="E22" i="8"/>
  <c r="B25" i="8"/>
  <c r="B28" i="8"/>
  <c r="F21" i="8"/>
  <c r="B26" i="8"/>
  <c r="C26" i="8"/>
  <c r="B27" i="8"/>
  <c r="C20" i="8"/>
  <c r="C27" i="8"/>
  <c r="F27" i="8"/>
  <c r="B23" i="8"/>
  <c r="E25" i="8"/>
  <c r="F28" i="8"/>
  <c r="D26" i="8"/>
  <c r="E21" i="8"/>
  <c r="D19" i="8"/>
  <c r="F26" i="8"/>
  <c r="D25" i="8"/>
  <c r="B21" i="8"/>
  <c r="C24" i="8"/>
  <c r="F23" i="8"/>
  <c r="Z212" i="1"/>
  <c r="Z193" i="1"/>
  <c r="X33" i="3" l="1"/>
  <c r="X32" i="3"/>
  <c r="X35" i="3"/>
  <c r="X28" i="3"/>
  <c r="B13" i="12"/>
  <c r="X29" i="3"/>
  <c r="D54" i="11"/>
  <c r="D55" i="11" s="1"/>
  <c r="B45" i="11"/>
  <c r="B46" i="11" s="1"/>
  <c r="E45" i="11"/>
  <c r="E46" i="11" s="1"/>
  <c r="C48" i="11"/>
  <c r="C49" i="11" s="1"/>
  <c r="F45" i="11"/>
  <c r="F46" i="11" s="1"/>
  <c r="X36" i="3"/>
  <c r="D33" i="8"/>
  <c r="D34" i="8" s="1"/>
  <c r="E36" i="8"/>
  <c r="E37" i="8" s="1"/>
  <c r="X30" i="3"/>
  <c r="B33" i="10"/>
  <c r="B34" i="10" s="1"/>
  <c r="X31" i="3"/>
  <c r="C36" i="8"/>
  <c r="C37" i="8" s="1"/>
  <c r="E33" i="8"/>
  <c r="E34" i="8" s="1"/>
  <c r="B57" i="8"/>
  <c r="B58" i="8" s="1"/>
  <c r="F36" i="8"/>
  <c r="F37" i="8" s="1"/>
  <c r="F39" i="9"/>
  <c r="F40" i="9" s="1"/>
  <c r="B54" i="9"/>
  <c r="B55" i="9" s="1"/>
  <c r="D42" i="9"/>
  <c r="D43" i="9" s="1"/>
  <c r="C36" i="9"/>
  <c r="C37" i="9" s="1"/>
  <c r="S8" i="4"/>
  <c r="X34" i="3"/>
  <c r="E48" i="9"/>
  <c r="E49" i="9" s="1"/>
  <c r="U8" i="12"/>
  <c r="F54" i="10"/>
  <c r="F55" i="10" s="1"/>
  <c r="B54" i="10"/>
  <c r="B55" i="10" s="1"/>
  <c r="C60" i="10"/>
  <c r="C61" i="10" s="1"/>
  <c r="D42" i="10"/>
  <c r="D43" i="10" s="1"/>
  <c r="B45" i="10"/>
  <c r="B46" i="10" s="1"/>
  <c r="E39" i="10"/>
  <c r="E40" i="10" s="1"/>
  <c r="E39" i="8"/>
  <c r="E40" i="8" s="1"/>
  <c r="B51" i="11"/>
  <c r="B52" i="11" s="1"/>
  <c r="D42" i="8"/>
  <c r="D43" i="8" s="1"/>
  <c r="D51" i="8"/>
  <c r="D52" i="8" s="1"/>
  <c r="F57" i="8"/>
  <c r="F58" i="8" s="1"/>
  <c r="B51" i="8"/>
  <c r="B52" i="8" s="1"/>
  <c r="D48" i="8"/>
  <c r="D49" i="8" s="1"/>
  <c r="C45" i="8"/>
  <c r="C46" i="8" s="1"/>
  <c r="B42" i="8"/>
  <c r="B43" i="8" s="1"/>
  <c r="F57" i="11"/>
  <c r="F58" i="11" s="1"/>
  <c r="F48" i="11"/>
  <c r="F49" i="11" s="1"/>
  <c r="E54" i="11"/>
  <c r="E55" i="11" s="1"/>
  <c r="B54" i="11"/>
  <c r="B55" i="11" s="1"/>
  <c r="E48" i="11"/>
  <c r="E49" i="11" s="1"/>
  <c r="D60" i="11"/>
  <c r="D61" i="11" s="1"/>
  <c r="F36" i="11"/>
  <c r="F37" i="11" s="1"/>
  <c r="C7" i="4"/>
  <c r="C7" i="12"/>
  <c r="E36" i="10"/>
  <c r="E37" i="10" s="1"/>
  <c r="B51" i="10"/>
  <c r="B52" i="10" s="1"/>
  <c r="D39" i="10"/>
  <c r="D40" i="10" s="1"/>
  <c r="C33" i="10"/>
  <c r="C34" i="10" s="1"/>
  <c r="E57" i="10"/>
  <c r="E58" i="10" s="1"/>
  <c r="F57" i="10"/>
  <c r="F58" i="10" s="1"/>
  <c r="B36" i="9"/>
  <c r="B37" i="9" s="1"/>
  <c r="D51" i="9"/>
  <c r="D52" i="9" s="1"/>
  <c r="C51" i="9"/>
  <c r="C52" i="9" s="1"/>
  <c r="E39" i="9"/>
  <c r="E40" i="9" s="1"/>
  <c r="B57" i="9"/>
  <c r="B58" i="9" s="1"/>
  <c r="F48" i="9"/>
  <c r="F49" i="9" s="1"/>
  <c r="C10" i="4"/>
  <c r="C10" i="12"/>
  <c r="C9" i="4"/>
  <c r="C9" i="12"/>
  <c r="C39" i="8"/>
  <c r="C40" i="8" s="1"/>
  <c r="B39" i="8"/>
  <c r="B40" i="8" s="1"/>
  <c r="B60" i="8"/>
  <c r="B61" i="8" s="1"/>
  <c r="F42" i="8"/>
  <c r="F43" i="8" s="1"/>
  <c r="E45" i="8"/>
  <c r="E46" i="8" s="1"/>
  <c r="F54" i="8"/>
  <c r="F55" i="8" s="1"/>
  <c r="C57" i="8"/>
  <c r="C58" i="8" s="1"/>
  <c r="E42" i="8"/>
  <c r="E43" i="8" s="1"/>
  <c r="C33" i="8"/>
  <c r="C34" i="8" s="1"/>
  <c r="C42" i="8"/>
  <c r="C43" i="8" s="1"/>
  <c r="F48" i="8"/>
  <c r="F49" i="8" s="1"/>
  <c r="Y31" i="3"/>
  <c r="F39" i="11"/>
  <c r="F40" i="11" s="1"/>
  <c r="C51" i="11"/>
  <c r="C52" i="11" s="1"/>
  <c r="C54" i="11"/>
  <c r="C55" i="11" s="1"/>
  <c r="F33" i="11"/>
  <c r="F34" i="11" s="1"/>
  <c r="B57" i="11"/>
  <c r="B58" i="11" s="1"/>
  <c r="C57" i="11"/>
  <c r="C58" i="11" s="1"/>
  <c r="F51" i="10"/>
  <c r="F52" i="10" s="1"/>
  <c r="F60" i="10"/>
  <c r="F61" i="10" s="1"/>
  <c r="D45" i="10"/>
  <c r="D46" i="10" s="1"/>
  <c r="C36" i="10"/>
  <c r="C37" i="10" s="1"/>
  <c r="D57" i="10"/>
  <c r="D58" i="10" s="1"/>
  <c r="B60" i="9"/>
  <c r="B61" i="9" s="1"/>
  <c r="C45" i="9"/>
  <c r="C46" i="9" s="1"/>
  <c r="F51" i="9"/>
  <c r="F52" i="9" s="1"/>
  <c r="F57" i="9"/>
  <c r="F58" i="9" s="1"/>
  <c r="D54" i="9"/>
  <c r="D55" i="9" s="1"/>
  <c r="E45" i="9"/>
  <c r="E46" i="9" s="1"/>
  <c r="B60" i="10"/>
  <c r="B61" i="10" s="1"/>
  <c r="B36" i="10"/>
  <c r="B37" i="10" s="1"/>
  <c r="F42" i="9"/>
  <c r="F43" i="9" s="1"/>
  <c r="B39" i="9"/>
  <c r="B40" i="9" s="1"/>
  <c r="B33" i="9"/>
  <c r="B34" i="9" s="1"/>
  <c r="D36" i="11"/>
  <c r="D37" i="11" s="1"/>
  <c r="C4" i="4"/>
  <c r="C4" i="12"/>
  <c r="F51" i="8"/>
  <c r="F52" i="8" s="1"/>
  <c r="E60" i="11"/>
  <c r="E61" i="11" s="1"/>
  <c r="D33" i="11"/>
  <c r="D34" i="11" s="1"/>
  <c r="C39" i="11"/>
  <c r="C40" i="11" s="1"/>
  <c r="C5" i="4"/>
  <c r="C5" i="12"/>
  <c r="C45" i="10"/>
  <c r="C46" i="10" s="1"/>
  <c r="C48" i="10"/>
  <c r="C49" i="10" s="1"/>
  <c r="D51" i="10"/>
  <c r="D52" i="10" s="1"/>
  <c r="B39" i="10"/>
  <c r="B40" i="10" s="1"/>
  <c r="D57" i="9"/>
  <c r="D58" i="9" s="1"/>
  <c r="F33" i="9"/>
  <c r="F34" i="9" s="1"/>
  <c r="E60" i="9"/>
  <c r="E61" i="9" s="1"/>
  <c r="C54" i="9"/>
  <c r="C55" i="9" s="1"/>
  <c r="B51" i="9"/>
  <c r="B52" i="9" s="1"/>
  <c r="C48" i="9"/>
  <c r="C49" i="9" s="1"/>
  <c r="C11" i="4"/>
  <c r="C11" i="12"/>
  <c r="D57" i="8"/>
  <c r="D58" i="8" s="1"/>
  <c r="C6" i="4"/>
  <c r="C6" i="12"/>
  <c r="E57" i="11"/>
  <c r="E58" i="11" s="1"/>
  <c r="D54" i="8"/>
  <c r="D55" i="8" s="1"/>
  <c r="C54" i="8"/>
  <c r="C55" i="8" s="1"/>
  <c r="F33" i="8"/>
  <c r="F34" i="8" s="1"/>
  <c r="D60" i="8"/>
  <c r="D61" i="8" s="1"/>
  <c r="B33" i="8"/>
  <c r="B34" i="8" s="1"/>
  <c r="E57" i="8"/>
  <c r="E58" i="8" s="1"/>
  <c r="Z34" i="3"/>
  <c r="Y34" i="3"/>
  <c r="C60" i="11"/>
  <c r="C61" i="11" s="1"/>
  <c r="E36" i="11"/>
  <c r="E37" i="11" s="1"/>
  <c r="B39" i="11"/>
  <c r="B40" i="11" s="1"/>
  <c r="C36" i="11"/>
  <c r="C37" i="11" s="1"/>
  <c r="C33" i="11"/>
  <c r="C34" i="11" s="1"/>
  <c r="B33" i="11"/>
  <c r="B34" i="11" s="1"/>
  <c r="C51" i="10"/>
  <c r="C52" i="10" s="1"/>
  <c r="B48" i="10"/>
  <c r="B49" i="10" s="1"/>
  <c r="F45" i="10"/>
  <c r="F46" i="10" s="1"/>
  <c r="F39" i="10"/>
  <c r="F40" i="10" s="1"/>
  <c r="B57" i="10"/>
  <c r="B58" i="10" s="1"/>
  <c r="C54" i="10"/>
  <c r="C55" i="10" s="1"/>
  <c r="C42" i="10"/>
  <c r="C43" i="10" s="1"/>
  <c r="E57" i="9"/>
  <c r="E58" i="9" s="1"/>
  <c r="F36" i="9"/>
  <c r="F37" i="9" s="1"/>
  <c r="E54" i="9"/>
  <c r="E55" i="9" s="1"/>
  <c r="B42" i="9"/>
  <c r="B43" i="9" s="1"/>
  <c r="B45" i="9"/>
  <c r="B46" i="9" s="1"/>
  <c r="F45" i="9"/>
  <c r="F46" i="9" s="1"/>
  <c r="C8" i="4"/>
  <c r="C8" i="12"/>
  <c r="D45" i="11"/>
  <c r="D46" i="11" s="1"/>
  <c r="F45" i="8"/>
  <c r="F46" i="8" s="1"/>
  <c r="F60" i="8"/>
  <c r="F61" i="8" s="1"/>
  <c r="B54" i="8"/>
  <c r="B55" i="8" s="1"/>
  <c r="B36" i="8"/>
  <c r="B37" i="8" s="1"/>
  <c r="D39" i="8"/>
  <c r="D40" i="8" s="1"/>
  <c r="E48" i="8"/>
  <c r="E49" i="8" s="1"/>
  <c r="C51" i="8"/>
  <c r="C52" i="8" s="1"/>
  <c r="Z36" i="3"/>
  <c r="B60" i="11"/>
  <c r="B61" i="11" s="1"/>
  <c r="F60" i="11"/>
  <c r="F61" i="11" s="1"/>
  <c r="D48" i="11"/>
  <c r="D49" i="11" s="1"/>
  <c r="D57" i="11"/>
  <c r="D58" i="11" s="1"/>
  <c r="D51" i="11"/>
  <c r="D52" i="11" s="1"/>
  <c r="D42" i="11"/>
  <c r="D43" i="11" s="1"/>
  <c r="F48" i="10"/>
  <c r="F49" i="10" s="1"/>
  <c r="D33" i="10"/>
  <c r="D34" i="10" s="1"/>
  <c r="D54" i="10"/>
  <c r="D55" i="10" s="1"/>
  <c r="F33" i="10"/>
  <c r="F34" i="10" s="1"/>
  <c r="E48" i="10"/>
  <c r="E49" i="10" s="1"/>
  <c r="C57" i="10"/>
  <c r="C58" i="10" s="1"/>
  <c r="D60" i="10"/>
  <c r="D61" i="10" s="1"/>
  <c r="D39" i="9"/>
  <c r="D40" i="9" s="1"/>
  <c r="C42" i="9"/>
  <c r="C43" i="9" s="1"/>
  <c r="D36" i="9"/>
  <c r="D37" i="9" s="1"/>
  <c r="C57" i="9"/>
  <c r="C58" i="9" s="1"/>
  <c r="E42" i="9"/>
  <c r="E43" i="9" s="1"/>
  <c r="B48" i="9"/>
  <c r="B49" i="9" s="1"/>
  <c r="D45" i="8"/>
  <c r="D46" i="8" s="1"/>
  <c r="C48" i="8"/>
  <c r="C49" i="8" s="1"/>
  <c r="E51" i="8"/>
  <c r="E52" i="8" s="1"/>
  <c r="F39" i="8"/>
  <c r="F40" i="8" s="1"/>
  <c r="E54" i="8"/>
  <c r="E55" i="8" s="1"/>
  <c r="D36" i="8"/>
  <c r="D37" i="8" s="1"/>
  <c r="E60" i="8"/>
  <c r="E61" i="8" s="1"/>
  <c r="B48" i="8"/>
  <c r="B49" i="8" s="1"/>
  <c r="C45" i="11"/>
  <c r="C46" i="11" s="1"/>
  <c r="B36" i="11"/>
  <c r="E42" i="11"/>
  <c r="E43" i="11" s="1"/>
  <c r="B48" i="11"/>
  <c r="B49" i="11" s="1"/>
  <c r="D39" i="11"/>
  <c r="D40" i="11" s="1"/>
  <c r="F51" i="11"/>
  <c r="F52" i="11" s="1"/>
  <c r="E45" i="10"/>
  <c r="E46" i="10" s="1"/>
  <c r="C39" i="10"/>
  <c r="C40" i="10" s="1"/>
  <c r="E33" i="10"/>
  <c r="E34" i="10" s="1"/>
  <c r="E54" i="10"/>
  <c r="E55" i="10" s="1"/>
  <c r="F42" i="10"/>
  <c r="F43" i="10" s="1"/>
  <c r="D48" i="10"/>
  <c r="D49" i="10" s="1"/>
  <c r="C3" i="4"/>
  <c r="C3" i="12"/>
  <c r="E51" i="9"/>
  <c r="E52" i="9" s="1"/>
  <c r="D48" i="9"/>
  <c r="D49" i="9" s="1"/>
  <c r="D45" i="9"/>
  <c r="D46" i="9" s="1"/>
  <c r="D60" i="9"/>
  <c r="D61" i="9" s="1"/>
  <c r="E36" i="9"/>
  <c r="E37" i="9" s="1"/>
  <c r="E33" i="9"/>
  <c r="E34" i="9" s="1"/>
  <c r="C60" i="8"/>
  <c r="C61" i="8" s="1"/>
  <c r="Z28" i="3"/>
  <c r="B45" i="8"/>
  <c r="B46" i="8" s="1"/>
  <c r="C42" i="11"/>
  <c r="C43" i="11" s="1"/>
  <c r="E33" i="11"/>
  <c r="E34" i="11" s="1"/>
  <c r="F54" i="11"/>
  <c r="F55" i="11" s="1"/>
  <c r="E39" i="11"/>
  <c r="E40" i="11" s="1"/>
  <c r="B42" i="11"/>
  <c r="B43" i="11" s="1"/>
  <c r="E51" i="11"/>
  <c r="E52" i="11" s="1"/>
  <c r="F42" i="11"/>
  <c r="F43" i="11" s="1"/>
  <c r="F36" i="10"/>
  <c r="F37" i="10" s="1"/>
  <c r="E42" i="10"/>
  <c r="E43" i="10" s="1"/>
  <c r="D36" i="10"/>
  <c r="D37" i="10" s="1"/>
  <c r="E60" i="10"/>
  <c r="E61" i="10" s="1"/>
  <c r="B42" i="10"/>
  <c r="B43" i="10" s="1"/>
  <c r="E51" i="10"/>
  <c r="E52" i="10" s="1"/>
  <c r="C2" i="4"/>
  <c r="C2" i="12"/>
  <c r="F54" i="9"/>
  <c r="F55" i="9" s="1"/>
  <c r="C33" i="9"/>
  <c r="C34" i="9" s="1"/>
  <c r="D33" i="9"/>
  <c r="D34" i="9" s="1"/>
  <c r="C60" i="9"/>
  <c r="C61" i="9" s="1"/>
  <c r="C39" i="9"/>
  <c r="C40" i="9" s="1"/>
  <c r="F60" i="9"/>
  <c r="F61" i="9" s="1"/>
  <c r="Z29" i="3" l="1"/>
  <c r="V37" i="11"/>
  <c r="Y32" i="3"/>
  <c r="Y29" i="3"/>
  <c r="G4" i="4" s="1"/>
  <c r="V40" i="9"/>
  <c r="V42" i="11"/>
  <c r="V36" i="11"/>
  <c r="V38" i="11"/>
  <c r="Z27" i="3"/>
  <c r="F2" i="4" s="1"/>
  <c r="Y28" i="3"/>
  <c r="G3" i="4" s="1"/>
  <c r="Z30" i="3"/>
  <c r="F5" i="4" s="1"/>
  <c r="Y36" i="3"/>
  <c r="G11" i="12" s="1"/>
  <c r="Z32" i="3"/>
  <c r="Z31" i="3"/>
  <c r="F6" i="4" s="1"/>
  <c r="Y30" i="3"/>
  <c r="B37" i="11"/>
  <c r="V34" i="11" s="1"/>
  <c r="Y33" i="3"/>
  <c r="G8" i="4" s="1"/>
  <c r="Z35" i="3"/>
  <c r="F10" i="12" s="1"/>
  <c r="Z33" i="3"/>
  <c r="F8" i="4" s="1"/>
  <c r="Y35" i="3"/>
  <c r="G10" i="4" s="1"/>
  <c r="V35" i="11"/>
  <c r="Y27" i="3"/>
  <c r="G2" i="4" s="1"/>
  <c r="V41" i="8"/>
  <c r="U10" i="12"/>
  <c r="V37" i="10"/>
  <c r="V40" i="10"/>
  <c r="G7" i="4"/>
  <c r="G7" i="12"/>
  <c r="V38" i="8"/>
  <c r="V58" i="8"/>
  <c r="AE38" i="8"/>
  <c r="V53" i="8"/>
  <c r="V33" i="8"/>
  <c r="AE33" i="8"/>
  <c r="V35" i="9"/>
  <c r="V39" i="10"/>
  <c r="AE39" i="8"/>
  <c r="V39" i="8"/>
  <c r="V59" i="8"/>
  <c r="V41" i="10"/>
  <c r="V35" i="10"/>
  <c r="V34" i="9"/>
  <c r="G6" i="4"/>
  <c r="G6" i="12"/>
  <c r="U9" i="12"/>
  <c r="V38" i="9"/>
  <c r="V34" i="8"/>
  <c r="V54" i="8"/>
  <c r="AE34" i="8"/>
  <c r="V37" i="9"/>
  <c r="V34" i="10"/>
  <c r="V42" i="9"/>
  <c r="F7" i="4"/>
  <c r="F7" i="12"/>
  <c r="G4" i="12"/>
  <c r="AE41" i="8"/>
  <c r="S9" i="4"/>
  <c r="AE37" i="8"/>
  <c r="V37" i="8"/>
  <c r="V57" i="8"/>
  <c r="V61" i="8"/>
  <c r="AE40" i="8"/>
  <c r="V40" i="8"/>
  <c r="V60" i="8"/>
  <c r="V36" i="9"/>
  <c r="V39" i="9"/>
  <c r="V42" i="10"/>
  <c r="V33" i="10"/>
  <c r="AE42" i="8"/>
  <c r="V42" i="8"/>
  <c r="V62" i="8"/>
  <c r="F4" i="4"/>
  <c r="F4" i="12"/>
  <c r="F3" i="4"/>
  <c r="F3" i="12"/>
  <c r="V38" i="10"/>
  <c r="G9" i="4"/>
  <c r="G9" i="12"/>
  <c r="V41" i="11"/>
  <c r="AE35" i="8"/>
  <c r="V55" i="8"/>
  <c r="V35" i="8"/>
  <c r="V41" i="9"/>
  <c r="V56" i="8"/>
  <c r="V36" i="8"/>
  <c r="AE36" i="8"/>
  <c r="V39" i="11"/>
  <c r="V36" i="10"/>
  <c r="F11" i="4"/>
  <c r="F11" i="12"/>
  <c r="F9" i="4"/>
  <c r="F9" i="12"/>
  <c r="G5" i="4"/>
  <c r="G5" i="12"/>
  <c r="V33" i="11"/>
  <c r="V33" i="9"/>
  <c r="V40" i="11"/>
  <c r="F6" i="12" l="1"/>
  <c r="G2" i="12"/>
  <c r="F10" i="4"/>
  <c r="G3" i="12"/>
  <c r="F5" i="12"/>
  <c r="F2" i="12"/>
  <c r="G8" i="12"/>
  <c r="V9" i="12" s="1"/>
  <c r="G10" i="12"/>
  <c r="V4" i="12" s="1"/>
  <c r="G11" i="4"/>
  <c r="U4" i="4" s="1"/>
  <c r="W38" i="9"/>
  <c r="F8" i="12"/>
  <c r="W40" i="11"/>
  <c r="L9" i="12" s="1"/>
  <c r="W36" i="8"/>
  <c r="D5" i="4" s="1"/>
  <c r="AF39" i="8"/>
  <c r="V10" i="12"/>
  <c r="W37" i="10"/>
  <c r="H6" i="4" s="1"/>
  <c r="W35" i="10"/>
  <c r="H4" i="4" s="1"/>
  <c r="AF40" i="8"/>
  <c r="W36" i="10"/>
  <c r="W33" i="9"/>
  <c r="W39" i="11"/>
  <c r="W41" i="11"/>
  <c r="W36" i="9"/>
  <c r="AF37" i="8"/>
  <c r="AF38" i="8"/>
  <c r="W40" i="8"/>
  <c r="W38" i="8"/>
  <c r="W42" i="8"/>
  <c r="W33" i="11"/>
  <c r="AF36" i="8"/>
  <c r="W34" i="8"/>
  <c r="W34" i="9"/>
  <c r="W39" i="8"/>
  <c r="W37" i="11"/>
  <c r="J7" i="4"/>
  <c r="V8" i="12"/>
  <c r="W41" i="8"/>
  <c r="W41" i="9"/>
  <c r="W42" i="11"/>
  <c r="AF42" i="8"/>
  <c r="W42" i="9"/>
  <c r="U3" i="4"/>
  <c r="V8" i="4"/>
  <c r="W35" i="9"/>
  <c r="W39" i="10"/>
  <c r="W35" i="8"/>
  <c r="W46" i="10"/>
  <c r="W45" i="10"/>
  <c r="W34" i="11"/>
  <c r="AF41" i="8"/>
  <c r="W34" i="10"/>
  <c r="AF33" i="8"/>
  <c r="W40" i="10"/>
  <c r="W40" i="9"/>
  <c r="W35" i="11"/>
  <c r="W42" i="10"/>
  <c r="W37" i="9"/>
  <c r="W46" i="8"/>
  <c r="W33" i="8"/>
  <c r="W45" i="8"/>
  <c r="W33" i="10"/>
  <c r="W38" i="10"/>
  <c r="AF35" i="8"/>
  <c r="W36" i="11"/>
  <c r="W39" i="9"/>
  <c r="W37" i="8"/>
  <c r="AF34" i="8"/>
  <c r="W41" i="10"/>
  <c r="W53" i="8"/>
  <c r="W38" i="11"/>
  <c r="V9" i="4" l="1"/>
  <c r="V3" i="12"/>
  <c r="L9" i="4"/>
  <c r="X40" i="11"/>
  <c r="M9" i="12" s="1"/>
  <c r="H4" i="12"/>
  <c r="H6" i="12"/>
  <c r="AG33" i="8"/>
  <c r="X35" i="10"/>
  <c r="I4" i="4" s="1"/>
  <c r="AG35" i="8"/>
  <c r="X34" i="10"/>
  <c r="H3" i="4"/>
  <c r="H3" i="12"/>
  <c r="X34" i="9"/>
  <c r="K3" i="4" s="1"/>
  <c r="J3" i="4"/>
  <c r="AG37" i="8"/>
  <c r="H7" i="4"/>
  <c r="H7" i="12"/>
  <c r="X38" i="10"/>
  <c r="AG41" i="8"/>
  <c r="J5" i="4"/>
  <c r="X36" i="9"/>
  <c r="K5" i="4" s="1"/>
  <c r="L3" i="12"/>
  <c r="L3" i="4"/>
  <c r="X34" i="11"/>
  <c r="J11" i="4"/>
  <c r="X42" i="9"/>
  <c r="K11" i="4" s="1"/>
  <c r="AG36" i="8"/>
  <c r="L10" i="12"/>
  <c r="L10" i="4"/>
  <c r="X41" i="11"/>
  <c r="AG40" i="8"/>
  <c r="X33" i="8"/>
  <c r="E2" i="4" s="1"/>
  <c r="D2" i="4"/>
  <c r="W44" i="8"/>
  <c r="X41" i="8"/>
  <c r="E10" i="4" s="1"/>
  <c r="D10" i="4"/>
  <c r="H10" i="12"/>
  <c r="X41" i="10"/>
  <c r="H10" i="4"/>
  <c r="H11" i="12"/>
  <c r="H11" i="4"/>
  <c r="X42" i="10"/>
  <c r="L2" i="12"/>
  <c r="L2" i="4"/>
  <c r="X33" i="11"/>
  <c r="L8" i="12"/>
  <c r="L8" i="4"/>
  <c r="X39" i="11"/>
  <c r="L7" i="12"/>
  <c r="X38" i="11"/>
  <c r="L7" i="4"/>
  <c r="X37" i="9"/>
  <c r="K6" i="4" s="1"/>
  <c r="J6" i="4"/>
  <c r="AG34" i="8"/>
  <c r="L4" i="12"/>
  <c r="X35" i="11"/>
  <c r="L4" i="4"/>
  <c r="AG42" i="8"/>
  <c r="X38" i="9"/>
  <c r="K7" i="4" s="1"/>
  <c r="X42" i="8"/>
  <c r="E11" i="4" s="1"/>
  <c r="D11" i="4"/>
  <c r="J2" i="4"/>
  <c r="X33" i="9"/>
  <c r="K2" i="4" s="1"/>
  <c r="AG38" i="8"/>
  <c r="D3" i="4"/>
  <c r="X34" i="8"/>
  <c r="E3" i="4" s="1"/>
  <c r="D6" i="4"/>
  <c r="X37" i="8"/>
  <c r="E6" i="4" s="1"/>
  <c r="H2" i="12"/>
  <c r="W44" i="10"/>
  <c r="X33" i="10"/>
  <c r="H2" i="4"/>
  <c r="J9" i="4"/>
  <c r="X40" i="9"/>
  <c r="K9" i="4" s="1"/>
  <c r="D4" i="4"/>
  <c r="X35" i="8"/>
  <c r="E4" i="4" s="1"/>
  <c r="L11" i="12"/>
  <c r="L11" i="4"/>
  <c r="X42" i="11"/>
  <c r="D7" i="4"/>
  <c r="X38" i="8"/>
  <c r="E7" i="4" s="1"/>
  <c r="X36" i="8"/>
  <c r="E5" i="4" s="1"/>
  <c r="X37" i="10"/>
  <c r="L5" i="12"/>
  <c r="X36" i="11"/>
  <c r="L5" i="4"/>
  <c r="J4" i="4"/>
  <c r="X35" i="9"/>
  <c r="K4" i="4" s="1"/>
  <c r="D8" i="4"/>
  <c r="X39" i="8"/>
  <c r="E8" i="4" s="1"/>
  <c r="X39" i="9"/>
  <c r="K8" i="4" s="1"/>
  <c r="J8" i="4"/>
  <c r="H9" i="4"/>
  <c r="X40" i="10"/>
  <c r="H9" i="12"/>
  <c r="H8" i="12"/>
  <c r="H8" i="4"/>
  <c r="X39" i="10"/>
  <c r="J10" i="4"/>
  <c r="X41" i="9"/>
  <c r="K10" i="4" s="1"/>
  <c r="L6" i="12"/>
  <c r="X37" i="11"/>
  <c r="L6" i="4"/>
  <c r="D9" i="4"/>
  <c r="X40" i="8"/>
  <c r="E9" i="4" s="1"/>
  <c r="H5" i="4"/>
  <c r="H5" i="12"/>
  <c r="X36" i="10"/>
  <c r="AG39" i="8"/>
  <c r="U3" i="12" l="1"/>
  <c r="H13" i="12"/>
  <c r="M9" i="4"/>
  <c r="I4" i="12"/>
  <c r="L13" i="12"/>
  <c r="X8" i="4"/>
  <c r="W3" i="12"/>
  <c r="Y3" i="12"/>
  <c r="Z3" i="12"/>
  <c r="X3" i="12"/>
  <c r="X8" i="12"/>
  <c r="I5" i="12"/>
  <c r="I5" i="4"/>
  <c r="S3" i="4"/>
  <c r="Y3" i="4"/>
  <c r="T8" i="4"/>
  <c r="W3" i="4"/>
  <c r="X3" i="4"/>
  <c r="I8" i="4"/>
  <c r="I8" i="12"/>
  <c r="I7" i="4"/>
  <c r="I7" i="12"/>
  <c r="T3" i="4"/>
  <c r="U8" i="4"/>
  <c r="AA3" i="4"/>
  <c r="M4" i="4"/>
  <c r="M4" i="12"/>
  <c r="M8" i="4"/>
  <c r="M8" i="12"/>
  <c r="Y4" i="4"/>
  <c r="T9" i="4"/>
  <c r="S4" i="4"/>
  <c r="W4" i="4"/>
  <c r="M3" i="4"/>
  <c r="M3" i="12"/>
  <c r="I11" i="4"/>
  <c r="I11" i="12"/>
  <c r="M11" i="4"/>
  <c r="M11" i="12"/>
  <c r="I2" i="12"/>
  <c r="I2" i="4"/>
  <c r="V4" i="4"/>
  <c r="Z4" i="4"/>
  <c r="W9" i="4"/>
  <c r="I6" i="4"/>
  <c r="I6" i="12"/>
  <c r="M7" i="4"/>
  <c r="M7" i="12"/>
  <c r="I3" i="4"/>
  <c r="I3" i="12"/>
  <c r="M6" i="4"/>
  <c r="M6" i="12"/>
  <c r="I9" i="12"/>
  <c r="I9" i="4"/>
  <c r="W8" i="4"/>
  <c r="V3" i="4"/>
  <c r="Z3" i="4"/>
  <c r="I10" i="4"/>
  <c r="I10" i="12"/>
  <c r="M10" i="4"/>
  <c r="M10" i="12"/>
  <c r="M5" i="4"/>
  <c r="M5" i="12"/>
  <c r="W8" i="12"/>
  <c r="M2" i="4"/>
  <c r="M2" i="12"/>
  <c r="X4" i="4" l="1"/>
  <c r="X10" i="12"/>
  <c r="W4" i="12"/>
  <c r="Y4" i="12"/>
  <c r="W10" i="12"/>
  <c r="Z4" i="12"/>
  <c r="U4" i="12"/>
  <c r="X4" i="12"/>
  <c r="AA4" i="4"/>
  <c r="U9" i="4"/>
  <c r="T4" i="4"/>
  <c r="W9" i="12"/>
  <c r="X9" i="12"/>
  <c r="X9" i="4"/>
</calcChain>
</file>

<file path=xl/sharedStrings.xml><?xml version="1.0" encoding="utf-8"?>
<sst xmlns="http://schemas.openxmlformats.org/spreadsheetml/2006/main" count="1610" uniqueCount="257">
  <si>
    <t>PROJETOS-ÂNCORA</t>
  </si>
  <si>
    <t>ÁREAS DE INTERVENÇÃO &amp; OBJETIVOS ESTRATÉGICOS</t>
  </si>
  <si>
    <t xml:space="preserve">Economia </t>
  </si>
  <si>
    <t>Património natural</t>
  </si>
  <si>
    <t>Território, centralidade e marca</t>
  </si>
  <si>
    <t>Inclusão social</t>
  </si>
  <si>
    <t>+ Qualidade de vida</t>
  </si>
  <si>
    <t xml:space="preserve">1.2. Prepara economia do futuro </t>
  </si>
  <si>
    <t>1.3. Qualificação mão-de-obra necessidades atuais</t>
  </si>
  <si>
    <t>1.2. Serviços do presente</t>
  </si>
  <si>
    <t>1.5. Serviços e infraestruturas de apoio à atividade económica</t>
  </si>
  <si>
    <t>5.1. Prevenção e mitigação de riscos (erosão, incêndios, cheias)</t>
  </si>
  <si>
    <t>5.2. Patrimonio natural na otica da utilização para turismo</t>
  </si>
  <si>
    <t>5.3. Patrimonio natural na otica da Utilização para lazer</t>
  </si>
  <si>
    <t>5.4. Preservação de ecossistemas/limpeza/embelezamento (qualificação ambiental)</t>
  </si>
  <si>
    <t>2.1. Acessibilidade e mobilidade</t>
  </si>
  <si>
    <t>2.2. Afirmação da identidade territorial</t>
  </si>
  <si>
    <t xml:space="preserve">2.3. Património construído </t>
  </si>
  <si>
    <t>2.4. Qualidade do espaço público</t>
  </si>
  <si>
    <t>3.1. Saúde e educação</t>
  </si>
  <si>
    <t>3.2. Apoio a grupos vulneráveis</t>
  </si>
  <si>
    <t>3.3. Inserção socioprofissional</t>
  </si>
  <si>
    <t>4.2. Desporto e lazer</t>
  </si>
  <si>
    <t>4.3. Cultura</t>
  </si>
  <si>
    <t>4.4. Participação cívica</t>
  </si>
  <si>
    <t>Regeneração Urbana</t>
  </si>
  <si>
    <t>Definição de critérios para as operações e obras de reabilitação e de mecanismos de incentivo ao investimento</t>
  </si>
  <si>
    <t>Impacto</t>
  </si>
  <si>
    <t>Intensidade</t>
  </si>
  <si>
    <r>
      <t xml:space="preserve">Organização e formalização de um gabinete de gestão urbanística </t>
    </r>
    <r>
      <rPr>
        <sz val="11"/>
        <color rgb="FFFFC000"/>
        <rFont val="Calibri"/>
        <family val="2"/>
      </rPr>
      <t>norteador</t>
    </r>
    <r>
      <rPr>
        <sz val="11"/>
        <color rgb="FF333F4F"/>
        <rFont val="Calibri"/>
        <family val="2"/>
      </rPr>
      <t>, que permita o controlo prévio das operações urbanísticas a realizar ao abrigo de cada ARU</t>
    </r>
  </si>
  <si>
    <t>Conservação, proteção e valorização do património construído</t>
  </si>
  <si>
    <t>Reabilitação funcional do espaço público</t>
  </si>
  <si>
    <t>Revitalização, animação e valorização dos espaços públicos de circulação e/ou permanência - comum às ARU</t>
  </si>
  <si>
    <t>Qualificação e monitorização do sistema de drenagem de águas residuais domésticas e pluviais - Gafanha da Nazaré</t>
  </si>
  <si>
    <t>Acompanhamento dos processos de gestão da qualidade do ar</t>
  </si>
  <si>
    <t>Qualificação ambiental e urbana da zona portuária da Gafanha da Nazaré</t>
  </si>
  <si>
    <t>Revitalização e valorização dos espaços públicos de circulação e/ou permanência - Gafanha da Nazaré</t>
  </si>
  <si>
    <t>Articulação com o Projeto Aldeamento Turístico da Vista Alegre, procurando integrar as intervenções de reabilitação do Teatro, do Largo e dos arruamentos circundantes que servem o Complexo do antigo Bairro Operário</t>
  </si>
  <si>
    <t>Articulação das redes urbanas pedonais e cicláveis com as vias deste núcleo, de forma a garantir a plena integração deste na área urbana do Município - Vista Alegre</t>
  </si>
  <si>
    <t>Articulação da rede pedonal estruturante do aglomerado com o percurso pedestre, como previsto no PIMTRA - Costa Nova e Barra</t>
  </si>
  <si>
    <t>Intervenção no sentido de suavizar o impacto visual negativo causado pela orientação do edificado (com as traseiras viradas a poente), nomeadamente através de iniciativas de arte urbana, procurando tornar mais aprazível a passagem de quem circula sobre o passadiço ao longo do cordão dunar</t>
  </si>
  <si>
    <t>Dinamização do mercado tradicional da Costa Nova e implementação do projeto de reconversão do Mercado da Barra</t>
  </si>
  <si>
    <t>Requalificação urbana para resolver o acolhimento das autocaravanas nas praias da Barra e Costa Nova</t>
  </si>
  <si>
    <t>Requalificação urbana do Bairro dos Pescadores da Costa Nova</t>
  </si>
  <si>
    <t>Cultura e Criatividade</t>
  </si>
  <si>
    <t xml:space="preserve">Promover a cooperação institucional e territorial visando ampliar e qualificar a oferta de programas culturais  </t>
  </si>
  <si>
    <t>Projetar a identidade cultural ilhavense à escala local, regional e internacional</t>
  </si>
  <si>
    <t>Salvaguardar, valorizar e revitalizar os elementos imateriais do património cultural municipal, como reforço da identidade social e cultural</t>
  </si>
  <si>
    <t>Apostar na formação artística profissional em vários domínios, de forma articulada com a Universidade de Aveiro, enquanto centro de conhecimento</t>
  </si>
  <si>
    <t>Ílhavo Inteligente</t>
  </si>
  <si>
    <t>Implementação/adaptação de um modelo municipal integrado, baseado na organização interna de informação e na interoperabilidade orientada para a prestação dos serviços públicos</t>
  </si>
  <si>
    <r>
      <t xml:space="preserve">Desenvolvimento de uma rede de ligação entre a Administração Pública, o cidadão </t>
    </r>
    <r>
      <rPr>
        <sz val="11"/>
        <color rgb="FFFFC000"/>
        <rFont val="Calibri"/>
        <family val="2"/>
      </rPr>
      <t>e as empresas</t>
    </r>
  </si>
  <si>
    <t xml:space="preserve">Desenvolvimento de soluções de suporte ao transporte público integrado  </t>
  </si>
  <si>
    <t>Ílhavo Inclusivo</t>
  </si>
  <si>
    <t xml:space="preserve">Desenvolver estudos demográficos prospetivos – e respetiva atualização – para conhecer em permanência a dimensão e a estrutura etária da população, assim como a sua composição socioeconómica </t>
  </si>
  <si>
    <t xml:space="preserve">Monitorizar a oferta localizada de equipamentos escolares, de saúde, desportivos e sociais, assim como os respetivos usos </t>
  </si>
  <si>
    <t>Proceder ao redimensionamento e adequação dos equipamentos de utilização coletiva, com base nos estudos elaborados nos pontos anteriores</t>
  </si>
  <si>
    <t>Otimizar a utilização dos equipamentos de utilização coletiva, assegurando uma rede integrada de serviços de interesse geral (SIG), com base nos estudos elaborados</t>
  </si>
  <si>
    <t xml:space="preserve">Parque Central de Ílhavo </t>
  </si>
  <si>
    <t>Definição de um modelo de gestão sustentável em função dos agentes envolvidos e dos usos previstos no Plano de Intervenção em Espaço Rural (PIER)</t>
  </si>
  <si>
    <t>Requalificação da área da ex-Colónia Agrícola da Gafanha: construção do Parque Municipal de Desporto e Lazer da Senhora dos Campos</t>
  </si>
  <si>
    <t>Identificar as ações e atividades com potencial para a dinamização da área de intervenção</t>
  </si>
  <si>
    <t>Dinamizar, de forma articulada com outros equipamentos desportivos, as estruturas desportivas do Parque Central de Ílhavo, em conjugação com o projeto Ílhavo um Município inclusivo</t>
  </si>
  <si>
    <t xml:space="preserve">Mar e Ria </t>
  </si>
  <si>
    <t>Dinamizar a reformulação de uma estratégia de intervenção para a Ria de Aveiro e acompanhar a sua implementação</t>
  </si>
  <si>
    <t>Consubstanciar uma estratégia e um modelo de gestão que articulem as responsabilidades dos diversos agentes e entidades que intervêm no território da Ria</t>
  </si>
  <si>
    <t>Turismo de Futuro</t>
  </si>
  <si>
    <t>Realizar estudos de pesquisa de segmentos de mercado e nichos, para definir estrategicamente os públicos-alvo e o modo de os alcançar e atrair</t>
  </si>
  <si>
    <t xml:space="preserve">Definir as ações e as medidas para adequar a oferta turística do Município aos diferentes públicos-alvo estratégicos a atrair </t>
  </si>
  <si>
    <t>Valorização de Capital Humano</t>
  </si>
  <si>
    <r>
      <t xml:space="preserve">Apostar em instrumentos </t>
    </r>
    <r>
      <rPr>
        <sz val="11"/>
        <color rgb="FFFF0000"/>
        <rFont val="Calibri"/>
        <family val="2"/>
      </rPr>
      <t>de articulação</t>
    </r>
    <r>
      <rPr>
        <sz val="11"/>
        <color rgb="FF333F4F"/>
        <rFont val="Calibri"/>
        <family val="2"/>
      </rPr>
      <t xml:space="preserve"> do plano de valorização de capital humano com os Municípios vizinhos e ao nível da CIRA, </t>
    </r>
    <r>
      <rPr>
        <sz val="11"/>
        <color rgb="FFFF0000"/>
        <rFont val="Calibri"/>
        <family val="2"/>
      </rPr>
      <t>através de um modelo de monitorização</t>
    </r>
  </si>
  <si>
    <t>Identificar as necessidades atuais e futuras de conhecimento especializado adequadas ao tecido produtivo do Município</t>
  </si>
  <si>
    <t>Desenvolver um plano integrado de valorização de capital humano, visando a formação de recursos humanos adequados às necessidades do tecido produtivo</t>
  </si>
  <si>
    <t xml:space="preserve">Promover a ligação ao Sistema Científico e Tecnológico, fortalecendo as sinergias entre os centros de conhecimento, as unidades para transferência de tecnologia e as empresas, garantindo as dinâmicas de funcionamento em rede ao nível da Região </t>
  </si>
  <si>
    <t>Economia + Competitiva</t>
  </si>
  <si>
    <t>Definir cenários económicos de desenvolvimento setorial, articulando o dinamismo recente na criação de emprego e as atividades económicas de futuro</t>
  </si>
  <si>
    <t xml:space="preserve">Otimizar e dinamizar as estruturas físicas de suporte ao tecido económico, definindo a vocação dos polos empresariais e industriais </t>
  </si>
  <si>
    <t>Definir a função dos eixos viários estruturantes de suporte ao desenvolvimento do tecido produtivo, enquadrando Ílhavo numa perspetiva regional</t>
  </si>
  <si>
    <t>Criação de incentivos para captação de investimento e novas empresas, assim como para a preservação e ajustamento das empresas já existentes</t>
  </si>
  <si>
    <t>Ílhavo e o Porto de Aveiro</t>
  </si>
  <si>
    <t>Potenciar o Porto de Aveiro enquanto polo dinamizador da economia local e regional e gerador de emprego qualificado</t>
  </si>
  <si>
    <t>Enquadrar a área do Porto de Aveiro e sua envolvente</t>
  </si>
  <si>
    <t>cópia da tabela anterior</t>
  </si>
  <si>
    <t xml:space="preserve">Nível 0 </t>
  </si>
  <si>
    <t>projeto * nivel1</t>
  </si>
  <si>
    <t xml:space="preserve">Racio de redestribuição </t>
  </si>
  <si>
    <t>resultados exercicio</t>
  </si>
  <si>
    <t>Case-A_Alternatives</t>
  </si>
  <si>
    <t>Order</t>
  </si>
  <si>
    <t>Rank</t>
  </si>
  <si>
    <t>Economia</t>
  </si>
  <si>
    <t>Patrimonio natural</t>
  </si>
  <si>
    <t>Territorio</t>
  </si>
  <si>
    <t xml:space="preserve">Inclusao </t>
  </si>
  <si>
    <t>Qualidade</t>
  </si>
  <si>
    <t>quando são os pesos todos iguais</t>
  </si>
  <si>
    <t>Matriz para calcular apenas com nível 0</t>
  </si>
  <si>
    <t>cópia da tabela anterior - ilhavo harmonizaçao (média dos scores iniciais)</t>
  </si>
  <si>
    <t>Caso: média scores originais, caso os critérios tivessem todos o mesmo peso</t>
  </si>
  <si>
    <t>sistema de equação [a(min)+b=1 ///// a(max)+b=5]</t>
  </si>
  <si>
    <t>pesos</t>
  </si>
  <si>
    <t>para transformar os pesos numa escala de 1 a 5</t>
  </si>
  <si>
    <t>min</t>
  </si>
  <si>
    <t>máx</t>
  </si>
  <si>
    <t>b</t>
  </si>
  <si>
    <t>a</t>
  </si>
  <si>
    <t>http://www.calculadoraonline.com.br/sistemas-lineares</t>
  </si>
  <si>
    <t>assumindo os mesmos pesos do exercício tambem convertidos numa escala de 1-5</t>
  </si>
  <si>
    <t>P1,1</t>
  </si>
  <si>
    <t>P1,2</t>
  </si>
  <si>
    <t>P1,3</t>
  </si>
  <si>
    <t>P1,4</t>
  </si>
  <si>
    <t>P1,5</t>
  </si>
  <si>
    <t>ordenaçao</t>
  </si>
  <si>
    <t>SAW weight</t>
  </si>
  <si>
    <t>P2,1</t>
  </si>
  <si>
    <t>P2,2</t>
  </si>
  <si>
    <t>P2,3</t>
  </si>
  <si>
    <t>P2,4</t>
  </si>
  <si>
    <t>P2,5</t>
  </si>
  <si>
    <t>P3,1</t>
  </si>
  <si>
    <t>P3,2</t>
  </si>
  <si>
    <t>P3,3</t>
  </si>
  <si>
    <t>P3,4</t>
  </si>
  <si>
    <t>P3,5</t>
  </si>
  <si>
    <t>P4,1</t>
  </si>
  <si>
    <t>P4,2</t>
  </si>
  <si>
    <t>P4,3</t>
  </si>
  <si>
    <t>P4,4</t>
  </si>
  <si>
    <t>P4,5</t>
  </si>
  <si>
    <t>P5,1</t>
  </si>
  <si>
    <t>P5,2</t>
  </si>
  <si>
    <t>P5,3</t>
  </si>
  <si>
    <t>P5,4</t>
  </si>
  <si>
    <t>P5,5</t>
  </si>
  <si>
    <t xml:space="preserve">média </t>
  </si>
  <si>
    <t>desvio padrao</t>
  </si>
  <si>
    <t>variancia</t>
  </si>
  <si>
    <t>P6,1</t>
  </si>
  <si>
    <t>P6,2</t>
  </si>
  <si>
    <t>P6,3</t>
  </si>
  <si>
    <t>P6,4</t>
  </si>
  <si>
    <t>P6,5</t>
  </si>
  <si>
    <t>P7,1</t>
  </si>
  <si>
    <t>P7,2</t>
  </si>
  <si>
    <t>P7,3</t>
  </si>
  <si>
    <t>P7,4</t>
  </si>
  <si>
    <t>P7,5</t>
  </si>
  <si>
    <t>P8,1</t>
  </si>
  <si>
    <t>P8,2</t>
  </si>
  <si>
    <t>P8,3</t>
  </si>
  <si>
    <t>P8,4</t>
  </si>
  <si>
    <t>P8,5</t>
  </si>
  <si>
    <t>P9,1</t>
  </si>
  <si>
    <t>P9,2</t>
  </si>
  <si>
    <t>P9,3</t>
  </si>
  <si>
    <t>P9,4</t>
  </si>
  <si>
    <t>P9,5</t>
  </si>
  <si>
    <t>P10,1</t>
  </si>
  <si>
    <t>P10,2</t>
  </si>
  <si>
    <t>P10,3</t>
  </si>
  <si>
    <t>P10,4</t>
  </si>
  <si>
    <t>P10,5</t>
  </si>
  <si>
    <t>normalizar de acordo com TOPSIS</t>
  </si>
  <si>
    <t>Si+</t>
  </si>
  <si>
    <t>Si-</t>
  </si>
  <si>
    <t>Pi</t>
  </si>
  <si>
    <t>calculate ideal best</t>
  </si>
  <si>
    <t>calculate ideal worst</t>
  </si>
  <si>
    <t>TOPSIS</t>
  </si>
  <si>
    <t>AHP</t>
  </si>
  <si>
    <t>ahp-topsis</t>
  </si>
  <si>
    <t>conversao sem arredondar</t>
  </si>
  <si>
    <t>se os pesos forem convertidos numa escala 1-5 mas não estiverem arredondados</t>
  </si>
  <si>
    <t/>
  </si>
  <si>
    <t>valor dos impactos se os critérios do nivel 1 tivessem o mesmo peso</t>
  </si>
  <si>
    <t>se os critérios do nivel 0 valerem todos o mesmo --&gt;</t>
  </si>
  <si>
    <t>Media se todos criterios valessem o mesmo (considera o nivel 0)</t>
  </si>
  <si>
    <t>soma dos impactos se os critérios do nível 1 tivessem o mesmo impacto. Esta operaçao foi para converter a matriz de impactos a ser usada com apenas o nivel 0</t>
  </si>
  <si>
    <t>teste com potencia (em vez de multiplicar o impacto do projeto com o peso do criterio)</t>
  </si>
  <si>
    <t>esta é que é a matriz usada nos diversos MCDM!</t>
  </si>
  <si>
    <t>Weighted product method</t>
  </si>
  <si>
    <t>conversao da matriz de impacto numa escala de 1 a 5</t>
  </si>
  <si>
    <t>SAW (minimo)</t>
  </si>
  <si>
    <t>SAW (máximo)</t>
  </si>
  <si>
    <t>ahp-wpm</t>
  </si>
  <si>
    <t>saw min -wpm</t>
  </si>
  <si>
    <t>topsis-wpm</t>
  </si>
  <si>
    <t>Matriz_impacto</t>
  </si>
  <si>
    <t>SAW method - todos os critérios são considerados custo (relacao com o mínimo)</t>
  </si>
  <si>
    <t>SAW method - todos os critérios são considerados beneficio (relacao com o máximo)</t>
  </si>
  <si>
    <t>based on SAW method</t>
  </si>
  <si>
    <t>WPM weight</t>
  </si>
  <si>
    <t>Matriz impacto</t>
  </si>
  <si>
    <t>corr. Pontuaçao</t>
  </si>
  <si>
    <t>corr. Rank</t>
  </si>
  <si>
    <t>ahp-saw minimo</t>
  </si>
  <si>
    <t>ahp-saw maximo</t>
  </si>
  <si>
    <t>saw min -topsis</t>
  </si>
  <si>
    <t>saw min - saw max</t>
  </si>
  <si>
    <t>topsis - saw max</t>
  </si>
  <si>
    <t>ahp - matriz</t>
  </si>
  <si>
    <t>saw min - matriz</t>
  </si>
  <si>
    <t>saw max - matriz</t>
  </si>
  <si>
    <t>topsis - matriz</t>
  </si>
  <si>
    <t>se considerarmos os impactos do projeto nos tres critérios com maior ponderaçao</t>
  </si>
  <si>
    <t>WPM min - matriz</t>
  </si>
  <si>
    <t>WPM max - matriz</t>
  </si>
  <si>
    <t>WPM min</t>
  </si>
  <si>
    <t>WPM max</t>
  </si>
  <si>
    <t xml:space="preserve">correlação </t>
  </si>
  <si>
    <t>topsis-saw</t>
  </si>
  <si>
    <t>topsis - wpm</t>
  </si>
  <si>
    <t>Saw - wpm</t>
  </si>
  <si>
    <t>rank</t>
  </si>
  <si>
    <t>matriz de preferencia vs impacto</t>
  </si>
  <si>
    <t>3+votados</t>
  </si>
  <si>
    <t>2 mais votados</t>
  </si>
  <si>
    <t>soma de impactos</t>
  </si>
  <si>
    <t>menos votados</t>
  </si>
  <si>
    <t>correl. Soma impactos</t>
  </si>
  <si>
    <t>Correlação Pearson</t>
  </si>
  <si>
    <t>Correlação Spearman</t>
  </si>
  <si>
    <t>rank pearson</t>
  </si>
  <si>
    <t>rank spearman</t>
  </si>
  <si>
    <t>Alternativa X</t>
  </si>
  <si>
    <t>Alternativa Y</t>
  </si>
  <si>
    <t xml:space="preserve">criterios </t>
  </si>
  <si>
    <t>peso criterio</t>
  </si>
  <si>
    <t>peso atribuído aos critérios de avaliação</t>
  </si>
  <si>
    <t>Alternativa_1</t>
  </si>
  <si>
    <t>Alternativa_2</t>
  </si>
  <si>
    <t>Alternativa_3</t>
  </si>
  <si>
    <t>Alternativa_4</t>
  </si>
  <si>
    <t>Alternativa_5</t>
  </si>
  <si>
    <t>Alternativa_6</t>
  </si>
  <si>
    <t>Alternativa_7</t>
  </si>
  <si>
    <t>Alternativa_8</t>
  </si>
  <si>
    <t>Spearman's rho</t>
  </si>
  <si>
    <t>Correlation Coefficient</t>
  </si>
  <si>
    <t>Sig. (1-tailed)</t>
  </si>
  <si>
    <t>N</t>
  </si>
  <si>
    <t>Alternativa_9</t>
  </si>
  <si>
    <t>Alternativa_10</t>
  </si>
  <si>
    <t>AHP_1</t>
  </si>
  <si>
    <t>AHP_neutral</t>
  </si>
  <si>
    <t>SAW_1</t>
  </si>
  <si>
    <t>SAW_neutral</t>
  </si>
  <si>
    <t>WPM_1</t>
  </si>
  <si>
    <t>WPM_Neutral</t>
  </si>
  <si>
    <t>TOPSIS_1</t>
  </si>
  <si>
    <t>TOPSIS_neutral</t>
  </si>
  <si>
    <t>Rank comparision</t>
  </si>
  <si>
    <t>correlate</t>
  </si>
  <si>
    <t>SAW</t>
  </si>
  <si>
    <t>WPM</t>
  </si>
  <si>
    <t>Municipio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</si>
</sst>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000"/>
    <numFmt numFmtId="167" formatCode="0.00000000"/>
    <numFmt numFmtId="168" formatCode="###0.000"/>
    <numFmt numFmtId="169" formatCode="###0"/>
  </numFmts>
  <fonts count="3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DDEBF7"/>
      <name val="Arial"/>
      <family val="2"/>
    </font>
    <font>
      <b/>
      <sz val="10"/>
      <color rgb="FF333F4F"/>
      <name val="Arial"/>
      <family val="2"/>
    </font>
    <font>
      <sz val="10"/>
      <color rgb="FF333F4F"/>
      <name val="Arial"/>
      <family val="2"/>
    </font>
    <font>
      <sz val="11"/>
      <color rgb="FFFF0000"/>
      <name val="Arial"/>
      <family val="2"/>
    </font>
    <font>
      <sz val="11"/>
      <color rgb="FFDDEBF7"/>
      <name val="Arial"/>
      <family val="2"/>
    </font>
    <font>
      <sz val="11"/>
      <color rgb="FF000000"/>
      <name val="Arial"/>
      <family val="2"/>
    </font>
    <font>
      <sz val="11"/>
      <color rgb="FF222B35"/>
      <name val="Arial"/>
      <family val="2"/>
    </font>
    <font>
      <sz val="11"/>
      <color rgb="FF333F4F"/>
      <name val="Calibri"/>
      <family val="2"/>
    </font>
    <font>
      <b/>
      <sz val="11"/>
      <color rgb="FF333F4F"/>
      <name val="Calibri"/>
      <family val="2"/>
    </font>
    <font>
      <sz val="11"/>
      <color rgb="FF222B35"/>
      <name val="Calibri"/>
      <family val="2"/>
    </font>
    <font>
      <i/>
      <sz val="11"/>
      <color rgb="FF333F4F"/>
      <name val="Calibri"/>
      <family val="2"/>
    </font>
    <font>
      <sz val="11"/>
      <color rgb="FFFFC000"/>
      <name val="Calibri"/>
      <family val="2"/>
    </font>
    <font>
      <sz val="11"/>
      <color rgb="FFFF0000"/>
      <name val="Calibri"/>
      <family val="2"/>
    </font>
    <font>
      <i/>
      <sz val="11"/>
      <color rgb="FFDDEBF7"/>
      <name val="Arial"/>
      <family val="2"/>
    </font>
    <font>
      <sz val="11"/>
      <color rgb="FFFFFF00"/>
      <name val="Arial"/>
      <family val="2"/>
    </font>
    <font>
      <sz val="11"/>
      <color rgb="FF80808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b/>
      <sz val="11"/>
      <color theme="5" tint="-0.249977111117893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9"/>
      <color rgb="FFDDEBF7"/>
      <name val="Arial"/>
      <family val="2"/>
    </font>
    <font>
      <sz val="11"/>
      <color theme="7" tint="-0.499984740745262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Arial"/>
      <family val="2"/>
    </font>
    <font>
      <b/>
      <sz val="9"/>
      <color rgb="FFDDEBF7"/>
      <name val="Arial"/>
      <family val="2"/>
    </font>
    <font>
      <sz val="11"/>
      <color theme="2" tint="-0.749992370372631"/>
      <name val="Calibri"/>
      <family val="2"/>
    </font>
    <font>
      <b/>
      <sz val="11"/>
      <color rgb="FF333F4F"/>
      <name val="Arial"/>
      <family val="2"/>
    </font>
    <font>
      <sz val="8"/>
      <color rgb="FF333F4F"/>
      <name val="Arial"/>
      <family val="2"/>
    </font>
    <font>
      <sz val="7"/>
      <color rgb="FF000000"/>
      <name val="Calibri"/>
      <family val="2"/>
    </font>
    <font>
      <sz val="10"/>
      <name val="Arial"/>
    </font>
    <font>
      <sz val="9"/>
      <color indexed="60"/>
      <name val="Arial"/>
    </font>
    <font>
      <sz val="9"/>
      <color indexed="8"/>
      <name val="Arial"/>
    </font>
    <font>
      <sz val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F4F"/>
        <bgColor rgb="FF333F4F"/>
      </patternFill>
    </fill>
    <fill>
      <patternFill patternType="solid">
        <fgColor rgb="FFF8CBAD"/>
        <bgColor rgb="FFF8CBAD"/>
      </patternFill>
    </fill>
    <fill>
      <patternFill patternType="solid">
        <fgColor rgb="FFC9C9C9"/>
        <bgColor rgb="FFC9C9C9"/>
      </patternFill>
    </fill>
    <fill>
      <patternFill patternType="solid">
        <fgColor rgb="FFBDD7EE"/>
        <bgColor rgb="FFBDD7EE"/>
      </patternFill>
    </fill>
    <fill>
      <patternFill patternType="solid">
        <fgColor rgb="FFE2EFDA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EEF3F8"/>
        <bgColor rgb="FFEEF3F8"/>
      </patternFill>
    </fill>
    <fill>
      <patternFill patternType="solid">
        <fgColor rgb="FF548235"/>
        <bgColor rgb="FF548235"/>
      </patternFill>
    </fill>
    <fill>
      <patternFill patternType="solid">
        <fgColor rgb="FFBFBFBF"/>
        <bgColor rgb="FFBFBFBF"/>
      </patternFill>
    </fill>
    <fill>
      <patternFill patternType="solid">
        <fgColor rgb="FFDBDBDB"/>
        <bgColor rgb="FFDBDBDB"/>
      </patternFill>
    </fill>
    <fill>
      <patternFill patternType="solid">
        <fgColor rgb="FFD9D9D9"/>
        <bgColor rgb="FFD9D9D9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medium">
        <color rgb="FF333F4F"/>
      </left>
      <right/>
      <top style="medium">
        <color rgb="FF333F4F"/>
      </top>
      <bottom style="thin">
        <color rgb="FFDDEBF7"/>
      </bottom>
      <diagonal/>
    </border>
    <border>
      <left/>
      <right/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/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 style="thin">
        <color rgb="FFDDEBF7"/>
      </right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thin">
        <color rgb="FF333F4F"/>
      </left>
      <right style="thin">
        <color rgb="FF333F4F"/>
      </right>
      <top style="medium">
        <color rgb="FF333F4F"/>
      </top>
      <bottom style="medium">
        <color rgb="FF333F4F"/>
      </bottom>
      <diagonal/>
    </border>
    <border>
      <left style="thin">
        <color rgb="FF333F4F"/>
      </left>
      <right/>
      <top style="medium">
        <color rgb="FF333F4F"/>
      </top>
      <bottom style="medium">
        <color rgb="FF333F4F"/>
      </bottom>
      <diagonal/>
    </border>
    <border>
      <left style="thin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thin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/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/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 style="thin">
        <color rgb="FF333F4F"/>
      </bottom>
      <diagonal/>
    </border>
    <border>
      <left style="thin">
        <color rgb="FF333F4F"/>
      </left>
      <right style="thin">
        <color rgb="FF333F4F"/>
      </right>
      <top/>
      <bottom style="thin">
        <color rgb="FF333F4F"/>
      </bottom>
      <diagonal/>
    </border>
    <border>
      <left/>
      <right/>
      <top/>
      <bottom style="thin">
        <color rgb="FF333F4F"/>
      </bottom>
      <diagonal/>
    </border>
    <border>
      <left style="thin">
        <color rgb="FF333F4F"/>
      </left>
      <right/>
      <top/>
      <bottom style="thin">
        <color rgb="FF333F4F"/>
      </bottom>
      <diagonal/>
    </border>
    <border>
      <left style="thin">
        <color rgb="FF333F4F"/>
      </left>
      <right style="medium">
        <color rgb="FF333F4F"/>
      </right>
      <top/>
      <bottom style="thin">
        <color rgb="FF333F4F"/>
      </bottom>
      <diagonal/>
    </border>
    <border>
      <left style="medium">
        <color rgb="FF333F4F"/>
      </left>
      <right style="thin">
        <color rgb="FF333F4F"/>
      </right>
      <top/>
      <bottom style="thin">
        <color rgb="FF333F4F"/>
      </bottom>
      <diagonal/>
    </border>
    <border>
      <left style="medium">
        <color rgb="FF333F4F"/>
      </left>
      <right style="medium">
        <color rgb="FF333F4F"/>
      </right>
      <top/>
      <bottom style="thin">
        <color rgb="FF333F4F"/>
      </bottom>
      <diagonal/>
    </border>
    <border>
      <left style="thin">
        <color rgb="FF333F4F"/>
      </left>
      <right style="thin">
        <color rgb="FF333F4F"/>
      </right>
      <top style="thin">
        <color rgb="FFDDEBF7"/>
      </top>
      <bottom style="thin">
        <color rgb="FF333F4F"/>
      </bottom>
      <diagonal/>
    </border>
    <border>
      <left/>
      <right/>
      <top style="thin">
        <color rgb="FFDDEBF7"/>
      </top>
      <bottom style="thin">
        <color rgb="FF333F4F"/>
      </bottom>
      <diagonal/>
    </border>
    <border>
      <left style="thin">
        <color rgb="FF333F4F"/>
      </left>
      <right/>
      <top style="thin">
        <color rgb="FFDDEBF7"/>
      </top>
      <bottom style="thin">
        <color rgb="FF333F4F"/>
      </bottom>
      <diagonal/>
    </border>
    <border>
      <left style="thin">
        <color rgb="FF333F4F"/>
      </left>
      <right style="medium">
        <color rgb="FF333F4F"/>
      </right>
      <top style="thin">
        <color rgb="FFDDEBF7"/>
      </top>
      <bottom style="thin">
        <color rgb="FF333F4F"/>
      </bottom>
      <diagonal/>
    </border>
    <border>
      <left style="medium">
        <color rgb="FF333F4F"/>
      </left>
      <right style="thin">
        <color rgb="FF333F4F"/>
      </right>
      <top style="thin">
        <color rgb="FFDDEBF7"/>
      </top>
      <bottom style="thin">
        <color rgb="FF333F4F"/>
      </bottom>
      <diagonal/>
    </border>
    <border>
      <left/>
      <right/>
      <top/>
      <bottom style="thin">
        <color rgb="FFDDEBF7"/>
      </bottom>
      <diagonal/>
    </border>
    <border>
      <left style="thin">
        <color rgb="FF333F4F"/>
      </left>
      <right/>
      <top/>
      <bottom style="thin">
        <color rgb="FFDDEBF7"/>
      </bottom>
      <diagonal/>
    </border>
    <border>
      <left style="thin">
        <color rgb="FF333F4F"/>
      </left>
      <right style="medium">
        <color rgb="FF333F4F"/>
      </right>
      <top/>
      <bottom style="thin">
        <color rgb="FFDDEBF7"/>
      </bottom>
      <diagonal/>
    </border>
    <border>
      <left style="thin">
        <color rgb="FF333F4F"/>
      </left>
      <right style="thin">
        <color rgb="FF333F4F"/>
      </right>
      <top/>
      <bottom style="thin">
        <color rgb="FFDDEBF7"/>
      </bottom>
      <diagonal/>
    </border>
    <border>
      <left style="medium">
        <color rgb="FF333F4F"/>
      </left>
      <right style="thin">
        <color rgb="FF333F4F"/>
      </right>
      <top/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thin">
        <color rgb="FF333F4F"/>
      </left>
      <right style="thin">
        <color rgb="FF333F4F"/>
      </right>
      <top/>
      <bottom/>
      <diagonal/>
    </border>
    <border>
      <left style="thin">
        <color rgb="FF333F4F"/>
      </left>
      <right/>
      <top/>
      <bottom/>
      <diagonal/>
    </border>
    <border>
      <left style="thin">
        <color rgb="FF333F4F"/>
      </left>
      <right style="medium">
        <color rgb="FF333F4F"/>
      </right>
      <top/>
      <bottom/>
      <diagonal/>
    </border>
    <border>
      <left style="medium">
        <color rgb="FF333F4F"/>
      </left>
      <right style="thin">
        <color rgb="FF333F4F"/>
      </right>
      <top/>
      <bottom/>
      <diagonal/>
    </border>
    <border>
      <left style="medium">
        <color rgb="FF333F4F"/>
      </left>
      <right style="medium">
        <color rgb="FF333F4F"/>
      </right>
      <top style="thin">
        <color rgb="FF333F4F"/>
      </top>
      <bottom style="thin">
        <color rgb="FF333F4F"/>
      </bottom>
      <diagonal/>
    </border>
    <border>
      <left style="thin">
        <color rgb="FF333F4F"/>
      </left>
      <right style="thin">
        <color rgb="FF333F4F"/>
      </right>
      <top style="thin">
        <color rgb="FF333F4F"/>
      </top>
      <bottom style="thin">
        <color rgb="FF333F4F"/>
      </bottom>
      <diagonal/>
    </border>
    <border>
      <left/>
      <right/>
      <top style="thin">
        <color rgb="FF333F4F"/>
      </top>
      <bottom style="thin">
        <color rgb="FF333F4F"/>
      </bottom>
      <diagonal/>
    </border>
    <border>
      <left style="thin">
        <color rgb="FF333F4F"/>
      </left>
      <right/>
      <top style="thin">
        <color rgb="FF333F4F"/>
      </top>
      <bottom style="thin">
        <color rgb="FF333F4F"/>
      </bottom>
      <diagonal/>
    </border>
    <border>
      <left style="thin">
        <color rgb="FF333F4F"/>
      </left>
      <right style="medium">
        <color rgb="FF333F4F"/>
      </right>
      <top style="thin">
        <color rgb="FF333F4F"/>
      </top>
      <bottom style="thin">
        <color rgb="FF333F4F"/>
      </bottom>
      <diagonal/>
    </border>
    <border>
      <left style="medium">
        <color rgb="FF333F4F"/>
      </left>
      <right style="thin">
        <color rgb="FF333F4F"/>
      </right>
      <top style="thin">
        <color rgb="FF333F4F"/>
      </top>
      <bottom style="thin">
        <color rgb="FF333F4F"/>
      </bottom>
      <diagonal/>
    </border>
    <border>
      <left style="medium">
        <color rgb="FF333F4F"/>
      </left>
      <right/>
      <top style="thin">
        <color rgb="FFDDEBF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33F4F"/>
      </left>
      <right/>
      <top style="thin">
        <color rgb="FFDDEBF7"/>
      </top>
      <bottom style="thin">
        <color rgb="FFDDEBF7"/>
      </bottom>
      <diagonal/>
    </border>
    <border>
      <left style="medium">
        <color rgb="FF333F4F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3"/>
      </top>
      <bottom style="thin">
        <color indexed="62"/>
      </bottom>
      <diagonal/>
    </border>
    <border>
      <left style="thin">
        <color indexed="61"/>
      </left>
      <right/>
      <top style="thin">
        <color indexed="63"/>
      </top>
      <bottom style="thin">
        <color indexed="62"/>
      </bottom>
      <diagonal/>
    </border>
    <border>
      <left style="thin">
        <color indexed="61"/>
      </left>
      <right style="thin">
        <color indexed="61"/>
      </right>
      <top style="thin">
        <color indexed="62"/>
      </top>
      <bottom style="thin">
        <color indexed="62"/>
      </bottom>
      <diagonal/>
    </border>
    <border>
      <left style="thin">
        <color indexed="61"/>
      </left>
      <right/>
      <top style="thin">
        <color indexed="62"/>
      </top>
      <bottom style="thin">
        <color indexed="62"/>
      </bottom>
      <diagonal/>
    </border>
  </borders>
  <cellStyleXfs count="4">
    <xf numFmtId="0" fontId="0" fillId="0" borderId="0"/>
    <xf numFmtId="0" fontId="1" fillId="0" borderId="0" applyNumberFormat="0" applyBorder="0" applyProtection="0"/>
    <xf numFmtId="9" fontId="1" fillId="0" borderId="0" applyFont="0" applyFill="0" applyBorder="0" applyAlignment="0" applyProtection="0"/>
    <xf numFmtId="0" fontId="34" fillId="0" borderId="0"/>
  </cellStyleXfs>
  <cellXfs count="227">
    <xf numFmtId="0" fontId="0" fillId="0" borderId="0" xfId="0"/>
    <xf numFmtId="0" fontId="0" fillId="2" borderId="0" xfId="1" applyFont="1" applyFill="1" applyProtection="1"/>
    <xf numFmtId="0" fontId="0" fillId="0" borderId="0" xfId="1" applyFont="1" applyAlignment="1" applyProtection="1">
      <alignment horizontal="center"/>
    </xf>
    <xf numFmtId="0" fontId="0" fillId="0" borderId="0" xfId="1" applyFont="1" applyProtection="1"/>
    <xf numFmtId="0" fontId="2" fillId="3" borderId="2" xfId="1" applyFont="1" applyFill="1" applyBorder="1" applyAlignment="1" applyProtection="1">
      <alignment vertical="center"/>
    </xf>
    <xf numFmtId="0" fontId="2" fillId="3" borderId="3" xfId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horizontal="right" vertical="top" wrapText="1"/>
    </xf>
    <xf numFmtId="0" fontId="4" fillId="0" borderId="0" xfId="1" applyFont="1" applyAlignment="1" applyProtection="1">
      <alignment horizontal="center" textRotation="90" wrapText="1"/>
    </xf>
    <xf numFmtId="0" fontId="6" fillId="3" borderId="13" xfId="1" applyFont="1" applyFill="1" applyBorder="1" applyAlignment="1" applyProtection="1">
      <alignment horizontal="left" vertical="center" wrapText="1"/>
    </xf>
    <xf numFmtId="2" fontId="7" fillId="0" borderId="14" xfId="1" applyNumberFormat="1" applyFont="1" applyBorder="1" applyAlignment="1" applyProtection="1">
      <alignment horizontal="center" vertical="center" wrapText="1"/>
    </xf>
    <xf numFmtId="164" fontId="7" fillId="0" borderId="14" xfId="1" applyNumberFormat="1" applyFont="1" applyBorder="1" applyAlignment="1" applyProtection="1">
      <alignment horizontal="left" vertical="center" wrapText="1"/>
    </xf>
    <xf numFmtId="2" fontId="8" fillId="0" borderId="0" xfId="1" applyNumberFormat="1" applyFont="1" applyAlignment="1" applyProtection="1">
      <alignment horizontal="right" vertical="center" wrapText="1"/>
    </xf>
    <xf numFmtId="0" fontId="10" fillId="9" borderId="16" xfId="1" applyFont="1" applyFill="1" applyBorder="1" applyAlignment="1" applyProtection="1">
      <alignment horizontal="center" vertical="center"/>
    </xf>
    <xf numFmtId="0" fontId="10" fillId="9" borderId="17" xfId="1" applyFont="1" applyFill="1" applyBorder="1" applyAlignment="1" applyProtection="1">
      <alignment horizontal="center" vertical="center"/>
    </xf>
    <xf numFmtId="0" fontId="10" fillId="9" borderId="18" xfId="1" applyFont="1" applyFill="1" applyBorder="1" applyAlignment="1" applyProtection="1">
      <alignment horizontal="center" vertical="center"/>
    </xf>
    <xf numFmtId="0" fontId="10" fillId="9" borderId="19" xfId="1" applyFont="1" applyFill="1" applyBorder="1" applyAlignment="1" applyProtection="1">
      <alignment horizontal="center" vertical="center"/>
    </xf>
    <xf numFmtId="0" fontId="10" fillId="9" borderId="20" xfId="1" applyFont="1" applyFill="1" applyBorder="1" applyAlignment="1" applyProtection="1">
      <alignment horizontal="center" vertical="center"/>
    </xf>
    <xf numFmtId="164" fontId="7" fillId="0" borderId="13" xfId="1" applyNumberFormat="1" applyFont="1" applyBorder="1" applyAlignment="1" applyProtection="1">
      <alignment horizontal="left" vertical="center" wrapText="1"/>
    </xf>
    <xf numFmtId="2" fontId="11" fillId="0" borderId="0" xfId="1" applyNumberFormat="1" applyFont="1" applyAlignment="1" applyProtection="1">
      <alignment horizontal="right"/>
    </xf>
    <xf numFmtId="0" fontId="12" fillId="0" borderId="21" xfId="1" applyFont="1" applyBorder="1" applyAlignment="1" applyProtection="1">
      <alignment horizontal="right" vertical="center"/>
    </xf>
    <xf numFmtId="0" fontId="10" fillId="10" borderId="16" xfId="1" applyFont="1" applyFill="1" applyBorder="1" applyAlignment="1" applyProtection="1">
      <alignment horizontal="center" vertical="center"/>
    </xf>
    <xf numFmtId="0" fontId="10" fillId="0" borderId="17" xfId="1" applyFont="1" applyBorder="1" applyAlignment="1" applyProtection="1">
      <alignment horizontal="center" vertical="center"/>
    </xf>
    <xf numFmtId="0" fontId="10" fillId="10" borderId="18" xfId="1" applyFont="1" applyFill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10" fillId="0" borderId="16" xfId="1" applyFont="1" applyBorder="1" applyAlignment="1" applyProtection="1">
      <alignment horizontal="center" vertical="center"/>
    </xf>
    <xf numFmtId="0" fontId="9" fillId="0" borderId="16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10" borderId="16" xfId="1" applyFont="1" applyFill="1" applyBorder="1" applyAlignment="1" applyProtection="1">
      <alignment horizontal="center" vertical="center"/>
    </xf>
    <xf numFmtId="0" fontId="10" fillId="0" borderId="20" xfId="1" applyFont="1" applyBorder="1" applyAlignment="1" applyProtection="1">
      <alignment horizontal="center" vertical="center"/>
    </xf>
    <xf numFmtId="0" fontId="10" fillId="0" borderId="19" xfId="1" applyFont="1" applyBorder="1" applyAlignment="1" applyProtection="1">
      <alignment horizontal="center" vertical="center"/>
    </xf>
    <xf numFmtId="0" fontId="9" fillId="10" borderId="19" xfId="1" applyFont="1" applyFill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10" fillId="0" borderId="18" xfId="1" applyFont="1" applyBorder="1" applyAlignment="1" applyProtection="1">
      <alignment horizontal="center" vertical="center"/>
    </xf>
    <xf numFmtId="0" fontId="9" fillId="10" borderId="20" xfId="1" applyFont="1" applyFill="1" applyBorder="1" applyAlignment="1" applyProtection="1">
      <alignment horizontal="center" vertical="center"/>
    </xf>
    <xf numFmtId="0" fontId="9" fillId="0" borderId="20" xfId="1" applyFont="1" applyBorder="1" applyAlignment="1" applyProtection="1">
      <alignment horizontal="center" vertical="center"/>
    </xf>
    <xf numFmtId="0" fontId="9" fillId="10" borderId="17" xfId="1" applyFont="1" applyFill="1" applyBorder="1" applyAlignment="1" applyProtection="1">
      <alignment horizontal="center" vertical="center"/>
    </xf>
    <xf numFmtId="0" fontId="10" fillId="10" borderId="19" xfId="1" applyFont="1" applyFill="1" applyBorder="1" applyAlignment="1" applyProtection="1">
      <alignment horizontal="center" vertical="center"/>
    </xf>
    <xf numFmtId="0" fontId="10" fillId="10" borderId="17" xfId="1" applyFont="1" applyFill="1" applyBorder="1" applyAlignment="1" applyProtection="1">
      <alignment horizontal="center" vertical="center"/>
    </xf>
    <xf numFmtId="0" fontId="9" fillId="10" borderId="18" xfId="1" applyFont="1" applyFill="1" applyBorder="1" applyAlignment="1" applyProtection="1">
      <alignment horizontal="center" vertical="center"/>
    </xf>
    <xf numFmtId="0" fontId="6" fillId="3" borderId="12" xfId="1" applyFont="1" applyFill="1" applyBorder="1" applyAlignment="1" applyProtection="1">
      <alignment horizontal="left" vertical="center" wrapText="1"/>
    </xf>
    <xf numFmtId="0" fontId="9" fillId="9" borderId="15" xfId="1" applyFont="1" applyFill="1" applyBorder="1" applyAlignment="1" applyProtection="1">
      <alignment vertical="center" wrapText="1"/>
    </xf>
    <xf numFmtId="0" fontId="10" fillId="9" borderId="22" xfId="1" applyFont="1" applyFill="1" applyBorder="1" applyAlignment="1" applyProtection="1">
      <alignment horizontal="center" vertical="center"/>
    </xf>
    <xf numFmtId="0" fontId="10" fillId="9" borderId="23" xfId="1" applyFont="1" applyFill="1" applyBorder="1" applyAlignment="1" applyProtection="1">
      <alignment horizontal="center" vertical="center"/>
    </xf>
    <xf numFmtId="0" fontId="10" fillId="9" borderId="24" xfId="1" applyFont="1" applyFill="1" applyBorder="1" applyAlignment="1" applyProtection="1">
      <alignment horizontal="center" vertical="center"/>
    </xf>
    <xf numFmtId="0" fontId="10" fillId="9" borderId="25" xfId="1" applyFont="1" applyFill="1" applyBorder="1" applyAlignment="1" applyProtection="1">
      <alignment horizontal="center" vertical="center"/>
    </xf>
    <xf numFmtId="0" fontId="10" fillId="9" borderId="26" xfId="1" applyFont="1" applyFill="1" applyBorder="1" applyAlignment="1" applyProtection="1">
      <alignment horizontal="center" vertical="center"/>
    </xf>
    <xf numFmtId="0" fontId="10" fillId="10" borderId="20" xfId="1" applyFont="1" applyFill="1" applyBorder="1" applyAlignment="1" applyProtection="1">
      <alignment horizontal="center" vertical="center"/>
    </xf>
    <xf numFmtId="0" fontId="10" fillId="9" borderId="27" xfId="1" applyFont="1" applyFill="1" applyBorder="1" applyAlignment="1" applyProtection="1">
      <alignment horizontal="center" vertical="center"/>
    </xf>
    <xf numFmtId="0" fontId="10" fillId="9" borderId="28" xfId="1" applyFont="1" applyFill="1" applyBorder="1" applyAlignment="1" applyProtection="1">
      <alignment horizontal="center" vertical="center"/>
    </xf>
    <xf numFmtId="0" fontId="10" fillId="9" borderId="29" xfId="1" applyFont="1" applyFill="1" applyBorder="1" applyAlignment="1" applyProtection="1">
      <alignment horizontal="center" vertical="center"/>
    </xf>
    <xf numFmtId="0" fontId="10" fillId="9" borderId="30" xfId="1" applyFont="1" applyFill="1" applyBorder="1" applyAlignment="1" applyProtection="1">
      <alignment horizontal="center" vertical="center"/>
    </xf>
    <xf numFmtId="0" fontId="10" fillId="9" borderId="31" xfId="1" applyFont="1" applyFill="1" applyBorder="1" applyAlignment="1" applyProtection="1">
      <alignment horizontal="center" vertical="center"/>
    </xf>
    <xf numFmtId="0" fontId="15" fillId="3" borderId="13" xfId="1" applyFont="1" applyFill="1" applyBorder="1" applyAlignment="1" applyProtection="1">
      <alignment horizontal="left" vertical="center" wrapText="1"/>
    </xf>
    <xf numFmtId="2" fontId="7" fillId="0" borderId="13" xfId="1" applyNumberFormat="1" applyFont="1" applyBorder="1" applyAlignment="1" applyProtection="1">
      <alignment horizontal="center" vertical="center" wrapText="1"/>
    </xf>
    <xf numFmtId="0" fontId="10" fillId="9" borderId="33" xfId="1" applyFont="1" applyFill="1" applyBorder="1" applyAlignment="1" applyProtection="1">
      <alignment horizontal="center" vertical="center"/>
    </xf>
    <xf numFmtId="0" fontId="10" fillId="9" borderId="0" xfId="1" applyFont="1" applyFill="1" applyAlignment="1" applyProtection="1">
      <alignment horizontal="center" vertical="center"/>
    </xf>
    <xf numFmtId="0" fontId="10" fillId="9" borderId="34" xfId="1" applyFont="1" applyFill="1" applyBorder="1" applyAlignment="1" applyProtection="1">
      <alignment horizontal="center" vertical="center"/>
    </xf>
    <xf numFmtId="0" fontId="10" fillId="9" borderId="35" xfId="1" applyFont="1" applyFill="1" applyBorder="1" applyAlignment="1" applyProtection="1">
      <alignment horizontal="center" vertical="center"/>
    </xf>
    <xf numFmtId="0" fontId="10" fillId="9" borderId="36" xfId="1" applyFont="1" applyFill="1" applyBorder="1" applyAlignment="1" applyProtection="1">
      <alignment horizontal="center" vertical="center"/>
    </xf>
    <xf numFmtId="2" fontId="6" fillId="3" borderId="13" xfId="1" applyNumberFormat="1" applyFont="1" applyFill="1" applyBorder="1" applyAlignment="1" applyProtection="1">
      <alignment horizontal="center" vertical="center" wrapText="1"/>
    </xf>
    <xf numFmtId="0" fontId="9" fillId="8" borderId="16" xfId="1" applyFont="1" applyFill="1" applyBorder="1" applyAlignment="1" applyProtection="1">
      <alignment horizontal="center" vertical="center"/>
    </xf>
    <xf numFmtId="0" fontId="9" fillId="9" borderId="37" xfId="1" applyFont="1" applyFill="1" applyBorder="1" applyAlignment="1" applyProtection="1">
      <alignment vertical="center" wrapText="1"/>
    </xf>
    <xf numFmtId="0" fontId="10" fillId="9" borderId="38" xfId="1" applyFont="1" applyFill="1" applyBorder="1" applyAlignment="1" applyProtection="1">
      <alignment horizontal="center" vertical="center"/>
    </xf>
    <xf numFmtId="0" fontId="10" fillId="9" borderId="39" xfId="1" applyFont="1" applyFill="1" applyBorder="1" applyAlignment="1" applyProtection="1">
      <alignment horizontal="center" vertical="center"/>
    </xf>
    <xf numFmtId="0" fontId="10" fillId="9" borderId="40" xfId="1" applyFont="1" applyFill="1" applyBorder="1" applyAlignment="1" applyProtection="1">
      <alignment horizontal="center" vertical="center"/>
    </xf>
    <xf numFmtId="0" fontId="10" fillId="9" borderId="41" xfId="1" applyFont="1" applyFill="1" applyBorder="1" applyAlignment="1" applyProtection="1">
      <alignment horizontal="center" vertical="center"/>
    </xf>
    <xf numFmtId="0" fontId="10" fillId="9" borderId="42" xfId="1" applyFont="1" applyFill="1" applyBorder="1" applyAlignment="1" applyProtection="1">
      <alignment horizontal="center" vertical="center"/>
    </xf>
    <xf numFmtId="0" fontId="9" fillId="8" borderId="19" xfId="1" applyFont="1" applyFill="1" applyBorder="1" applyAlignment="1" applyProtection="1">
      <alignment horizontal="center" vertical="center"/>
    </xf>
    <xf numFmtId="2" fontId="6" fillId="3" borderId="0" xfId="1" applyNumberFormat="1" applyFont="1" applyFill="1" applyAlignment="1" applyProtection="1">
      <alignment horizontal="center" vertical="center" wrapText="1"/>
    </xf>
    <xf numFmtId="2" fontId="0" fillId="0" borderId="0" xfId="1" applyNumberFormat="1" applyFont="1" applyAlignment="1" applyProtection="1">
      <alignment horizontal="center"/>
    </xf>
    <xf numFmtId="0" fontId="17" fillId="0" borderId="0" xfId="1" applyFont="1" applyAlignment="1" applyProtection="1">
      <alignment horizontal="left" vertical="center" wrapText="1"/>
    </xf>
    <xf numFmtId="0" fontId="5" fillId="3" borderId="43" xfId="1" applyFont="1" applyFill="1" applyBorder="1" applyAlignment="1" applyProtection="1">
      <alignment horizontal="left" vertical="center" wrapText="1"/>
    </xf>
    <xf numFmtId="165" fontId="7" fillId="0" borderId="44" xfId="1" applyNumberFormat="1" applyFont="1" applyBorder="1" applyAlignment="1" applyProtection="1">
      <alignment horizontal="center" wrapText="1"/>
    </xf>
    <xf numFmtId="2" fontId="5" fillId="0" borderId="0" xfId="1" applyNumberFormat="1" applyFont="1" applyAlignment="1" applyProtection="1">
      <alignment horizontal="center" vertical="center" wrapText="1"/>
    </xf>
    <xf numFmtId="0" fontId="6" fillId="3" borderId="43" xfId="1" applyFont="1" applyFill="1" applyBorder="1" applyAlignment="1" applyProtection="1">
      <alignment horizontal="left" vertical="center" wrapText="1"/>
    </xf>
    <xf numFmtId="0" fontId="15" fillId="3" borderId="45" xfId="1" applyFont="1" applyFill="1" applyBorder="1" applyAlignment="1" applyProtection="1">
      <alignment horizontal="left" vertical="center" wrapText="1"/>
    </xf>
    <xf numFmtId="0" fontId="6" fillId="3" borderId="45" xfId="1" applyFont="1" applyFill="1" applyBorder="1" applyAlignment="1" applyProtection="1">
      <alignment horizontal="left" vertical="center" wrapText="1"/>
    </xf>
    <xf numFmtId="0" fontId="16" fillId="3" borderId="45" xfId="1" applyFont="1" applyFill="1" applyBorder="1" applyAlignment="1" applyProtection="1">
      <alignment horizontal="left" vertical="center" wrapText="1"/>
    </xf>
    <xf numFmtId="0" fontId="6" fillId="3" borderId="46" xfId="1" applyFont="1" applyFill="1" applyBorder="1" applyAlignment="1" applyProtection="1">
      <alignment horizontal="left" vertical="center" wrapText="1"/>
    </xf>
    <xf numFmtId="0" fontId="6" fillId="0" borderId="0" xfId="1" applyFont="1" applyAlignment="1" applyProtection="1">
      <alignment horizontal="left" vertical="center" wrapText="1"/>
    </xf>
    <xf numFmtId="165" fontId="7" fillId="0" borderId="0" xfId="1" applyNumberFormat="1" applyFont="1" applyAlignment="1" applyProtection="1">
      <alignment horizontal="center" wrapText="1"/>
    </xf>
    <xf numFmtId="165" fontId="0" fillId="0" borderId="0" xfId="1" applyNumberFormat="1" applyFont="1" applyAlignment="1" applyProtection="1">
      <alignment horizontal="center" vertical="center"/>
    </xf>
    <xf numFmtId="1" fontId="0" fillId="0" borderId="0" xfId="1" applyNumberFormat="1" applyFont="1" applyAlignment="1" applyProtection="1">
      <alignment horizontal="center" vertical="center"/>
    </xf>
    <xf numFmtId="0" fontId="0" fillId="0" borderId="0" xfId="1" applyFont="1" applyAlignment="1" applyProtection="1">
      <alignment horizontal="center" vertical="center"/>
    </xf>
    <xf numFmtId="0" fontId="18" fillId="11" borderId="0" xfId="1" applyFont="1" applyFill="1" applyAlignment="1" applyProtection="1">
      <alignment horizontal="left" vertical="center" wrapText="1"/>
    </xf>
    <xf numFmtId="2" fontId="0" fillId="0" borderId="0" xfId="1" applyNumberFormat="1" applyFont="1" applyProtection="1"/>
    <xf numFmtId="164" fontId="0" fillId="4" borderId="0" xfId="1" applyNumberFormat="1" applyFont="1" applyFill="1" applyProtection="1"/>
    <xf numFmtId="164" fontId="0" fillId="12" borderId="0" xfId="1" applyNumberFormat="1" applyFont="1" applyFill="1" applyProtection="1"/>
    <xf numFmtId="164" fontId="0" fillId="6" borderId="0" xfId="1" applyNumberFormat="1" applyFont="1" applyFill="1" applyProtection="1"/>
    <xf numFmtId="164" fontId="0" fillId="7" borderId="0" xfId="1" applyNumberFormat="1" applyFont="1" applyFill="1" applyProtection="1"/>
    <xf numFmtId="0" fontId="0" fillId="0" borderId="0" xfId="0" applyAlignment="1">
      <alignment wrapText="1"/>
    </xf>
    <xf numFmtId="0" fontId="0" fillId="0" borderId="0" xfId="1" applyFont="1" applyAlignment="1" applyProtection="1">
      <alignment horizontal="center" vertical="center" wrapText="1"/>
    </xf>
    <xf numFmtId="2" fontId="0" fillId="13" borderId="0" xfId="1" applyNumberFormat="1" applyFont="1" applyFill="1" applyAlignment="1" applyProtection="1">
      <alignment horizontal="center"/>
    </xf>
    <xf numFmtId="2" fontId="0" fillId="0" borderId="0" xfId="1" applyNumberFormat="1" applyFont="1" applyAlignment="1" applyProtection="1">
      <alignment horizontal="center" vertical="center"/>
    </xf>
    <xf numFmtId="0" fontId="6" fillId="0" borderId="32" xfId="1" applyFont="1" applyBorder="1" applyAlignment="1" applyProtection="1">
      <alignment horizontal="left" vertical="center" wrapText="1"/>
    </xf>
    <xf numFmtId="0" fontId="19" fillId="0" borderId="0" xfId="1" applyFont="1" applyAlignment="1" applyProtection="1">
      <alignment horizontal="center" vertical="center"/>
    </xf>
    <xf numFmtId="165" fontId="0" fillId="0" borderId="0" xfId="1" applyNumberFormat="1" applyFont="1" applyAlignment="1" applyProtection="1">
      <alignment horizontal="center"/>
    </xf>
    <xf numFmtId="164" fontId="0" fillId="0" borderId="0" xfId="1" applyNumberFormat="1" applyFont="1" applyAlignment="1" applyProtection="1">
      <alignment horizontal="center" vertical="center"/>
    </xf>
    <xf numFmtId="164" fontId="0" fillId="0" borderId="0" xfId="1" applyNumberFormat="1" applyFont="1" applyProtection="1"/>
    <xf numFmtId="165" fontId="0" fillId="0" borderId="0" xfId="1" applyNumberFormat="1" applyFont="1" applyAlignment="1" applyProtection="1">
      <alignment horizontal="right"/>
    </xf>
    <xf numFmtId="165" fontId="0" fillId="0" borderId="0" xfId="1" applyNumberFormat="1" applyFont="1" applyProtection="1"/>
    <xf numFmtId="0" fontId="0" fillId="0" borderId="0" xfId="1" applyFont="1" applyBorder="1" applyProtection="1"/>
    <xf numFmtId="165" fontId="0" fillId="13" borderId="0" xfId="1" applyNumberFormat="1" applyFont="1" applyFill="1" applyAlignment="1" applyProtection="1">
      <alignment horizontal="center"/>
    </xf>
    <xf numFmtId="0" fontId="21" fillId="0" borderId="0" xfId="1" applyFont="1" applyAlignment="1" applyProtection="1">
      <alignment horizontal="left" vertical="center" wrapText="1"/>
    </xf>
    <xf numFmtId="164" fontId="0" fillId="0" borderId="0" xfId="1" applyNumberFormat="1" applyFont="1" applyBorder="1" applyProtection="1"/>
    <xf numFmtId="2" fontId="0" fillId="0" borderId="0" xfId="1" applyNumberFormat="1" applyFont="1" applyBorder="1" applyProtection="1"/>
    <xf numFmtId="0" fontId="17" fillId="0" borderId="0" xfId="0" applyFont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 wrapText="1"/>
    </xf>
    <xf numFmtId="165" fontId="7" fillId="0" borderId="44" xfId="0" applyNumberFormat="1" applyFont="1" applyBorder="1" applyAlignment="1">
      <alignment horizontal="center" wrapText="1"/>
    </xf>
    <xf numFmtId="165" fontId="0" fillId="0" borderId="0" xfId="0" applyNumberFormat="1"/>
    <xf numFmtId="0" fontId="6" fillId="3" borderId="43" xfId="0" applyFont="1" applyFill="1" applyBorder="1" applyAlignment="1">
      <alignment horizontal="left" vertical="center" wrapText="1"/>
    </xf>
    <xf numFmtId="0" fontId="15" fillId="3" borderId="45" xfId="0" applyFont="1" applyFill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wrapText="1"/>
    </xf>
    <xf numFmtId="0" fontId="16" fillId="3" borderId="45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22" fillId="14" borderId="0" xfId="0" applyFont="1" applyFill="1" applyAlignment="1">
      <alignment horizontal="left" vertical="center" wrapText="1"/>
    </xf>
    <xf numFmtId="165" fontId="23" fillId="0" borderId="44" xfId="0" applyNumberFormat="1" applyFont="1" applyBorder="1" applyAlignment="1">
      <alignment horizontal="left" wrapText="1"/>
    </xf>
    <xf numFmtId="0" fontId="6" fillId="15" borderId="0" xfId="0" applyFont="1" applyFill="1" applyAlignment="1">
      <alignment horizontal="left"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0" fillId="16" borderId="0" xfId="0" applyFill="1"/>
    <xf numFmtId="0" fontId="0" fillId="17" borderId="0" xfId="0" applyFill="1"/>
    <xf numFmtId="0" fontId="6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center" wrapText="1"/>
    </xf>
    <xf numFmtId="0" fontId="19" fillId="0" borderId="0" xfId="0" applyFont="1"/>
    <xf numFmtId="1" fontId="0" fillId="0" borderId="0" xfId="0" applyNumberFormat="1"/>
    <xf numFmtId="2" fontId="0" fillId="0" borderId="0" xfId="0" applyNumberFormat="1" applyAlignment="1">
      <alignment wrapText="1"/>
    </xf>
    <xf numFmtId="0" fontId="4" fillId="0" borderId="0" xfId="0" applyFont="1" applyAlignment="1">
      <alignment horizontal="center" textRotation="90" wrapText="1"/>
    </xf>
    <xf numFmtId="1" fontId="0" fillId="0" borderId="0" xfId="0" applyNumberFormat="1" applyAlignment="1">
      <alignment wrapText="1"/>
    </xf>
    <xf numFmtId="0" fontId="3" fillId="4" borderId="4" xfId="1" applyFont="1" applyFill="1" applyBorder="1" applyAlignment="1" applyProtection="1">
      <alignment vertical="center" wrapText="1"/>
    </xf>
    <xf numFmtId="0" fontId="3" fillId="5" borderId="5" xfId="1" applyFont="1" applyFill="1" applyBorder="1" applyAlignment="1" applyProtection="1">
      <alignment vertical="center" wrapText="1"/>
    </xf>
    <xf numFmtId="0" fontId="3" fillId="6" borderId="6" xfId="1" applyFont="1" applyFill="1" applyBorder="1" applyAlignment="1" applyProtection="1">
      <alignment vertical="top" wrapText="1"/>
    </xf>
    <xf numFmtId="0" fontId="3" fillId="7" borderId="6" xfId="1" applyFont="1" applyFill="1" applyBorder="1" applyAlignment="1" applyProtection="1">
      <alignment vertical="top" wrapText="1"/>
    </xf>
    <xf numFmtId="49" fontId="3" fillId="7" borderId="6" xfId="1" applyNumberFormat="1" applyFont="1" applyFill="1" applyBorder="1" applyAlignment="1" applyProtection="1">
      <alignment vertical="top" wrapText="1"/>
    </xf>
    <xf numFmtId="49" fontId="3" fillId="7" borderId="10" xfId="1" applyNumberFormat="1" applyFont="1" applyFill="1" applyBorder="1" applyAlignment="1" applyProtection="1">
      <alignment vertical="top" wrapText="1"/>
    </xf>
    <xf numFmtId="165" fontId="7" fillId="0" borderId="47" xfId="0" applyNumberFormat="1" applyFont="1" applyBorder="1" applyAlignment="1">
      <alignment horizontal="center" wrapText="1"/>
    </xf>
    <xf numFmtId="165" fontId="7" fillId="0" borderId="0" xfId="0" quotePrefix="1" applyNumberFormat="1" applyFont="1" applyAlignment="1">
      <alignment horizontal="center" wrapText="1"/>
    </xf>
    <xf numFmtId="165" fontId="7" fillId="0" borderId="0" xfId="1" applyNumberFormat="1" applyFont="1" applyBorder="1" applyAlignment="1" applyProtection="1">
      <alignment horizontal="center" wrapText="1"/>
    </xf>
    <xf numFmtId="165" fontId="20" fillId="0" borderId="0" xfId="1" applyNumberFormat="1" applyFont="1" applyBorder="1" applyAlignment="1" applyProtection="1">
      <alignment horizontal="center" wrapText="1"/>
    </xf>
    <xf numFmtId="2" fontId="20" fillId="0" borderId="0" xfId="1" applyNumberFormat="1" applyFont="1" applyAlignment="1" applyProtection="1">
      <alignment horizontal="center" vertical="center" wrapText="1"/>
    </xf>
    <xf numFmtId="2" fontId="7" fillId="0" borderId="0" xfId="1" applyNumberFormat="1" applyFont="1" applyAlignment="1" applyProtection="1">
      <alignment horizontal="center" wrapText="1"/>
    </xf>
    <xf numFmtId="1" fontId="20" fillId="0" borderId="0" xfId="1" applyNumberFormat="1" applyFont="1" applyAlignment="1" applyProtection="1">
      <alignment horizontal="center" vertical="center" wrapText="1"/>
    </xf>
    <xf numFmtId="0" fontId="25" fillId="0" borderId="0" xfId="1" applyFont="1" applyAlignment="1" applyProtection="1">
      <alignment horizontal="left" vertical="center" wrapText="1"/>
    </xf>
    <xf numFmtId="164" fontId="7" fillId="0" borderId="0" xfId="1" applyNumberFormat="1" applyFont="1" applyAlignment="1" applyProtection="1">
      <alignment horizontal="center" wrapText="1"/>
    </xf>
    <xf numFmtId="0" fontId="4" fillId="0" borderId="0" xfId="1" applyFont="1" applyBorder="1" applyAlignment="1" applyProtection="1">
      <alignment horizontal="center" textRotation="90" wrapText="1"/>
    </xf>
    <xf numFmtId="0" fontId="26" fillId="18" borderId="48" xfId="1" applyFont="1" applyFill="1" applyBorder="1" applyProtection="1"/>
    <xf numFmtId="0" fontId="26" fillId="0" borderId="48" xfId="1" applyFont="1" applyBorder="1" applyAlignment="1" applyProtection="1">
      <alignment horizontal="center"/>
    </xf>
    <xf numFmtId="0" fontId="27" fillId="18" borderId="48" xfId="1" applyFont="1" applyFill="1" applyBorder="1" applyProtection="1"/>
    <xf numFmtId="0" fontId="27" fillId="0" borderId="48" xfId="1" applyFont="1" applyBorder="1" applyProtection="1"/>
    <xf numFmtId="1" fontId="27" fillId="0" borderId="48" xfId="1" applyNumberFormat="1" applyFont="1" applyBorder="1" applyProtection="1"/>
    <xf numFmtId="165" fontId="27" fillId="0" borderId="48" xfId="1" applyNumberFormat="1" applyFont="1" applyBorder="1" applyProtection="1"/>
    <xf numFmtId="0" fontId="0" fillId="19" borderId="0" xfId="0" applyFill="1"/>
    <xf numFmtId="0" fontId="0" fillId="19" borderId="0" xfId="0" applyFill="1" applyAlignment="1">
      <alignment wrapText="1"/>
    </xf>
    <xf numFmtId="2" fontId="7" fillId="0" borderId="44" xfId="0" applyNumberFormat="1" applyFont="1" applyBorder="1" applyAlignment="1">
      <alignment horizontal="center" wrapText="1"/>
    </xf>
    <xf numFmtId="0" fontId="28" fillId="0" borderId="32" xfId="1" applyFont="1" applyBorder="1" applyAlignment="1" applyProtection="1">
      <alignment horizontal="left" vertical="center" wrapText="1"/>
    </xf>
    <xf numFmtId="0" fontId="0" fillId="0" borderId="48" xfId="0" applyBorder="1"/>
    <xf numFmtId="0" fontId="15" fillId="3" borderId="0" xfId="1" applyFont="1" applyFill="1" applyBorder="1" applyAlignment="1" applyProtection="1">
      <alignment horizontal="left" vertical="center" wrapText="1"/>
    </xf>
    <xf numFmtId="0" fontId="18" fillId="11" borderId="13" xfId="1" applyFont="1" applyFill="1" applyBorder="1" applyAlignment="1" applyProtection="1">
      <alignment horizontal="left" vertical="center" wrapText="1"/>
    </xf>
    <xf numFmtId="2" fontId="0" fillId="0" borderId="0" xfId="0" applyNumberFormat="1"/>
    <xf numFmtId="166" fontId="0" fillId="0" borderId="0" xfId="0" applyNumberFormat="1"/>
    <xf numFmtId="0" fontId="30" fillId="20" borderId="0" xfId="0" applyFont="1" applyFill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165" fontId="27" fillId="16" borderId="48" xfId="1" applyNumberFormat="1" applyFont="1" applyFill="1" applyBorder="1" applyProtection="1"/>
    <xf numFmtId="1" fontId="27" fillId="16" borderId="48" xfId="1" applyNumberFormat="1" applyFont="1" applyFill="1" applyBorder="1" applyProtection="1"/>
    <xf numFmtId="0" fontId="0" fillId="16" borderId="48" xfId="0" applyFill="1" applyBorder="1"/>
    <xf numFmtId="0" fontId="27" fillId="16" borderId="48" xfId="1" applyFont="1" applyFill="1" applyBorder="1" applyProtection="1"/>
    <xf numFmtId="0" fontId="32" fillId="4" borderId="2" xfId="1" applyFont="1" applyFill="1" applyBorder="1" applyAlignment="1" applyProtection="1">
      <alignment horizontal="center" textRotation="90" wrapText="1"/>
    </xf>
    <xf numFmtId="0" fontId="32" fillId="4" borderId="7" xfId="1" applyFont="1" applyFill="1" applyBorder="1" applyAlignment="1" applyProtection="1">
      <alignment horizontal="center" textRotation="90" wrapText="1"/>
    </xf>
    <xf numFmtId="0" fontId="32" fillId="4" borderId="8" xfId="1" applyFont="1" applyFill="1" applyBorder="1" applyAlignment="1" applyProtection="1">
      <alignment horizontal="center" textRotation="90" wrapText="1"/>
    </xf>
    <xf numFmtId="0" fontId="32" fillId="5" borderId="3" xfId="1" applyFont="1" applyFill="1" applyBorder="1" applyAlignment="1" applyProtection="1">
      <alignment horizontal="center" textRotation="90" wrapText="1"/>
    </xf>
    <xf numFmtId="0" fontId="32" fillId="5" borderId="7" xfId="1" applyFont="1" applyFill="1" applyBorder="1" applyAlignment="1" applyProtection="1">
      <alignment horizontal="center" textRotation="90" wrapText="1"/>
    </xf>
    <xf numFmtId="0" fontId="32" fillId="5" borderId="9" xfId="1" applyFont="1" applyFill="1" applyBorder="1" applyAlignment="1" applyProtection="1">
      <alignment horizontal="center" textRotation="90" wrapText="1"/>
    </xf>
    <xf numFmtId="0" fontId="32" fillId="6" borderId="10" xfId="1" applyFont="1" applyFill="1" applyBorder="1" applyAlignment="1" applyProtection="1">
      <alignment horizontal="center" textRotation="90" wrapText="1"/>
    </xf>
    <xf numFmtId="0" fontId="32" fillId="6" borderId="7" xfId="1" applyFont="1" applyFill="1" applyBorder="1" applyAlignment="1" applyProtection="1">
      <alignment horizontal="center" textRotation="90" wrapText="1"/>
    </xf>
    <xf numFmtId="0" fontId="32" fillId="6" borderId="2" xfId="1" applyFont="1" applyFill="1" applyBorder="1" applyAlignment="1" applyProtection="1">
      <alignment horizontal="center" textRotation="90" wrapText="1"/>
    </xf>
    <xf numFmtId="0" fontId="32" fillId="6" borderId="9" xfId="1" applyFont="1" applyFill="1" applyBorder="1" applyAlignment="1" applyProtection="1">
      <alignment horizontal="center" textRotation="90" wrapText="1"/>
    </xf>
    <xf numFmtId="0" fontId="32" fillId="7" borderId="11" xfId="1" applyFont="1" applyFill="1" applyBorder="1" applyAlignment="1" applyProtection="1">
      <alignment horizontal="center" textRotation="90" wrapText="1"/>
    </xf>
    <xf numFmtId="0" fontId="32" fillId="7" borderId="7" xfId="1" applyFont="1" applyFill="1" applyBorder="1" applyAlignment="1" applyProtection="1">
      <alignment horizontal="center" textRotation="90" wrapText="1"/>
    </xf>
    <xf numFmtId="0" fontId="32" fillId="7" borderId="9" xfId="1" applyFont="1" applyFill="1" applyBorder="1" applyAlignment="1" applyProtection="1">
      <alignment horizontal="center" textRotation="90" wrapText="1"/>
    </xf>
    <xf numFmtId="167" fontId="0" fillId="0" borderId="0" xfId="0" applyNumberFormat="1"/>
    <xf numFmtId="164" fontId="0" fillId="0" borderId="0" xfId="0" applyNumberFormat="1"/>
    <xf numFmtId="1" fontId="27" fillId="21" borderId="48" xfId="1" applyNumberFormat="1" applyFont="1" applyFill="1" applyBorder="1" applyProtection="1"/>
    <xf numFmtId="0" fontId="0" fillId="0" borderId="0" xfId="0" applyAlignment="1">
      <alignment horizontal="right"/>
    </xf>
    <xf numFmtId="2" fontId="7" fillId="0" borderId="44" xfId="1" applyNumberFormat="1" applyFont="1" applyBorder="1" applyAlignment="1" applyProtection="1">
      <alignment horizontal="center" wrapText="1"/>
    </xf>
    <xf numFmtId="2" fontId="0" fillId="4" borderId="0" xfId="1" applyNumberFormat="1" applyFont="1" applyFill="1" applyProtection="1"/>
    <xf numFmtId="9" fontId="0" fillId="0" borderId="0" xfId="2" applyFont="1"/>
    <xf numFmtId="9" fontId="0" fillId="0" borderId="0" xfId="0" applyNumberFormat="1"/>
    <xf numFmtId="2" fontId="14" fillId="19" borderId="0" xfId="0" applyNumberFormat="1" applyFont="1" applyFill="1"/>
    <xf numFmtId="9" fontId="0" fillId="0" borderId="0" xfId="2" applyFont="1" applyFill="1"/>
    <xf numFmtId="164" fontId="20" fillId="0" borderId="0" xfId="1" applyNumberFormat="1" applyFont="1" applyBorder="1" applyAlignment="1" applyProtection="1">
      <alignment horizontal="center" wrapText="1"/>
    </xf>
    <xf numFmtId="0" fontId="33" fillId="0" borderId="49" xfId="0" applyFont="1" applyBorder="1" applyAlignment="1">
      <alignment horizontal="right" vertical="center"/>
    </xf>
    <xf numFmtId="0" fontId="33" fillId="0" borderId="50" xfId="0" applyFont="1" applyBorder="1" applyAlignment="1">
      <alignment horizontal="right" vertical="center"/>
    </xf>
    <xf numFmtId="0" fontId="33" fillId="16" borderId="50" xfId="0" applyFont="1" applyFill="1" applyBorder="1" applyAlignment="1">
      <alignment horizontal="right" vertical="center"/>
    </xf>
    <xf numFmtId="0" fontId="33" fillId="0" borderId="51" xfId="0" applyFont="1" applyBorder="1" applyAlignment="1">
      <alignment horizontal="right" vertical="center"/>
    </xf>
    <xf numFmtId="0" fontId="33" fillId="0" borderId="52" xfId="0" applyFont="1" applyBorder="1" applyAlignment="1">
      <alignment horizontal="right" vertical="center"/>
    </xf>
    <xf numFmtId="0" fontId="33" fillId="16" borderId="52" xfId="0" applyFont="1" applyFill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2" fontId="0" fillId="16" borderId="0" xfId="0" applyNumberFormat="1" applyFill="1"/>
    <xf numFmtId="0" fontId="34" fillId="0" borderId="0" xfId="3"/>
    <xf numFmtId="0" fontId="35" fillId="0" borderId="54" xfId="3" applyFont="1" applyBorder="1" applyAlignment="1">
      <alignment horizontal="center" wrapText="1"/>
    </xf>
    <xf numFmtId="0" fontId="35" fillId="0" borderId="55" xfId="3" applyFont="1" applyBorder="1" applyAlignment="1">
      <alignment horizontal="center" wrapText="1"/>
    </xf>
    <xf numFmtId="0" fontId="35" fillId="0" borderId="56" xfId="3" applyFont="1" applyBorder="1" applyAlignment="1">
      <alignment horizontal="left" vertical="top" wrapText="1"/>
    </xf>
    <xf numFmtId="168" fontId="36" fillId="0" borderId="57" xfId="3" applyNumberFormat="1" applyFont="1" applyBorder="1" applyAlignment="1">
      <alignment horizontal="right" vertical="top"/>
    </xf>
    <xf numFmtId="168" fontId="36" fillId="0" borderId="58" xfId="3" applyNumberFormat="1" applyFont="1" applyBorder="1" applyAlignment="1">
      <alignment horizontal="right" vertical="top"/>
    </xf>
    <xf numFmtId="0" fontId="35" fillId="0" borderId="59" xfId="3" applyFont="1" applyBorder="1" applyAlignment="1">
      <alignment horizontal="left" vertical="top" wrapText="1"/>
    </xf>
    <xf numFmtId="0" fontId="36" fillId="0" borderId="60" xfId="3" applyFont="1" applyBorder="1" applyAlignment="1">
      <alignment horizontal="right" vertical="top"/>
    </xf>
    <xf numFmtId="168" fontId="36" fillId="0" borderId="61" xfId="3" applyNumberFormat="1" applyFont="1" applyBorder="1" applyAlignment="1">
      <alignment horizontal="right" vertical="top"/>
    </xf>
    <xf numFmtId="169" fontId="36" fillId="0" borderId="60" xfId="3" applyNumberFormat="1" applyFont="1" applyBorder="1" applyAlignment="1">
      <alignment horizontal="right" vertical="top"/>
    </xf>
    <xf numFmtId="169" fontId="36" fillId="0" borderId="61" xfId="3" applyNumberFormat="1" applyFont="1" applyBorder="1" applyAlignment="1">
      <alignment horizontal="right" vertical="top"/>
    </xf>
    <xf numFmtId="0" fontId="35" fillId="0" borderId="53" xfId="3" applyFont="1" applyBorder="1" applyAlignment="1">
      <alignment wrapText="1"/>
    </xf>
    <xf numFmtId="168" fontId="35" fillId="0" borderId="62" xfId="3" applyNumberFormat="1" applyFont="1" applyBorder="1" applyAlignment="1">
      <alignment horizontal="right" vertical="top"/>
    </xf>
    <xf numFmtId="168" fontId="35" fillId="0" borderId="63" xfId="3" applyNumberFormat="1" applyFont="1" applyBorder="1" applyAlignment="1">
      <alignment horizontal="right" vertical="top"/>
    </xf>
    <xf numFmtId="168" fontId="35" fillId="0" borderId="64" xfId="3" applyNumberFormat="1" applyFont="1" applyBorder="1" applyAlignment="1">
      <alignment horizontal="right" vertical="top"/>
    </xf>
    <xf numFmtId="168" fontId="35" fillId="0" borderId="65" xfId="3" applyNumberFormat="1" applyFont="1" applyBorder="1" applyAlignment="1">
      <alignment horizontal="right" vertical="top"/>
    </xf>
    <xf numFmtId="49" fontId="31" fillId="7" borderId="6" xfId="1" applyNumberFormat="1" applyFont="1" applyFill="1" applyBorder="1" applyAlignment="1" applyProtection="1">
      <alignment horizontal="right" vertical="top" wrapText="1"/>
    </xf>
    <xf numFmtId="0" fontId="6" fillId="3" borderId="1" xfId="1" applyFont="1" applyFill="1" applyBorder="1" applyAlignment="1" applyProtection="1">
      <alignment horizontal="center" vertical="center"/>
    </xf>
    <xf numFmtId="0" fontId="31" fillId="4" borderId="4" xfId="1" applyFont="1" applyFill="1" applyBorder="1" applyAlignment="1" applyProtection="1">
      <alignment vertical="center" wrapText="1"/>
    </xf>
    <xf numFmtId="0" fontId="31" fillId="5" borderId="5" xfId="1" applyFont="1" applyFill="1" applyBorder="1" applyAlignment="1" applyProtection="1">
      <alignment vertical="center" wrapText="1"/>
    </xf>
    <xf numFmtId="0" fontId="31" fillId="6" borderId="6" xfId="1" applyFont="1" applyFill="1" applyBorder="1" applyAlignment="1" applyProtection="1">
      <alignment horizontal="right" vertical="top" wrapText="1"/>
    </xf>
    <xf numFmtId="0" fontId="31" fillId="7" borderId="6" xfId="1" applyFont="1" applyFill="1" applyBorder="1" applyAlignment="1" applyProtection="1">
      <alignment horizontal="right" vertical="top" wrapText="1"/>
    </xf>
    <xf numFmtId="0" fontId="0" fillId="0" borderId="0" xfId="1" applyFont="1" applyAlignment="1" applyProtection="1">
      <alignment horizontal="left" wrapText="1"/>
    </xf>
    <xf numFmtId="0" fontId="24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9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_Comparacao_de_3_MCDM_Nivel_0" xfId="3" xr:uid="{A6581C19-2910-4C8C-8058-3D6085DA04BB}"/>
    <cellStyle name="Pe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  <cx:data id="3">
      <cx:strDim type="cat">
        <cx:f>_xlchart.v1.0</cx:f>
      </cx:strDim>
      <cx:numDim type="val">
        <cx:f>_xlchart.v1.8</cx:f>
      </cx:numDim>
    </cx:data>
    <cx:data id="4">
      <cx:strDim type="cat">
        <cx:f>_xlchart.v1.0</cx:f>
      </cx:strDim>
      <cx:numDim type="val">
        <cx:f>_xlchart.v1.10</cx:f>
      </cx:numDim>
    </cx:data>
    <cx:data id="5">
      <cx:strDim type="cat">
        <cx:f>_xlchart.v1.0</cx:f>
      </cx:strDim>
      <cx:numDim type="val">
        <cx:f>_xlchart.v1.12</cx:f>
      </cx:numDim>
    </cx:data>
  </cx:chartData>
  <cx:chart>
    <cx:plotArea>
      <cx:plotAreaRegion>
        <cx:series layoutId="boxWhisker" uniqueId="{D1268D59-C363-4585-A8CC-E6718E5B3281}" formatIdx="0">
          <cx:tx>
            <cx:txData>
              <cx:f>_xlchart.v1.1</cx:f>
              <cx:v>AHP</cx:v>
            </cx:txData>
          </cx:tx>
          <cx:dataId val="0"/>
          <cx:layoutPr>
            <cx:statistics quartileMethod="exclusive"/>
          </cx:layoutPr>
        </cx:series>
        <cx:series layoutId="boxWhisker" uniqueId="{D63F1552-22C8-4915-8EDC-58A791F86631}" formatIdx="1">
          <cx:tx>
            <cx:txData>
              <cx:f>_xlchart.v1.3</cx:f>
              <cx:v>SAW (minimo)</cx:v>
            </cx:txData>
          </cx:tx>
          <cx:dataId val="1"/>
          <cx:layoutPr>
            <cx:statistics quartileMethod="exclusive"/>
          </cx:layoutPr>
        </cx:series>
        <cx:series layoutId="boxWhisker" uniqueId="{BF96B2DC-B6F8-4723-B621-A1501ED5BA55}" formatIdx="2">
          <cx:tx>
            <cx:txData>
              <cx:f>_xlchart.v1.5</cx:f>
              <cx:v>TOPSIS</cx:v>
            </cx:txData>
          </cx:tx>
          <cx:dataId val="2"/>
          <cx:layoutPr>
            <cx:statistics quartileMethod="exclusive"/>
          </cx:layoutPr>
        </cx:series>
        <cx:series layoutId="boxWhisker" uniqueId="{0BDFD020-924A-481B-9B7C-13BF8B344D35}" formatIdx="3">
          <cx:tx>
            <cx:txData>
              <cx:f>_xlchart.v1.7</cx:f>
              <cx:v>SAW (máximo)</cx:v>
            </cx:txData>
          </cx:tx>
          <cx:dataId val="3"/>
          <cx:layoutPr>
            <cx:statistics quartileMethod="exclusive"/>
          </cx:layoutPr>
        </cx:series>
        <cx:series layoutId="boxWhisker" uniqueId="{5750BA75-D719-420C-B35C-FE3CFE797225}" formatIdx="4">
          <cx:tx>
            <cx:txData>
              <cx:f>_xlchart.v1.9</cx:f>
              <cx:v>WPM min</cx:v>
            </cx:txData>
          </cx:tx>
          <cx:dataId val="4"/>
          <cx:layoutPr>
            <cx:statistics quartileMethod="exclusive"/>
          </cx:layoutPr>
        </cx:series>
        <cx:series layoutId="boxWhisker" uniqueId="{F4C73132-A0DA-4F5B-9A5B-A149F7D62464}" formatIdx="5">
          <cx:tx>
            <cx:txData>
              <cx:f>_xlchart.v1.11</cx:f>
              <cx:v>Matriz impacto</cx:v>
            </cx:txData>
          </cx:tx>
          <cx:dataId val="5"/>
          <cx:layoutPr>
            <cx:statistics quartileMethod="exclusive"/>
          </cx:layoutPr>
        </cx:series>
      </cx:plotAreaRegion>
      <cx:axis id="0">
        <cx:catScaling/>
        <cx:majorGridlines/>
        <cx:tickLabels/>
        <cx:txPr>
          <a:bodyPr spcFirstLastPara="1" vertOverflow="ellipsis" wrap="square" lIns="0" tIns="0" rIns="0" bIns="0" anchor="ctr" anchorCtr="1"/>
          <a:lstStyle/>
          <a:p>
            <a:pPr>
              <a:defRPr sz="800"/>
            </a:pPr>
            <a:endParaRPr lang="pt-PT" sz="800"/>
          </a:p>
        </cx:txPr>
      </cx:axis>
      <cx:axis id="1">
        <cx:valScaling max="10"/>
        <cx:majorGridlines/>
        <cx:tickLabels/>
      </cx:axis>
    </cx:plotArea>
    <cx:legend pos="t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  <cx:data id="1">
      <cx:strDim type="cat">
        <cx:f>_xlchart.v1.13</cx:f>
      </cx:strDim>
      <cx:numDim type="val">
        <cx:f>_xlchart.v1.17</cx:f>
      </cx:numDim>
    </cx:data>
    <cx:data id="2">
      <cx:strDim type="cat">
        <cx:f>_xlchart.v1.13</cx:f>
      </cx:strDim>
      <cx:numDim type="val">
        <cx:f>_xlchart.v1.19</cx:f>
      </cx:numDim>
    </cx:data>
    <cx:data id="3">
      <cx:strDim type="cat">
        <cx:f>_xlchart.v1.13</cx:f>
      </cx:strDim>
      <cx:numDim type="val">
        <cx:f>_xlchart.v1.21</cx:f>
      </cx:numDim>
    </cx:data>
    <cx:data id="4">
      <cx:strDim type="cat">
        <cx:f>_xlchart.v1.13</cx:f>
      </cx:strDim>
      <cx:numDim type="val">
        <cx:f>_xlchart.v1.23</cx:f>
      </cx:numDim>
    </cx:data>
    <cx:data id="5">
      <cx:strDim type="cat">
        <cx:f>_xlchart.v1.13</cx:f>
      </cx:strDim>
      <cx:numDim type="val">
        <cx:f>_xlchart.v1.25</cx:f>
      </cx:numDim>
    </cx:data>
    <cx:data id="6">
      <cx:strDim type="cat">
        <cx:f>_xlchart.v1.13</cx:f>
      </cx:strDim>
      <cx:numDim type="val">
        <cx:f>_xlchart.v1.27</cx:f>
      </cx:numDim>
    </cx:data>
  </cx:chartData>
  <cx:chart>
    <cx:plotArea>
      <cx:plotAreaRegion>
        <cx:series layoutId="boxWhisker" uniqueId="{66831B24-F990-40BA-8CF6-7745068DE3AA}">
          <cx:tx>
            <cx:txData>
              <cx:f>_xlchart.v1.14</cx:f>
              <cx:v>AHP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F31D970A-3C63-4B71-8EE6-FA53DCAC99EE}">
          <cx:tx>
            <cx:txData>
              <cx:f>_xlchart.v1.16</cx:f>
              <cx:v>SAW (minimo)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3440A75F-9D8F-4FB4-8466-ADC0C0028AB1}">
          <cx:tx>
            <cx:txData>
              <cx:f>_xlchart.v1.18</cx:f>
              <cx:v>TOPSIS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B08E60EF-E996-4DAB-AE13-5B9D266A1429}">
          <cx:tx>
            <cx:txData>
              <cx:f>_xlchart.v1.20</cx:f>
              <cx:v>SAW (máximo)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C5899C16-879B-4FE9-9A02-D4A0CC3243A0}">
          <cx:tx>
            <cx:txData>
              <cx:f>_xlchart.v1.22</cx:f>
              <cx:v>WPM min</cx:v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  <cx:series layoutId="boxWhisker" uniqueId="{1C7596ED-4E7D-46A2-8E7F-3DC53E8D32B5}">
          <cx:tx>
            <cx:txData>
              <cx:f>_xlchart.v1.24</cx:f>
              <cx:v>WPM max</cx:v>
            </cx:txData>
          </cx:tx>
          <cx:spPr>
            <a:solidFill>
              <a:srgbClr val="7030A0">
                <a:alpha val="86000"/>
              </a:srgbClr>
            </a:solidFill>
            <a:ln>
              <a:solidFill>
                <a:srgbClr val="7030A0">
                  <a:alpha val="83000"/>
                </a:srgbClr>
              </a:solidFill>
            </a:ln>
          </cx:spPr>
          <cx:dataId val="5"/>
          <cx:layoutPr>
            <cx:visibility meanLine="0" meanMarker="1" nonoutliers="0" outliers="1"/>
            <cx:statistics quartileMethod="exclusive"/>
          </cx:layoutPr>
        </cx:series>
        <cx:series layoutId="boxWhisker" uniqueId="{30BB093A-94D7-40E5-8E15-309A143640D1}">
          <cx:tx>
            <cx:txData>
              <cx:f>_xlchart.v1.26</cx:f>
              <cx:v>Matriz impacto</cx:v>
            </cx:txData>
          </cx:tx>
          <cx:spPr>
            <a:solidFill>
              <a:srgbClr val="92D050"/>
            </a:solidFill>
            <a:ln>
              <a:solidFill>
                <a:srgbClr val="92D050"/>
              </a:solidFill>
            </a:ln>
          </cx:spPr>
          <cx:dataId val="6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majorGridlines/>
        <cx:tickLabels/>
      </cx:axis>
      <cx:axis id="1">
        <cx:valScaling max="10.5"/>
        <cx:majorGridlines/>
        <cx:tickLabels/>
      </cx:axis>
    </cx:plotArea>
    <cx:legend pos="t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val">
        <cx:f>_xlchart.v1.30</cx:f>
      </cx:numDim>
    </cx:data>
    <cx:data id="1">
      <cx:strDim type="cat">
        <cx:f>_xlchart.v1.28</cx:f>
      </cx:strDim>
      <cx:numDim type="val">
        <cx:f>_xlchart.v1.32</cx:f>
      </cx:numDim>
    </cx:data>
    <cx:data id="2">
      <cx:strDim type="cat">
        <cx:f>_xlchart.v1.28</cx:f>
      </cx:strDim>
      <cx:numDim type="val">
        <cx:f>_xlchart.v1.34</cx:f>
      </cx:numDim>
    </cx:data>
    <cx:data id="3">
      <cx:strDim type="cat">
        <cx:f>_xlchart.v1.28</cx:f>
      </cx:strDim>
      <cx:numDim type="val">
        <cx:f>_xlchart.v1.36</cx:f>
      </cx:numDim>
    </cx:data>
    <cx:data id="4">
      <cx:strDim type="cat">
        <cx:f>_xlchart.v1.28</cx:f>
      </cx:strDim>
      <cx:numDim type="val">
        <cx:f>_xlchart.v1.38</cx:f>
      </cx:numDim>
    </cx:data>
    <cx:data id="5">
      <cx:strDim type="cat">
        <cx:f>_xlchart.v1.28</cx:f>
      </cx:strDim>
      <cx:numDim type="val">
        <cx:f>_xlchart.v1.40</cx:f>
      </cx:numDim>
    </cx:data>
    <cx:data id="6">
      <cx:strDim type="cat">
        <cx:f>_xlchart.v1.28</cx:f>
      </cx:strDim>
      <cx:numDim type="val">
        <cx:f>_xlchart.v1.42</cx:f>
      </cx:numDim>
    </cx:data>
  </cx:chartData>
  <cx:chart>
    <cx:plotArea>
      <cx:plotAreaRegion>
        <cx:series layoutId="boxWhisker" uniqueId="{66831B24-F990-40BA-8CF6-7745068DE3AA}">
          <cx:tx>
            <cx:txData>
              <cx:f>_xlchart.v1.29</cx:f>
              <cx:v>AHP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F31D970A-3C63-4B71-8EE6-FA53DCAC99EE}">
          <cx:tx>
            <cx:txData>
              <cx:f>_xlchart.v1.31</cx:f>
              <cx:v/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3440A75F-9D8F-4FB4-8466-ADC0C0028AB1}">
          <cx:tx>
            <cx:txData>
              <cx:f>_xlchart.v1.33</cx:f>
              <cx:v>TOPSIS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B08E60EF-E996-4DAB-AE13-5B9D266A1429}">
          <cx:tx>
            <cx:txData>
              <cx:f>_xlchart.v1.35</cx:f>
              <cx:v>SAW (máximo)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C5899C16-879B-4FE9-9A02-D4A0CC3243A0}">
          <cx:tx>
            <cx:txData>
              <cx:f>_xlchart.v1.37</cx:f>
              <cx:v/>
            </cx:txData>
          </cx:tx>
          <cx:dataId val="4"/>
          <cx:layoutPr>
            <cx:visibility meanLine="0" meanMarker="1" nonoutliers="0" outliers="1"/>
            <cx:statistics quartileMethod="exclusive"/>
          </cx:layoutPr>
        </cx:series>
        <cx:series layoutId="boxWhisker" uniqueId="{1C7596ED-4E7D-46A2-8E7F-3DC53E8D32B5}">
          <cx:tx>
            <cx:txData>
              <cx:f>_xlchart.v1.39</cx:f>
              <cx:v>WPM max</cx:v>
            </cx:txData>
          </cx:tx>
          <cx:spPr>
            <a:solidFill>
              <a:srgbClr val="7030A0">
                <a:alpha val="86000"/>
              </a:srgbClr>
            </a:solidFill>
            <a:ln>
              <a:solidFill>
                <a:srgbClr val="7030A0">
                  <a:alpha val="83000"/>
                </a:srgbClr>
              </a:solidFill>
            </a:ln>
          </cx:spPr>
          <cx:dataId val="5"/>
          <cx:layoutPr>
            <cx:visibility meanLine="0" meanMarker="1" nonoutliers="0" outliers="1"/>
            <cx:statistics quartileMethod="exclusive"/>
          </cx:layoutPr>
        </cx:series>
        <cx:series layoutId="boxWhisker" uniqueId="{30BB093A-94D7-40E5-8E15-309A143640D1}">
          <cx:tx>
            <cx:txData>
              <cx:f>_xlchart.v1.41</cx:f>
              <cx:v>Matriz impacto</cx:v>
            </cx:txData>
          </cx:tx>
          <cx:spPr>
            <a:solidFill>
              <a:srgbClr val="92D050"/>
            </a:solidFill>
            <a:ln>
              <a:solidFill>
                <a:srgbClr val="92D050"/>
              </a:solidFill>
            </a:ln>
          </cx:spPr>
          <cx:dataId val="6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majorGridlines/>
        <cx:tickLabels/>
      </cx:axis>
      <cx:axis id="1">
        <cx:valScaling max="10.5"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735C12-5FFE-4567-8308-E4A224192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763B2A-6A39-4585-A43B-B223B03DD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605118</xdr:colOff>
      <xdr:row>14</xdr:row>
      <xdr:rowOff>21851</xdr:rowOff>
    </xdr:from>
    <xdr:to>
      <xdr:col>28</xdr:col>
      <xdr:colOff>423583</xdr:colOff>
      <xdr:row>35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40043" y="2688851"/>
              <a:ext cx="11629465" cy="41500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Este gráfico não está disponível na sua versão do Excel.
Editar esta forma ou guardar este livro num formato de ficheiro diferente irá indisponibilizar o gráfico de forma permanente.</a:t>
              </a:r>
            </a:p>
          </xdr:txBody>
        </xdr:sp>
      </mc:Fallback>
    </mc:AlternateContent>
    <xdr:clientData/>
  </xdr:twoCellAnchor>
  <xdr:twoCellAnchor>
    <xdr:from>
      <xdr:col>17</xdr:col>
      <xdr:colOff>15685</xdr:colOff>
      <xdr:row>35</xdr:row>
      <xdr:rowOff>0</xdr:rowOff>
    </xdr:from>
    <xdr:to>
      <xdr:col>27</xdr:col>
      <xdr:colOff>250451</xdr:colOff>
      <xdr:row>62</xdr:row>
      <xdr:rowOff>60512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60210" y="6838950"/>
              <a:ext cx="10826566" cy="62993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Este gráfico não está disponível na sua versão do Excel.
Editar esta forma ou guardar este livro num formato de ficheiro diferente irá indisponibilizar o gráfico de forma permanente.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15685</xdr:colOff>
      <xdr:row>35</xdr:row>
      <xdr:rowOff>0</xdr:rowOff>
    </xdr:from>
    <xdr:to>
      <xdr:col>29</xdr:col>
      <xdr:colOff>250451</xdr:colOff>
      <xdr:row>67</xdr:row>
      <xdr:rowOff>60512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69885" y="6838950"/>
              <a:ext cx="10826566" cy="72804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Este gráfico não está disponível na sua versão do Excel.
Editar esta forma ou guardar este livro num formato de ficheiro diferente irá indisponibilizar o gráfico de forma permanente.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63"/>
  <sheetViews>
    <sheetView tabSelected="1" topLeftCell="C161" workbookViewId="0">
      <selection activeCell="J164" sqref="J164:N164"/>
    </sheetView>
  </sheetViews>
  <sheetFormatPr defaultRowHeight="15" outlineLevelRow="1" x14ac:dyDescent="0.25"/>
  <cols>
    <col min="1" max="2" width="2.85546875" style="1" customWidth="1"/>
    <col min="3" max="3" width="30.5703125" style="3" customWidth="1"/>
    <col min="4" max="4" width="7.28515625" style="3" customWidth="1"/>
    <col min="5" max="21" width="5.5703125" style="3" customWidth="1"/>
    <col min="22" max="22" width="11" style="2" customWidth="1"/>
    <col min="23" max="23" width="10" style="3" customWidth="1"/>
    <col min="24" max="24" width="25.28515625" style="3" customWidth="1"/>
    <col min="25" max="25" width="9.140625" style="3" customWidth="1"/>
    <col min="26" max="31" width="9.140625" style="3"/>
    <col min="32" max="32" width="8.85546875" style="3" customWidth="1"/>
    <col min="33" max="16384" width="9.140625" style="3"/>
  </cols>
  <sheetData>
    <row r="1" spans="2:24" s="1" customFormat="1" ht="7.5" customHeight="1" thickBot="1" x14ac:dyDescent="0.3">
      <c r="V1" s="2"/>
      <c r="W1" s="3"/>
    </row>
    <row r="2" spans="2:24" ht="13.5" customHeight="1" thickBot="1" x14ac:dyDescent="0.3">
      <c r="C2" s="217" t="s">
        <v>0</v>
      </c>
      <c r="D2" s="4"/>
      <c r="E2" s="4"/>
      <c r="F2" s="4"/>
      <c r="G2" s="4"/>
      <c r="H2" s="5" t="s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"/>
      <c r="W2" s="6"/>
    </row>
    <row r="3" spans="2:24" ht="15.75" thickBot="1" x14ac:dyDescent="0.3">
      <c r="C3" s="217"/>
      <c r="D3" s="218" t="s">
        <v>2</v>
      </c>
      <c r="E3" s="218"/>
      <c r="F3" s="218"/>
      <c r="G3" s="218"/>
      <c r="H3" s="219" t="s">
        <v>3</v>
      </c>
      <c r="I3" s="219"/>
      <c r="J3" s="219"/>
      <c r="K3" s="219"/>
      <c r="L3" s="220" t="s">
        <v>4</v>
      </c>
      <c r="M3" s="220"/>
      <c r="N3" s="220"/>
      <c r="O3" s="220"/>
      <c r="P3" s="221" t="s">
        <v>5</v>
      </c>
      <c r="Q3" s="221"/>
      <c r="R3" s="221"/>
      <c r="S3" s="216" t="s">
        <v>6</v>
      </c>
      <c r="T3" s="216"/>
      <c r="U3" s="216"/>
      <c r="V3" s="7"/>
      <c r="W3" s="8"/>
    </row>
    <row r="4" spans="2:24" ht="68.25" customHeight="1" thickBot="1" x14ac:dyDescent="0.3">
      <c r="C4" s="217"/>
      <c r="D4" s="168" t="s">
        <v>7</v>
      </c>
      <c r="E4" s="168" t="s">
        <v>8</v>
      </c>
      <c r="F4" s="169" t="s">
        <v>9</v>
      </c>
      <c r="G4" s="170" t="s">
        <v>10</v>
      </c>
      <c r="H4" s="171" t="s">
        <v>11</v>
      </c>
      <c r="I4" s="172" t="s">
        <v>12</v>
      </c>
      <c r="J4" s="172" t="s">
        <v>13</v>
      </c>
      <c r="K4" s="173" t="s">
        <v>14</v>
      </c>
      <c r="L4" s="174" t="s">
        <v>15</v>
      </c>
      <c r="M4" s="175" t="s">
        <v>16</v>
      </c>
      <c r="N4" s="176" t="s">
        <v>17</v>
      </c>
      <c r="O4" s="177" t="s">
        <v>18</v>
      </c>
      <c r="P4" s="178" t="s">
        <v>19</v>
      </c>
      <c r="Q4" s="179" t="s">
        <v>20</v>
      </c>
      <c r="R4" s="180" t="s">
        <v>21</v>
      </c>
      <c r="S4" s="179" t="s">
        <v>22</v>
      </c>
      <c r="T4" s="179" t="s">
        <v>23</v>
      </c>
      <c r="U4" s="180" t="s">
        <v>24</v>
      </c>
      <c r="V4" s="9"/>
      <c r="W4" s="9"/>
    </row>
    <row r="5" spans="2:24" s="1" customFormat="1" x14ac:dyDescent="0.25">
      <c r="C5" s="41" t="s">
        <v>25</v>
      </c>
      <c r="D5" s="10">
        <f>+AVERAGE(D6,D9,D12,D15,D18,D21,D24,D27,D30,D33,D36,D39,D42,D45,D48,D51)</f>
        <v>0.875</v>
      </c>
      <c r="E5" s="10">
        <f t="shared" ref="E5:U5" si="0">+AVERAGE(E6,E9,E12,E15,E18,E21,E24,E27,E30,E33,E36,E39,E42,E45,E48,E51)</f>
        <v>6.25E-2</v>
      </c>
      <c r="F5" s="10">
        <f t="shared" si="0"/>
        <v>0.5625</v>
      </c>
      <c r="G5" s="10">
        <f t="shared" si="0"/>
        <v>0.5</v>
      </c>
      <c r="H5" s="10">
        <f t="shared" si="0"/>
        <v>0.125</v>
      </c>
      <c r="I5" s="10">
        <f t="shared" si="0"/>
        <v>0.4375</v>
      </c>
      <c r="J5" s="10">
        <f t="shared" si="0"/>
        <v>0.5</v>
      </c>
      <c r="K5" s="10">
        <f t="shared" si="0"/>
        <v>0.625</v>
      </c>
      <c r="L5" s="10">
        <f t="shared" si="0"/>
        <v>1.1875</v>
      </c>
      <c r="M5" s="10">
        <f t="shared" si="0"/>
        <v>1.625</v>
      </c>
      <c r="N5" s="10">
        <f t="shared" si="0"/>
        <v>2.0625</v>
      </c>
      <c r="O5" s="10">
        <f t="shared" si="0"/>
        <v>2.8125</v>
      </c>
      <c r="P5" s="10">
        <f t="shared" si="0"/>
        <v>0.625</v>
      </c>
      <c r="Q5" s="10">
        <f t="shared" si="0"/>
        <v>1.0625</v>
      </c>
      <c r="R5" s="10">
        <f t="shared" si="0"/>
        <v>0.3125</v>
      </c>
      <c r="S5" s="10">
        <f t="shared" si="0"/>
        <v>1.8125</v>
      </c>
      <c r="T5" s="10">
        <f t="shared" si="0"/>
        <v>1.1875</v>
      </c>
      <c r="U5" s="10">
        <f t="shared" si="0"/>
        <v>0.75</v>
      </c>
      <c r="V5" s="11">
        <f t="shared" ref="V5:V68" si="1">SUM(D5:U5)</f>
        <v>17.125</v>
      </c>
      <c r="W5" s="12">
        <f>V5/$V$150</f>
        <v>0.6357308584686775</v>
      </c>
      <c r="X5" s="13"/>
    </row>
    <row r="6" spans="2:24" s="1" customFormat="1" ht="57" hidden="1" outlineLevel="1" x14ac:dyDescent="0.25">
      <c r="B6" s="1">
        <v>1</v>
      </c>
      <c r="C6" s="41" t="s">
        <v>26</v>
      </c>
      <c r="D6" s="14">
        <f t="shared" ref="D6:U6" si="2">+D7*D8</f>
        <v>1</v>
      </c>
      <c r="E6" s="15">
        <f t="shared" si="2"/>
        <v>0</v>
      </c>
      <c r="F6" s="16">
        <f t="shared" si="2"/>
        <v>1</v>
      </c>
      <c r="G6" s="17">
        <f t="shared" si="2"/>
        <v>0</v>
      </c>
      <c r="H6" s="15">
        <f t="shared" si="2"/>
        <v>0</v>
      </c>
      <c r="I6" s="14">
        <f t="shared" si="2"/>
        <v>0</v>
      </c>
      <c r="J6" s="14">
        <f t="shared" si="2"/>
        <v>0</v>
      </c>
      <c r="K6" s="17">
        <f t="shared" si="2"/>
        <v>1</v>
      </c>
      <c r="L6" s="15">
        <f t="shared" si="2"/>
        <v>0</v>
      </c>
      <c r="M6" s="14">
        <f t="shared" si="2"/>
        <v>1</v>
      </c>
      <c r="N6" s="15">
        <f t="shared" si="2"/>
        <v>6</v>
      </c>
      <c r="O6" s="17">
        <f t="shared" si="2"/>
        <v>6</v>
      </c>
      <c r="P6" s="18">
        <f t="shared" si="2"/>
        <v>0</v>
      </c>
      <c r="Q6" s="14">
        <f t="shared" si="2"/>
        <v>2</v>
      </c>
      <c r="R6" s="17">
        <f t="shared" si="2"/>
        <v>0</v>
      </c>
      <c r="S6" s="14">
        <f t="shared" si="2"/>
        <v>1</v>
      </c>
      <c r="T6" s="14">
        <f t="shared" si="2"/>
        <v>1</v>
      </c>
      <c r="U6" s="17">
        <f t="shared" si="2"/>
        <v>1</v>
      </c>
      <c r="V6" s="11">
        <f t="shared" si="1"/>
        <v>21</v>
      </c>
      <c r="W6" s="19">
        <f>V6/$V$150</f>
        <v>0.77958236658932711</v>
      </c>
      <c r="X6" s="20"/>
    </row>
    <row r="7" spans="2:24" s="1" customFormat="1" hidden="1" outlineLevel="1" x14ac:dyDescent="0.25">
      <c r="C7" s="41" t="s">
        <v>27</v>
      </c>
      <c r="D7" s="22">
        <v>1</v>
      </c>
      <c r="E7" s="23"/>
      <c r="F7" s="24">
        <v>1</v>
      </c>
      <c r="G7" s="25"/>
      <c r="H7" s="23"/>
      <c r="I7" s="26"/>
      <c r="J7" s="27"/>
      <c r="K7" s="25">
        <v>1</v>
      </c>
      <c r="L7" s="28"/>
      <c r="M7" s="29">
        <v>1</v>
      </c>
      <c r="N7" s="28">
        <v>2</v>
      </c>
      <c r="O7" s="25">
        <v>2</v>
      </c>
      <c r="P7" s="30"/>
      <c r="Q7" s="29">
        <v>2</v>
      </c>
      <c r="R7" s="31"/>
      <c r="S7" s="22">
        <v>1</v>
      </c>
      <c r="T7" s="22">
        <v>1</v>
      </c>
      <c r="U7" s="32">
        <v>1</v>
      </c>
      <c r="V7" s="11">
        <f t="shared" si="1"/>
        <v>13</v>
      </c>
      <c r="W7" s="19"/>
      <c r="X7" s="20"/>
    </row>
    <row r="8" spans="2:24" s="1" customFormat="1" hidden="1" outlineLevel="1" x14ac:dyDescent="0.25">
      <c r="C8" s="41" t="s">
        <v>28</v>
      </c>
      <c r="D8" s="22">
        <v>1</v>
      </c>
      <c r="E8" s="23"/>
      <c r="F8" s="24">
        <v>1</v>
      </c>
      <c r="G8" s="25"/>
      <c r="H8" s="23"/>
      <c r="I8" s="26"/>
      <c r="J8" s="27"/>
      <c r="K8" s="25">
        <v>1</v>
      </c>
      <c r="L8" s="28"/>
      <c r="M8" s="29">
        <v>1</v>
      </c>
      <c r="N8" s="28">
        <v>3</v>
      </c>
      <c r="O8" s="25">
        <v>3</v>
      </c>
      <c r="P8" s="30"/>
      <c r="Q8" s="27">
        <v>1</v>
      </c>
      <c r="R8" s="31"/>
      <c r="S8" s="22">
        <v>1</v>
      </c>
      <c r="T8" s="22">
        <v>1</v>
      </c>
      <c r="U8" s="32">
        <v>1</v>
      </c>
      <c r="V8" s="11">
        <f t="shared" si="1"/>
        <v>14</v>
      </c>
      <c r="W8" s="19"/>
      <c r="X8" s="20"/>
    </row>
    <row r="9" spans="2:24" s="1" customFormat="1" ht="88.5" hidden="1" outlineLevel="1" x14ac:dyDescent="0.25">
      <c r="B9" s="1">
        <v>2</v>
      </c>
      <c r="C9" s="41" t="s">
        <v>29</v>
      </c>
      <c r="D9" s="14">
        <f t="shared" ref="D9:U9" si="3">+D10*D11</f>
        <v>2</v>
      </c>
      <c r="E9" s="15">
        <f t="shared" si="3"/>
        <v>0</v>
      </c>
      <c r="F9" s="16">
        <f t="shared" si="3"/>
        <v>1</v>
      </c>
      <c r="G9" s="17">
        <f t="shared" si="3"/>
        <v>2</v>
      </c>
      <c r="H9" s="15">
        <f t="shared" si="3"/>
        <v>0</v>
      </c>
      <c r="I9" s="14">
        <f t="shared" si="3"/>
        <v>0</v>
      </c>
      <c r="J9" s="14">
        <f t="shared" si="3"/>
        <v>0</v>
      </c>
      <c r="K9" s="17">
        <f t="shared" si="3"/>
        <v>0</v>
      </c>
      <c r="L9" s="15">
        <f t="shared" si="3"/>
        <v>2</v>
      </c>
      <c r="M9" s="14">
        <f t="shared" si="3"/>
        <v>1</v>
      </c>
      <c r="N9" s="15">
        <f t="shared" si="3"/>
        <v>4</v>
      </c>
      <c r="O9" s="17">
        <f t="shared" si="3"/>
        <v>4</v>
      </c>
      <c r="P9" s="18">
        <f t="shared" si="3"/>
        <v>0</v>
      </c>
      <c r="Q9" s="14">
        <f t="shared" si="3"/>
        <v>1</v>
      </c>
      <c r="R9" s="17">
        <f t="shared" si="3"/>
        <v>0</v>
      </c>
      <c r="S9" s="14">
        <f t="shared" si="3"/>
        <v>1</v>
      </c>
      <c r="T9" s="14">
        <f t="shared" si="3"/>
        <v>1</v>
      </c>
      <c r="U9" s="17">
        <f t="shared" si="3"/>
        <v>0</v>
      </c>
      <c r="V9" s="11">
        <f t="shared" si="1"/>
        <v>19</v>
      </c>
      <c r="W9" s="19">
        <f>V9/$V$150</f>
        <v>0.7053364269141531</v>
      </c>
      <c r="X9" s="20"/>
    </row>
    <row r="10" spans="2:24" s="1" customFormat="1" hidden="1" outlineLevel="1" x14ac:dyDescent="0.25">
      <c r="C10" s="41" t="s">
        <v>27</v>
      </c>
      <c r="D10" s="27">
        <v>1</v>
      </c>
      <c r="E10" s="33"/>
      <c r="F10" s="27">
        <v>1</v>
      </c>
      <c r="G10" s="32">
        <v>1</v>
      </c>
      <c r="H10" s="23"/>
      <c r="I10" s="26"/>
      <c r="J10" s="27"/>
      <c r="K10" s="25"/>
      <c r="L10" s="28">
        <v>1</v>
      </c>
      <c r="M10" s="27">
        <v>1</v>
      </c>
      <c r="N10" s="28">
        <v>2</v>
      </c>
      <c r="O10" s="25">
        <v>2</v>
      </c>
      <c r="P10" s="30"/>
      <c r="Q10" s="29">
        <v>1</v>
      </c>
      <c r="R10" s="31"/>
      <c r="S10" s="27">
        <v>1</v>
      </c>
      <c r="T10" s="27">
        <v>1</v>
      </c>
      <c r="U10" s="31"/>
      <c r="V10" s="11">
        <f t="shared" si="1"/>
        <v>12</v>
      </c>
      <c r="W10" s="19"/>
      <c r="X10" s="20"/>
    </row>
    <row r="11" spans="2:24" s="1" customFormat="1" hidden="1" outlineLevel="1" x14ac:dyDescent="0.25">
      <c r="C11" s="41" t="s">
        <v>28</v>
      </c>
      <c r="D11" s="27">
        <v>2</v>
      </c>
      <c r="E11" s="33"/>
      <c r="F11" s="27">
        <v>1</v>
      </c>
      <c r="G11" s="32">
        <v>2</v>
      </c>
      <c r="H11" s="23"/>
      <c r="I11" s="26"/>
      <c r="J11" s="27"/>
      <c r="K11" s="25"/>
      <c r="L11" s="28">
        <v>2</v>
      </c>
      <c r="M11" s="26">
        <v>1</v>
      </c>
      <c r="N11" s="28">
        <v>2</v>
      </c>
      <c r="O11" s="25">
        <v>2</v>
      </c>
      <c r="P11" s="30"/>
      <c r="Q11" s="29">
        <v>1</v>
      </c>
      <c r="R11" s="31"/>
      <c r="S11" s="27">
        <v>1</v>
      </c>
      <c r="T11" s="27">
        <v>1</v>
      </c>
      <c r="U11" s="31"/>
      <c r="V11" s="11">
        <f t="shared" si="1"/>
        <v>15</v>
      </c>
      <c r="W11" s="19"/>
      <c r="X11" s="20"/>
    </row>
    <row r="12" spans="2:24" s="1" customFormat="1" ht="42.75" hidden="1" outlineLevel="1" x14ac:dyDescent="0.25">
      <c r="B12" s="1">
        <v>3</v>
      </c>
      <c r="C12" s="41" t="s">
        <v>30</v>
      </c>
      <c r="D12" s="14">
        <f t="shared" ref="D12:U12" si="4">+D13*D14</f>
        <v>2</v>
      </c>
      <c r="E12" s="15">
        <f t="shared" si="4"/>
        <v>1</v>
      </c>
      <c r="F12" s="16">
        <f t="shared" si="4"/>
        <v>1</v>
      </c>
      <c r="G12" s="17">
        <f t="shared" si="4"/>
        <v>0</v>
      </c>
      <c r="H12" s="15">
        <f t="shared" si="4"/>
        <v>0</v>
      </c>
      <c r="I12" s="14">
        <f t="shared" si="4"/>
        <v>0</v>
      </c>
      <c r="J12" s="14">
        <f t="shared" si="4"/>
        <v>1</v>
      </c>
      <c r="K12" s="17">
        <f t="shared" si="4"/>
        <v>0</v>
      </c>
      <c r="L12" s="15">
        <f t="shared" si="4"/>
        <v>0</v>
      </c>
      <c r="M12" s="14">
        <f t="shared" si="4"/>
        <v>6</v>
      </c>
      <c r="N12" s="15">
        <f t="shared" si="4"/>
        <v>6</v>
      </c>
      <c r="O12" s="17">
        <f t="shared" si="4"/>
        <v>1</v>
      </c>
      <c r="P12" s="18">
        <f t="shared" si="4"/>
        <v>1</v>
      </c>
      <c r="Q12" s="14">
        <f t="shared" si="4"/>
        <v>4</v>
      </c>
      <c r="R12" s="17">
        <f t="shared" si="4"/>
        <v>1</v>
      </c>
      <c r="S12" s="14">
        <f t="shared" si="4"/>
        <v>2</v>
      </c>
      <c r="T12" s="14">
        <f t="shared" si="4"/>
        <v>4</v>
      </c>
      <c r="U12" s="17">
        <f t="shared" si="4"/>
        <v>0</v>
      </c>
      <c r="V12" s="11">
        <f t="shared" si="1"/>
        <v>30</v>
      </c>
      <c r="W12" s="19">
        <f>V12/$V$150</f>
        <v>1.1136890951276102</v>
      </c>
      <c r="X12" s="20"/>
    </row>
    <row r="13" spans="2:24" s="1" customFormat="1" hidden="1" outlineLevel="1" x14ac:dyDescent="0.25">
      <c r="C13" s="41" t="s">
        <v>27</v>
      </c>
      <c r="D13" s="22">
        <v>1</v>
      </c>
      <c r="E13" s="34">
        <v>1</v>
      </c>
      <c r="F13" s="24">
        <v>1</v>
      </c>
      <c r="G13" s="25"/>
      <c r="H13" s="23"/>
      <c r="I13" s="27"/>
      <c r="J13" s="29">
        <v>1</v>
      </c>
      <c r="K13" s="31"/>
      <c r="L13" s="23"/>
      <c r="M13" s="27">
        <v>2</v>
      </c>
      <c r="N13" s="28">
        <v>2</v>
      </c>
      <c r="O13" s="25">
        <v>1</v>
      </c>
      <c r="P13" s="35">
        <v>1</v>
      </c>
      <c r="Q13" s="27">
        <v>2</v>
      </c>
      <c r="R13" s="32">
        <v>1</v>
      </c>
      <c r="S13" s="27">
        <v>1</v>
      </c>
      <c r="T13" s="27">
        <v>2</v>
      </c>
      <c r="U13" s="31"/>
      <c r="V13" s="11">
        <f t="shared" si="1"/>
        <v>16</v>
      </c>
      <c r="W13" s="19"/>
      <c r="X13" s="20"/>
    </row>
    <row r="14" spans="2:24" s="1" customFormat="1" hidden="1" outlineLevel="1" x14ac:dyDescent="0.25">
      <c r="C14" s="41" t="s">
        <v>28</v>
      </c>
      <c r="D14" s="22">
        <v>2</v>
      </c>
      <c r="E14" s="34">
        <v>1</v>
      </c>
      <c r="F14" s="24">
        <v>1</v>
      </c>
      <c r="G14" s="25"/>
      <c r="H14" s="23"/>
      <c r="I14" s="27"/>
      <c r="J14" s="29">
        <v>1</v>
      </c>
      <c r="K14" s="31"/>
      <c r="L14" s="23"/>
      <c r="M14" s="27">
        <v>3</v>
      </c>
      <c r="N14" s="28">
        <v>3</v>
      </c>
      <c r="O14" s="25">
        <v>1</v>
      </c>
      <c r="P14" s="35">
        <v>1</v>
      </c>
      <c r="Q14" s="27">
        <v>2</v>
      </c>
      <c r="R14" s="32">
        <v>1</v>
      </c>
      <c r="S14" s="27">
        <v>2</v>
      </c>
      <c r="T14" s="27">
        <v>2</v>
      </c>
      <c r="U14" s="31"/>
      <c r="V14" s="11">
        <f t="shared" si="1"/>
        <v>20</v>
      </c>
      <c r="W14" s="19"/>
      <c r="X14" s="20"/>
    </row>
    <row r="15" spans="2:24" s="1" customFormat="1" ht="28.5" hidden="1" outlineLevel="1" x14ac:dyDescent="0.25">
      <c r="B15" s="1">
        <v>4</v>
      </c>
      <c r="C15" s="41" t="s">
        <v>31</v>
      </c>
      <c r="D15" s="14">
        <f t="shared" ref="D15:U15" si="5">+D16*D17</f>
        <v>0</v>
      </c>
      <c r="E15" s="15">
        <f t="shared" si="5"/>
        <v>0</v>
      </c>
      <c r="F15" s="16">
        <f t="shared" si="5"/>
        <v>0</v>
      </c>
      <c r="G15" s="17">
        <f t="shared" si="5"/>
        <v>0</v>
      </c>
      <c r="H15" s="15">
        <f t="shared" si="5"/>
        <v>0</v>
      </c>
      <c r="I15" s="14">
        <f t="shared" si="5"/>
        <v>1</v>
      </c>
      <c r="J15" s="14">
        <f t="shared" si="5"/>
        <v>1</v>
      </c>
      <c r="K15" s="17">
        <f t="shared" si="5"/>
        <v>1</v>
      </c>
      <c r="L15" s="15">
        <f t="shared" si="5"/>
        <v>6</v>
      </c>
      <c r="M15" s="14">
        <f t="shared" si="5"/>
        <v>4</v>
      </c>
      <c r="N15" s="15">
        <f t="shared" si="5"/>
        <v>2</v>
      </c>
      <c r="O15" s="17">
        <f t="shared" si="5"/>
        <v>6</v>
      </c>
      <c r="P15" s="18">
        <f t="shared" si="5"/>
        <v>2</v>
      </c>
      <c r="Q15" s="14">
        <f t="shared" si="5"/>
        <v>6</v>
      </c>
      <c r="R15" s="17">
        <f t="shared" si="5"/>
        <v>0</v>
      </c>
      <c r="S15" s="14">
        <f t="shared" si="5"/>
        <v>4</v>
      </c>
      <c r="T15" s="14">
        <f t="shared" si="5"/>
        <v>2</v>
      </c>
      <c r="U15" s="17">
        <f t="shared" si="5"/>
        <v>1</v>
      </c>
      <c r="V15" s="11">
        <f t="shared" si="1"/>
        <v>36</v>
      </c>
      <c r="W15" s="19">
        <f>V15/$V$150</f>
        <v>1.3364269141531322</v>
      </c>
      <c r="X15" s="20"/>
    </row>
    <row r="16" spans="2:24" s="1" customFormat="1" hidden="1" outlineLevel="1" x14ac:dyDescent="0.25">
      <c r="C16" s="41" t="s">
        <v>27</v>
      </c>
      <c r="D16" s="26"/>
      <c r="E16" s="23"/>
      <c r="F16" s="34"/>
      <c r="G16" s="25"/>
      <c r="H16" s="23"/>
      <c r="I16" s="27">
        <v>1</v>
      </c>
      <c r="J16" s="27">
        <v>1</v>
      </c>
      <c r="K16" s="25">
        <v>1</v>
      </c>
      <c r="L16" s="28">
        <v>2</v>
      </c>
      <c r="M16" s="27">
        <v>2</v>
      </c>
      <c r="N16" s="28">
        <v>1</v>
      </c>
      <c r="O16" s="25">
        <v>2</v>
      </c>
      <c r="P16" s="36">
        <v>1</v>
      </c>
      <c r="Q16" s="27">
        <v>2</v>
      </c>
      <c r="R16" s="31"/>
      <c r="S16" s="27">
        <v>2</v>
      </c>
      <c r="T16" s="27">
        <v>1</v>
      </c>
      <c r="U16" s="25">
        <v>1</v>
      </c>
      <c r="V16" s="11">
        <f t="shared" si="1"/>
        <v>17</v>
      </c>
      <c r="W16" s="19"/>
      <c r="X16" s="20"/>
    </row>
    <row r="17" spans="2:24" s="1" customFormat="1" hidden="1" outlineLevel="1" x14ac:dyDescent="0.25">
      <c r="C17" s="41" t="s">
        <v>28</v>
      </c>
      <c r="D17" s="26"/>
      <c r="E17" s="23"/>
      <c r="F17" s="34"/>
      <c r="G17" s="25"/>
      <c r="H17" s="23"/>
      <c r="I17" s="27">
        <v>1</v>
      </c>
      <c r="J17" s="27">
        <v>1</v>
      </c>
      <c r="K17" s="25">
        <v>1</v>
      </c>
      <c r="L17" s="28">
        <v>3</v>
      </c>
      <c r="M17" s="27">
        <v>2</v>
      </c>
      <c r="N17" s="28">
        <v>2</v>
      </c>
      <c r="O17" s="25">
        <v>3</v>
      </c>
      <c r="P17" s="36">
        <v>2</v>
      </c>
      <c r="Q17" s="29">
        <v>3</v>
      </c>
      <c r="R17" s="31"/>
      <c r="S17" s="27">
        <v>2</v>
      </c>
      <c r="T17" s="27">
        <v>2</v>
      </c>
      <c r="U17" s="25">
        <v>1</v>
      </c>
      <c r="V17" s="11">
        <f t="shared" si="1"/>
        <v>23</v>
      </c>
      <c r="W17" s="19"/>
      <c r="X17" s="20"/>
    </row>
    <row r="18" spans="2:24" s="1" customFormat="1" ht="57" hidden="1" outlineLevel="1" x14ac:dyDescent="0.25">
      <c r="B18" s="1">
        <v>5</v>
      </c>
      <c r="C18" s="41" t="s">
        <v>32</v>
      </c>
      <c r="D18" s="14">
        <f t="shared" ref="D18:U18" si="6">+D19*D20</f>
        <v>0</v>
      </c>
      <c r="E18" s="15">
        <f t="shared" si="6"/>
        <v>0</v>
      </c>
      <c r="F18" s="16">
        <f t="shared" si="6"/>
        <v>0</v>
      </c>
      <c r="G18" s="17">
        <f t="shared" si="6"/>
        <v>0</v>
      </c>
      <c r="H18" s="15">
        <f t="shared" si="6"/>
        <v>0</v>
      </c>
      <c r="I18" s="14">
        <f t="shared" si="6"/>
        <v>0</v>
      </c>
      <c r="J18" s="14">
        <f t="shared" si="6"/>
        <v>0</v>
      </c>
      <c r="K18" s="17">
        <f t="shared" si="6"/>
        <v>0</v>
      </c>
      <c r="L18" s="15">
        <f t="shared" si="6"/>
        <v>1</v>
      </c>
      <c r="M18" s="14">
        <f t="shared" si="6"/>
        <v>6</v>
      </c>
      <c r="N18" s="15">
        <f t="shared" si="6"/>
        <v>1</v>
      </c>
      <c r="O18" s="17">
        <f t="shared" si="6"/>
        <v>4</v>
      </c>
      <c r="P18" s="18">
        <f t="shared" si="6"/>
        <v>2</v>
      </c>
      <c r="Q18" s="14">
        <f t="shared" si="6"/>
        <v>2</v>
      </c>
      <c r="R18" s="17">
        <f t="shared" si="6"/>
        <v>1</v>
      </c>
      <c r="S18" s="14">
        <f t="shared" si="6"/>
        <v>4</v>
      </c>
      <c r="T18" s="14">
        <f t="shared" si="6"/>
        <v>4</v>
      </c>
      <c r="U18" s="17">
        <f t="shared" si="6"/>
        <v>4</v>
      </c>
      <c r="V18" s="11">
        <f t="shared" si="1"/>
        <v>29</v>
      </c>
      <c r="W18" s="19">
        <f>V18/$V$150</f>
        <v>1.0765661252900232</v>
      </c>
      <c r="X18" s="20"/>
    </row>
    <row r="19" spans="2:24" s="1" customFormat="1" hidden="1" outlineLevel="1" x14ac:dyDescent="0.25">
      <c r="C19" s="41" t="s">
        <v>27</v>
      </c>
      <c r="D19" s="26"/>
      <c r="E19" s="23"/>
      <c r="F19" s="34"/>
      <c r="G19" s="25"/>
      <c r="H19" s="23"/>
      <c r="I19" s="26"/>
      <c r="J19" s="27"/>
      <c r="K19" s="31"/>
      <c r="L19" s="37">
        <v>1</v>
      </c>
      <c r="M19" s="27">
        <v>2</v>
      </c>
      <c r="N19" s="28">
        <v>1</v>
      </c>
      <c r="O19" s="25">
        <v>2</v>
      </c>
      <c r="P19" s="36">
        <v>1</v>
      </c>
      <c r="Q19" s="22">
        <v>1</v>
      </c>
      <c r="R19" s="38">
        <v>1</v>
      </c>
      <c r="S19" s="27">
        <v>2</v>
      </c>
      <c r="T19" s="27">
        <v>2</v>
      </c>
      <c r="U19" s="25">
        <v>2</v>
      </c>
      <c r="V19" s="11">
        <f t="shared" si="1"/>
        <v>15</v>
      </c>
      <c r="W19" s="19"/>
      <c r="X19" s="20"/>
    </row>
    <row r="20" spans="2:24" s="1" customFormat="1" hidden="1" outlineLevel="1" x14ac:dyDescent="0.25">
      <c r="C20" s="41" t="s">
        <v>28</v>
      </c>
      <c r="D20" s="26"/>
      <c r="E20" s="23"/>
      <c r="F20" s="34"/>
      <c r="G20" s="25"/>
      <c r="H20" s="23"/>
      <c r="I20" s="26"/>
      <c r="J20" s="27"/>
      <c r="K20" s="31"/>
      <c r="L20" s="37">
        <v>1</v>
      </c>
      <c r="M20" s="27">
        <v>3</v>
      </c>
      <c r="N20" s="28">
        <v>1</v>
      </c>
      <c r="O20" s="25">
        <v>2</v>
      </c>
      <c r="P20" s="36">
        <v>2</v>
      </c>
      <c r="Q20" s="22">
        <v>2</v>
      </c>
      <c r="R20" s="38">
        <v>1</v>
      </c>
      <c r="S20" s="27">
        <v>2</v>
      </c>
      <c r="T20" s="27">
        <v>2</v>
      </c>
      <c r="U20" s="25">
        <v>2</v>
      </c>
      <c r="V20" s="11">
        <f t="shared" si="1"/>
        <v>18</v>
      </c>
      <c r="W20" s="19"/>
      <c r="X20" s="20"/>
    </row>
    <row r="21" spans="2:24" s="1" customFormat="1" ht="57" hidden="1" outlineLevel="1" x14ac:dyDescent="0.25">
      <c r="B21" s="1">
        <v>6</v>
      </c>
      <c r="C21" s="41" t="s">
        <v>33</v>
      </c>
      <c r="D21" s="14">
        <f t="shared" ref="D21:U21" si="7">+D22*D23</f>
        <v>0</v>
      </c>
      <c r="E21" s="15">
        <f t="shared" si="7"/>
        <v>0</v>
      </c>
      <c r="F21" s="16">
        <f t="shared" si="7"/>
        <v>0</v>
      </c>
      <c r="G21" s="17">
        <f t="shared" si="7"/>
        <v>0</v>
      </c>
      <c r="H21" s="15">
        <f t="shared" si="7"/>
        <v>2</v>
      </c>
      <c r="I21" s="14">
        <f t="shared" si="7"/>
        <v>0</v>
      </c>
      <c r="J21" s="14">
        <f t="shared" si="7"/>
        <v>0</v>
      </c>
      <c r="K21" s="17">
        <f t="shared" si="7"/>
        <v>2</v>
      </c>
      <c r="L21" s="15">
        <f t="shared" si="7"/>
        <v>0</v>
      </c>
      <c r="M21" s="14">
        <f t="shared" si="7"/>
        <v>0</v>
      </c>
      <c r="N21" s="15">
        <f t="shared" si="7"/>
        <v>2</v>
      </c>
      <c r="O21" s="17">
        <f t="shared" si="7"/>
        <v>2</v>
      </c>
      <c r="P21" s="18">
        <f t="shared" si="7"/>
        <v>1</v>
      </c>
      <c r="Q21" s="14">
        <f t="shared" si="7"/>
        <v>0</v>
      </c>
      <c r="R21" s="17">
        <f t="shared" si="7"/>
        <v>0</v>
      </c>
      <c r="S21" s="14">
        <f t="shared" si="7"/>
        <v>0</v>
      </c>
      <c r="T21" s="14">
        <f t="shared" si="7"/>
        <v>0</v>
      </c>
      <c r="U21" s="17">
        <f t="shared" si="7"/>
        <v>0</v>
      </c>
      <c r="V21" s="11">
        <f t="shared" si="1"/>
        <v>9</v>
      </c>
      <c r="W21" s="19">
        <f>V21/$V$150</f>
        <v>0.33410672853828305</v>
      </c>
      <c r="X21" s="20"/>
    </row>
    <row r="22" spans="2:24" s="1" customFormat="1" hidden="1" outlineLevel="1" x14ac:dyDescent="0.25">
      <c r="C22" s="41" t="s">
        <v>27</v>
      </c>
      <c r="D22" s="26"/>
      <c r="E22" s="23"/>
      <c r="F22" s="34"/>
      <c r="G22" s="25"/>
      <c r="H22" s="39">
        <v>2</v>
      </c>
      <c r="I22" s="26"/>
      <c r="J22" s="26"/>
      <c r="K22" s="25">
        <v>1</v>
      </c>
      <c r="L22" s="23"/>
      <c r="M22" s="26"/>
      <c r="N22" s="28">
        <v>2</v>
      </c>
      <c r="O22" s="25">
        <v>2</v>
      </c>
      <c r="P22" s="36">
        <v>1</v>
      </c>
      <c r="Q22" s="26"/>
      <c r="R22" s="31"/>
      <c r="S22" s="26"/>
      <c r="T22" s="26"/>
      <c r="U22" s="31"/>
      <c r="V22" s="11">
        <f t="shared" si="1"/>
        <v>8</v>
      </c>
      <c r="W22" s="19"/>
      <c r="X22" s="20"/>
    </row>
    <row r="23" spans="2:24" s="1" customFormat="1" hidden="1" outlineLevel="1" x14ac:dyDescent="0.25">
      <c r="C23" s="41" t="s">
        <v>28</v>
      </c>
      <c r="D23" s="26"/>
      <c r="E23" s="23"/>
      <c r="F23" s="34"/>
      <c r="G23" s="25"/>
      <c r="H23" s="39">
        <v>1</v>
      </c>
      <c r="I23" s="26"/>
      <c r="J23" s="26"/>
      <c r="K23" s="25">
        <v>2</v>
      </c>
      <c r="L23" s="23"/>
      <c r="M23" s="26"/>
      <c r="N23" s="28">
        <v>1</v>
      </c>
      <c r="O23" s="25">
        <v>1</v>
      </c>
      <c r="P23" s="36">
        <v>1</v>
      </c>
      <c r="Q23" s="26"/>
      <c r="R23" s="31"/>
      <c r="S23" s="26"/>
      <c r="T23" s="26"/>
      <c r="U23" s="31"/>
      <c r="V23" s="11">
        <f t="shared" si="1"/>
        <v>6</v>
      </c>
      <c r="W23" s="19"/>
      <c r="X23" s="20"/>
    </row>
    <row r="24" spans="2:24" s="1" customFormat="1" ht="42.75" hidden="1" outlineLevel="1" x14ac:dyDescent="0.25">
      <c r="B24" s="1">
        <v>7</v>
      </c>
      <c r="C24" s="41" t="s">
        <v>34</v>
      </c>
      <c r="D24" s="14">
        <f t="shared" ref="D24:U24" si="8">+D25*D26</f>
        <v>2</v>
      </c>
      <c r="E24" s="15">
        <f t="shared" si="8"/>
        <v>0</v>
      </c>
      <c r="F24" s="16">
        <f t="shared" si="8"/>
        <v>1</v>
      </c>
      <c r="G24" s="17">
        <f t="shared" si="8"/>
        <v>2</v>
      </c>
      <c r="H24" s="15">
        <f t="shared" si="8"/>
        <v>0</v>
      </c>
      <c r="I24" s="14">
        <f t="shared" si="8"/>
        <v>0</v>
      </c>
      <c r="J24" s="14">
        <f t="shared" si="8"/>
        <v>0</v>
      </c>
      <c r="K24" s="17">
        <f t="shared" si="8"/>
        <v>2</v>
      </c>
      <c r="L24" s="15">
        <f t="shared" si="8"/>
        <v>0</v>
      </c>
      <c r="M24" s="14">
        <f t="shared" si="8"/>
        <v>0</v>
      </c>
      <c r="N24" s="15">
        <f t="shared" si="8"/>
        <v>0</v>
      </c>
      <c r="O24" s="17">
        <f t="shared" si="8"/>
        <v>0</v>
      </c>
      <c r="P24" s="18">
        <f t="shared" si="8"/>
        <v>1</v>
      </c>
      <c r="Q24" s="14">
        <f t="shared" si="8"/>
        <v>0</v>
      </c>
      <c r="R24" s="17">
        <f t="shared" si="8"/>
        <v>0</v>
      </c>
      <c r="S24" s="14">
        <f t="shared" si="8"/>
        <v>0</v>
      </c>
      <c r="T24" s="14">
        <f t="shared" si="8"/>
        <v>0</v>
      </c>
      <c r="U24" s="17">
        <f t="shared" si="8"/>
        <v>0</v>
      </c>
      <c r="V24" s="11">
        <f t="shared" si="1"/>
        <v>8</v>
      </c>
      <c r="W24" s="19">
        <f>V24/$V$150</f>
        <v>0.29698375870069604</v>
      </c>
      <c r="X24" s="20"/>
    </row>
    <row r="25" spans="2:24" s="1" customFormat="1" hidden="1" outlineLevel="1" x14ac:dyDescent="0.25">
      <c r="C25" s="41" t="s">
        <v>27</v>
      </c>
      <c r="D25" s="29">
        <v>1</v>
      </c>
      <c r="E25" s="23"/>
      <c r="F25" s="24">
        <v>1</v>
      </c>
      <c r="G25" s="38">
        <v>2</v>
      </c>
      <c r="H25" s="23"/>
      <c r="I25" s="26"/>
      <c r="J25" s="26"/>
      <c r="K25" s="25">
        <v>2</v>
      </c>
      <c r="L25" s="23"/>
      <c r="M25" s="26"/>
      <c r="N25" s="23"/>
      <c r="O25" s="31"/>
      <c r="P25" s="30">
        <v>1</v>
      </c>
      <c r="Q25" s="26"/>
      <c r="R25" s="31"/>
      <c r="S25" s="26"/>
      <c r="T25" s="26"/>
      <c r="U25" s="25"/>
      <c r="V25" s="11">
        <f t="shared" si="1"/>
        <v>7</v>
      </c>
      <c r="W25" s="19"/>
      <c r="X25" s="20"/>
    </row>
    <row r="26" spans="2:24" s="1" customFormat="1" hidden="1" outlineLevel="1" x14ac:dyDescent="0.25">
      <c r="C26" s="41" t="s">
        <v>28</v>
      </c>
      <c r="D26" s="29">
        <v>2</v>
      </c>
      <c r="E26" s="23"/>
      <c r="F26" s="24">
        <v>1</v>
      </c>
      <c r="G26" s="38">
        <v>1</v>
      </c>
      <c r="H26" s="23"/>
      <c r="I26" s="26"/>
      <c r="J26" s="26"/>
      <c r="K26" s="25">
        <v>1</v>
      </c>
      <c r="L26" s="23"/>
      <c r="M26" s="26"/>
      <c r="N26" s="23"/>
      <c r="O26" s="31"/>
      <c r="P26" s="30">
        <v>1</v>
      </c>
      <c r="Q26" s="26"/>
      <c r="R26" s="31"/>
      <c r="S26" s="26"/>
      <c r="T26" s="26"/>
      <c r="U26" s="25"/>
      <c r="V26" s="11">
        <f t="shared" si="1"/>
        <v>6</v>
      </c>
      <c r="W26" s="19"/>
      <c r="X26" s="20"/>
    </row>
    <row r="27" spans="2:24" s="1" customFormat="1" ht="42.75" hidden="1" outlineLevel="1" x14ac:dyDescent="0.25">
      <c r="B27" s="1">
        <v>8</v>
      </c>
      <c r="C27" s="41" t="s">
        <v>35</v>
      </c>
      <c r="D27" s="14">
        <f t="shared" ref="D27:U27" si="9">+D28*D29</f>
        <v>2</v>
      </c>
      <c r="E27" s="15">
        <f t="shared" si="9"/>
        <v>0</v>
      </c>
      <c r="F27" s="16">
        <f t="shared" si="9"/>
        <v>1</v>
      </c>
      <c r="G27" s="17">
        <f t="shared" si="9"/>
        <v>2</v>
      </c>
      <c r="H27" s="15">
        <f t="shared" si="9"/>
        <v>0</v>
      </c>
      <c r="I27" s="14">
        <f t="shared" si="9"/>
        <v>0</v>
      </c>
      <c r="J27" s="14">
        <f t="shared" si="9"/>
        <v>1</v>
      </c>
      <c r="K27" s="17">
        <f t="shared" si="9"/>
        <v>2</v>
      </c>
      <c r="L27" s="15">
        <f t="shared" si="9"/>
        <v>0</v>
      </c>
      <c r="M27" s="14">
        <f t="shared" si="9"/>
        <v>0</v>
      </c>
      <c r="N27" s="15">
        <f t="shared" si="9"/>
        <v>1</v>
      </c>
      <c r="O27" s="17">
        <f t="shared" si="9"/>
        <v>1</v>
      </c>
      <c r="P27" s="18">
        <f t="shared" si="9"/>
        <v>0</v>
      </c>
      <c r="Q27" s="14">
        <f t="shared" si="9"/>
        <v>0</v>
      </c>
      <c r="R27" s="17">
        <f t="shared" si="9"/>
        <v>0</v>
      </c>
      <c r="S27" s="14">
        <f t="shared" si="9"/>
        <v>0</v>
      </c>
      <c r="T27" s="14">
        <f t="shared" si="9"/>
        <v>0</v>
      </c>
      <c r="U27" s="17">
        <f t="shared" si="9"/>
        <v>0</v>
      </c>
      <c r="V27" s="11">
        <f t="shared" si="1"/>
        <v>10</v>
      </c>
      <c r="W27" s="19">
        <f>V27/$V$150</f>
        <v>0.37122969837587005</v>
      </c>
      <c r="X27" s="20"/>
    </row>
    <row r="28" spans="2:24" s="1" customFormat="1" hidden="1" outlineLevel="1" x14ac:dyDescent="0.25">
      <c r="C28" s="41" t="s">
        <v>27</v>
      </c>
      <c r="D28" s="22">
        <v>1</v>
      </c>
      <c r="E28" s="23"/>
      <c r="F28" s="24">
        <v>1</v>
      </c>
      <c r="G28" s="24">
        <v>2</v>
      </c>
      <c r="H28" s="23"/>
      <c r="I28" s="26"/>
      <c r="J28" s="29">
        <v>1</v>
      </c>
      <c r="K28" s="25">
        <v>2</v>
      </c>
      <c r="L28" s="23"/>
      <c r="M28" s="26"/>
      <c r="N28" s="28">
        <v>1</v>
      </c>
      <c r="O28" s="25">
        <v>1</v>
      </c>
      <c r="P28" s="30"/>
      <c r="Q28" s="26"/>
      <c r="R28" s="31"/>
      <c r="S28" s="26"/>
      <c r="T28" s="26"/>
      <c r="U28" s="31"/>
      <c r="V28" s="11">
        <f t="shared" si="1"/>
        <v>9</v>
      </c>
      <c r="W28" s="19"/>
      <c r="X28" s="20"/>
    </row>
    <row r="29" spans="2:24" s="1" customFormat="1" hidden="1" outlineLevel="1" x14ac:dyDescent="0.25">
      <c r="C29" s="41" t="s">
        <v>28</v>
      </c>
      <c r="D29" s="22">
        <v>2</v>
      </c>
      <c r="E29" s="23"/>
      <c r="F29" s="24">
        <v>1</v>
      </c>
      <c r="G29" s="24">
        <v>1</v>
      </c>
      <c r="H29" s="23"/>
      <c r="I29" s="26"/>
      <c r="J29" s="29">
        <v>1</v>
      </c>
      <c r="K29" s="25">
        <v>1</v>
      </c>
      <c r="L29" s="23"/>
      <c r="M29" s="26"/>
      <c r="N29" s="28">
        <v>1</v>
      </c>
      <c r="O29" s="25">
        <v>1</v>
      </c>
      <c r="P29" s="30"/>
      <c r="Q29" s="26"/>
      <c r="R29" s="31"/>
      <c r="S29" s="26"/>
      <c r="T29" s="26"/>
      <c r="U29" s="31"/>
      <c r="V29" s="11">
        <f t="shared" si="1"/>
        <v>8</v>
      </c>
      <c r="W29" s="19"/>
      <c r="X29" s="20"/>
    </row>
    <row r="30" spans="2:24" s="1" customFormat="1" ht="57" hidden="1" outlineLevel="1" x14ac:dyDescent="0.25">
      <c r="B30" s="1">
        <v>9</v>
      </c>
      <c r="C30" s="41" t="s">
        <v>36</v>
      </c>
      <c r="D30" s="14">
        <f t="shared" ref="D30:U30" si="10">+D31*D32</f>
        <v>0</v>
      </c>
      <c r="E30" s="15">
        <f t="shared" si="10"/>
        <v>0</v>
      </c>
      <c r="F30" s="16">
        <f t="shared" si="10"/>
        <v>0</v>
      </c>
      <c r="G30" s="17">
        <f t="shared" si="10"/>
        <v>0</v>
      </c>
      <c r="H30" s="15">
        <f t="shared" si="10"/>
        <v>0</v>
      </c>
      <c r="I30" s="14">
        <f t="shared" si="10"/>
        <v>0</v>
      </c>
      <c r="J30" s="14">
        <f t="shared" si="10"/>
        <v>0</v>
      </c>
      <c r="K30" s="17">
        <f t="shared" si="10"/>
        <v>0</v>
      </c>
      <c r="L30" s="15">
        <f t="shared" si="10"/>
        <v>0</v>
      </c>
      <c r="M30" s="14">
        <f t="shared" si="10"/>
        <v>2</v>
      </c>
      <c r="N30" s="15">
        <f t="shared" si="10"/>
        <v>1</v>
      </c>
      <c r="O30" s="17">
        <f t="shared" si="10"/>
        <v>2</v>
      </c>
      <c r="P30" s="18">
        <f t="shared" si="10"/>
        <v>1</v>
      </c>
      <c r="Q30" s="14">
        <f t="shared" si="10"/>
        <v>1</v>
      </c>
      <c r="R30" s="17">
        <f t="shared" si="10"/>
        <v>1</v>
      </c>
      <c r="S30" s="14">
        <f t="shared" si="10"/>
        <v>4</v>
      </c>
      <c r="T30" s="14">
        <f t="shared" si="10"/>
        <v>2</v>
      </c>
      <c r="U30" s="17">
        <f t="shared" si="10"/>
        <v>4</v>
      </c>
      <c r="V30" s="11">
        <f t="shared" si="1"/>
        <v>18</v>
      </c>
      <c r="W30" s="19">
        <f>V30/$V$150</f>
        <v>0.6682134570765661</v>
      </c>
      <c r="X30" s="20"/>
    </row>
    <row r="31" spans="2:24" s="1" customFormat="1" hidden="1" outlineLevel="1" x14ac:dyDescent="0.25">
      <c r="C31" s="41" t="s">
        <v>27</v>
      </c>
      <c r="D31" s="26"/>
      <c r="E31" s="23"/>
      <c r="F31" s="34"/>
      <c r="G31" s="25"/>
      <c r="H31" s="23"/>
      <c r="I31" s="26"/>
      <c r="J31" s="26"/>
      <c r="K31" s="31"/>
      <c r="L31" s="23"/>
      <c r="M31" s="27">
        <v>2</v>
      </c>
      <c r="N31" s="28">
        <v>1</v>
      </c>
      <c r="O31" s="25">
        <v>2</v>
      </c>
      <c r="P31" s="36">
        <v>1</v>
      </c>
      <c r="Q31" s="29">
        <v>1</v>
      </c>
      <c r="R31" s="32">
        <v>1</v>
      </c>
      <c r="S31" s="27">
        <v>2</v>
      </c>
      <c r="T31" s="27">
        <v>2</v>
      </c>
      <c r="U31" s="32">
        <v>2</v>
      </c>
      <c r="V31" s="11">
        <f t="shared" si="1"/>
        <v>14</v>
      </c>
      <c r="W31" s="19"/>
      <c r="X31" s="20"/>
    </row>
    <row r="32" spans="2:24" s="1" customFormat="1" hidden="1" outlineLevel="1" x14ac:dyDescent="0.25">
      <c r="C32" s="41" t="s">
        <v>28</v>
      </c>
      <c r="D32" s="26"/>
      <c r="E32" s="23"/>
      <c r="F32" s="34"/>
      <c r="G32" s="25"/>
      <c r="H32" s="23"/>
      <c r="I32" s="26"/>
      <c r="J32" s="26"/>
      <c r="K32" s="31"/>
      <c r="L32" s="23"/>
      <c r="M32" s="27">
        <v>1</v>
      </c>
      <c r="N32" s="28">
        <v>1</v>
      </c>
      <c r="O32" s="25">
        <v>1</v>
      </c>
      <c r="P32" s="36">
        <v>1</v>
      </c>
      <c r="Q32" s="29">
        <v>1</v>
      </c>
      <c r="R32" s="32">
        <v>1</v>
      </c>
      <c r="S32" s="27">
        <v>2</v>
      </c>
      <c r="T32" s="27">
        <v>1</v>
      </c>
      <c r="U32" s="32">
        <v>2</v>
      </c>
      <c r="V32" s="11">
        <f t="shared" si="1"/>
        <v>11</v>
      </c>
      <c r="W32" s="19"/>
      <c r="X32" s="20"/>
    </row>
    <row r="33" spans="2:24" s="1" customFormat="1" ht="114" hidden="1" outlineLevel="1" x14ac:dyDescent="0.25">
      <c r="B33" s="1">
        <v>10</v>
      </c>
      <c r="C33" s="41" t="s">
        <v>37</v>
      </c>
      <c r="D33" s="14">
        <f t="shared" ref="D33:U33" si="11">+D34*D35</f>
        <v>2</v>
      </c>
      <c r="E33" s="15">
        <f t="shared" si="11"/>
        <v>0</v>
      </c>
      <c r="F33" s="16">
        <f t="shared" si="11"/>
        <v>1</v>
      </c>
      <c r="G33" s="17">
        <f t="shared" si="11"/>
        <v>0</v>
      </c>
      <c r="H33" s="15">
        <f t="shared" si="11"/>
        <v>0</v>
      </c>
      <c r="I33" s="14">
        <f t="shared" si="11"/>
        <v>0</v>
      </c>
      <c r="J33" s="14">
        <f t="shared" si="11"/>
        <v>1</v>
      </c>
      <c r="K33" s="17">
        <f t="shared" si="11"/>
        <v>0</v>
      </c>
      <c r="L33" s="15">
        <f t="shared" si="11"/>
        <v>0</v>
      </c>
      <c r="M33" s="14">
        <f t="shared" si="11"/>
        <v>4</v>
      </c>
      <c r="N33" s="15">
        <f t="shared" si="11"/>
        <v>4</v>
      </c>
      <c r="O33" s="17">
        <f t="shared" si="11"/>
        <v>4</v>
      </c>
      <c r="P33" s="18">
        <f t="shared" si="11"/>
        <v>0</v>
      </c>
      <c r="Q33" s="14">
        <f t="shared" si="11"/>
        <v>0</v>
      </c>
      <c r="R33" s="17">
        <f t="shared" si="11"/>
        <v>0</v>
      </c>
      <c r="S33" s="14">
        <f t="shared" si="11"/>
        <v>2</v>
      </c>
      <c r="T33" s="14">
        <f t="shared" si="11"/>
        <v>4</v>
      </c>
      <c r="U33" s="17">
        <f t="shared" si="11"/>
        <v>0</v>
      </c>
      <c r="V33" s="11">
        <f t="shared" si="1"/>
        <v>22</v>
      </c>
      <c r="W33" s="19">
        <f>V33/$V$150</f>
        <v>0.81670533642691412</v>
      </c>
      <c r="X33" s="20"/>
    </row>
    <row r="34" spans="2:24" s="1" customFormat="1" hidden="1" outlineLevel="1" x14ac:dyDescent="0.25">
      <c r="C34" s="41" t="s">
        <v>27</v>
      </c>
      <c r="D34" s="22">
        <v>1</v>
      </c>
      <c r="E34" s="28"/>
      <c r="F34" s="40">
        <v>1</v>
      </c>
      <c r="G34" s="31"/>
      <c r="H34" s="23"/>
      <c r="I34" s="26"/>
      <c r="J34" s="29">
        <v>1</v>
      </c>
      <c r="K34" s="31"/>
      <c r="L34" s="23"/>
      <c r="M34" s="27">
        <v>2</v>
      </c>
      <c r="N34" s="28">
        <v>2</v>
      </c>
      <c r="O34" s="25">
        <v>2</v>
      </c>
      <c r="P34" s="36"/>
      <c r="Q34" s="27"/>
      <c r="R34" s="25"/>
      <c r="S34" s="27">
        <v>1</v>
      </c>
      <c r="T34" s="27">
        <v>2</v>
      </c>
      <c r="U34" s="31"/>
      <c r="V34" s="11">
        <f t="shared" si="1"/>
        <v>12</v>
      </c>
      <c r="W34" s="19"/>
      <c r="X34" s="20"/>
    </row>
    <row r="35" spans="2:24" s="1" customFormat="1" hidden="1" outlineLevel="1" x14ac:dyDescent="0.25">
      <c r="C35" s="41" t="s">
        <v>28</v>
      </c>
      <c r="D35" s="22">
        <v>2</v>
      </c>
      <c r="E35" s="28"/>
      <c r="F35" s="40">
        <v>1</v>
      </c>
      <c r="G35" s="31"/>
      <c r="H35" s="23"/>
      <c r="I35" s="26"/>
      <c r="J35" s="29">
        <v>1</v>
      </c>
      <c r="K35" s="31"/>
      <c r="L35" s="23"/>
      <c r="M35" s="27">
        <v>2</v>
      </c>
      <c r="N35" s="28">
        <v>2</v>
      </c>
      <c r="O35" s="25">
        <v>2</v>
      </c>
      <c r="P35" s="36"/>
      <c r="Q35" s="27"/>
      <c r="R35" s="25"/>
      <c r="S35" s="27">
        <v>2</v>
      </c>
      <c r="T35" s="27">
        <v>2</v>
      </c>
      <c r="U35" s="31"/>
      <c r="V35" s="11">
        <f t="shared" si="1"/>
        <v>14</v>
      </c>
      <c r="W35" s="19"/>
      <c r="X35" s="20"/>
    </row>
    <row r="36" spans="2:24" s="1" customFormat="1" ht="85.5" hidden="1" outlineLevel="1" x14ac:dyDescent="0.25">
      <c r="B36" s="1">
        <v>11</v>
      </c>
      <c r="C36" s="41" t="s">
        <v>38</v>
      </c>
      <c r="D36" s="14">
        <f t="shared" ref="D36:U36" si="12">+D37*D38</f>
        <v>2</v>
      </c>
      <c r="E36" s="15">
        <f t="shared" si="12"/>
        <v>0</v>
      </c>
      <c r="F36" s="16">
        <f t="shared" si="12"/>
        <v>1</v>
      </c>
      <c r="G36" s="17">
        <f t="shared" si="12"/>
        <v>0</v>
      </c>
      <c r="H36" s="15">
        <f t="shared" si="12"/>
        <v>0</v>
      </c>
      <c r="I36" s="14">
        <f t="shared" si="12"/>
        <v>0</v>
      </c>
      <c r="J36" s="14">
        <f t="shared" si="12"/>
        <v>0</v>
      </c>
      <c r="K36" s="17">
        <f t="shared" si="12"/>
        <v>0</v>
      </c>
      <c r="L36" s="15">
        <f t="shared" si="12"/>
        <v>4</v>
      </c>
      <c r="M36" s="14">
        <f t="shared" si="12"/>
        <v>0</v>
      </c>
      <c r="N36" s="15">
        <f t="shared" si="12"/>
        <v>1</v>
      </c>
      <c r="O36" s="17">
        <f t="shared" si="12"/>
        <v>4</v>
      </c>
      <c r="P36" s="18">
        <f t="shared" si="12"/>
        <v>1</v>
      </c>
      <c r="Q36" s="14">
        <f t="shared" si="12"/>
        <v>0</v>
      </c>
      <c r="R36" s="17">
        <f t="shared" si="12"/>
        <v>0</v>
      </c>
      <c r="S36" s="14">
        <f t="shared" si="12"/>
        <v>2</v>
      </c>
      <c r="T36" s="14">
        <f t="shared" si="12"/>
        <v>0</v>
      </c>
      <c r="U36" s="17">
        <f t="shared" si="12"/>
        <v>0</v>
      </c>
      <c r="V36" s="11">
        <f t="shared" si="1"/>
        <v>15</v>
      </c>
      <c r="W36" s="19">
        <f>V36/$V$150</f>
        <v>0.55684454756380508</v>
      </c>
      <c r="X36" s="20"/>
    </row>
    <row r="37" spans="2:24" s="1" customFormat="1" hidden="1" outlineLevel="1" x14ac:dyDescent="0.25">
      <c r="C37" s="41" t="s">
        <v>27</v>
      </c>
      <c r="D37" s="22">
        <v>1</v>
      </c>
      <c r="E37" s="23"/>
      <c r="F37" s="40">
        <v>1</v>
      </c>
      <c r="G37" s="31"/>
      <c r="H37" s="23"/>
      <c r="I37" s="26"/>
      <c r="J37" s="27"/>
      <c r="K37" s="25"/>
      <c r="L37" s="28">
        <v>2</v>
      </c>
      <c r="M37" s="27"/>
      <c r="N37" s="28">
        <v>1</v>
      </c>
      <c r="O37" s="25">
        <v>2</v>
      </c>
      <c r="P37" s="36">
        <v>1</v>
      </c>
      <c r="Q37" s="26"/>
      <c r="R37" s="31"/>
      <c r="S37" s="27">
        <v>2</v>
      </c>
      <c r="T37" s="27"/>
      <c r="U37" s="31"/>
      <c r="V37" s="11">
        <f t="shared" si="1"/>
        <v>10</v>
      </c>
      <c r="W37" s="19"/>
      <c r="X37" s="20"/>
    </row>
    <row r="38" spans="2:24" s="1" customFormat="1" hidden="1" outlineLevel="1" x14ac:dyDescent="0.25">
      <c r="C38" s="41" t="s">
        <v>28</v>
      </c>
      <c r="D38" s="22">
        <v>2</v>
      </c>
      <c r="E38" s="23"/>
      <c r="F38" s="40">
        <v>1</v>
      </c>
      <c r="G38" s="31"/>
      <c r="H38" s="23"/>
      <c r="I38" s="26"/>
      <c r="J38" s="27"/>
      <c r="K38" s="25"/>
      <c r="L38" s="28">
        <v>2</v>
      </c>
      <c r="M38" s="27"/>
      <c r="N38" s="28">
        <v>1</v>
      </c>
      <c r="O38" s="25">
        <v>2</v>
      </c>
      <c r="P38" s="36">
        <v>1</v>
      </c>
      <c r="Q38" s="26"/>
      <c r="R38" s="31"/>
      <c r="S38" s="27">
        <v>1</v>
      </c>
      <c r="T38" s="27"/>
      <c r="U38" s="31"/>
      <c r="V38" s="11">
        <f t="shared" si="1"/>
        <v>10</v>
      </c>
      <c r="W38" s="19"/>
      <c r="X38" s="20"/>
    </row>
    <row r="39" spans="2:24" s="1" customFormat="1" ht="71.25" hidden="1" outlineLevel="1" x14ac:dyDescent="0.25">
      <c r="B39" s="1">
        <v>12</v>
      </c>
      <c r="C39" s="41" t="s">
        <v>39</v>
      </c>
      <c r="D39" s="14">
        <f t="shared" ref="D39:U39" si="13">+D40*D41</f>
        <v>0</v>
      </c>
      <c r="E39" s="15">
        <f t="shared" si="13"/>
        <v>0</v>
      </c>
      <c r="F39" s="16">
        <f t="shared" si="13"/>
        <v>0</v>
      </c>
      <c r="G39" s="17">
        <f t="shared" si="13"/>
        <v>0</v>
      </c>
      <c r="H39" s="15">
        <f t="shared" si="13"/>
        <v>0</v>
      </c>
      <c r="I39" s="14">
        <f t="shared" si="13"/>
        <v>4</v>
      </c>
      <c r="J39" s="14">
        <f t="shared" si="13"/>
        <v>4</v>
      </c>
      <c r="K39" s="17">
        <f t="shared" si="13"/>
        <v>2</v>
      </c>
      <c r="L39" s="15">
        <f t="shared" si="13"/>
        <v>4</v>
      </c>
      <c r="M39" s="14">
        <f t="shared" si="13"/>
        <v>1</v>
      </c>
      <c r="N39" s="15">
        <f t="shared" si="13"/>
        <v>0</v>
      </c>
      <c r="O39" s="17">
        <f t="shared" si="13"/>
        <v>4</v>
      </c>
      <c r="P39" s="18">
        <f t="shared" si="13"/>
        <v>1</v>
      </c>
      <c r="Q39" s="14">
        <f t="shared" si="13"/>
        <v>0</v>
      </c>
      <c r="R39" s="17">
        <f t="shared" si="13"/>
        <v>0</v>
      </c>
      <c r="S39" s="14">
        <f t="shared" si="13"/>
        <v>4</v>
      </c>
      <c r="T39" s="14">
        <f t="shared" si="13"/>
        <v>0</v>
      </c>
      <c r="U39" s="17">
        <f t="shared" si="13"/>
        <v>0</v>
      </c>
      <c r="V39" s="11">
        <f t="shared" si="1"/>
        <v>24</v>
      </c>
      <c r="W39" s="19">
        <f>V39/$V$150</f>
        <v>0.89095127610208813</v>
      </c>
      <c r="X39" s="20"/>
    </row>
    <row r="40" spans="2:24" s="1" customFormat="1" hidden="1" outlineLevel="1" x14ac:dyDescent="0.25">
      <c r="C40" s="41" t="s">
        <v>27</v>
      </c>
      <c r="D40" s="26"/>
      <c r="E40" s="23"/>
      <c r="F40" s="34"/>
      <c r="G40" s="31"/>
      <c r="H40" s="23"/>
      <c r="I40" s="26">
        <v>2</v>
      </c>
      <c r="J40" s="27">
        <v>2</v>
      </c>
      <c r="K40" s="25">
        <v>1</v>
      </c>
      <c r="L40" s="28">
        <v>2</v>
      </c>
      <c r="M40" s="28">
        <v>1</v>
      </c>
      <c r="N40" s="28"/>
      <c r="O40" s="25">
        <v>2</v>
      </c>
      <c r="P40" s="36">
        <v>1</v>
      </c>
      <c r="Q40" s="26"/>
      <c r="R40" s="31"/>
      <c r="S40" s="27">
        <v>2</v>
      </c>
      <c r="T40" s="27"/>
      <c r="U40" s="31"/>
      <c r="V40" s="11">
        <f t="shared" si="1"/>
        <v>13</v>
      </c>
      <c r="W40" s="19"/>
      <c r="X40" s="20"/>
    </row>
    <row r="41" spans="2:24" s="1" customFormat="1" hidden="1" outlineLevel="1" x14ac:dyDescent="0.25">
      <c r="C41" s="41" t="s">
        <v>28</v>
      </c>
      <c r="D41" s="26"/>
      <c r="E41" s="23"/>
      <c r="F41" s="34"/>
      <c r="G41" s="31"/>
      <c r="H41" s="23"/>
      <c r="I41" s="26">
        <v>2</v>
      </c>
      <c r="J41" s="27">
        <v>2</v>
      </c>
      <c r="K41" s="25">
        <v>2</v>
      </c>
      <c r="L41" s="28">
        <v>2</v>
      </c>
      <c r="M41" s="27">
        <v>1</v>
      </c>
      <c r="N41" s="28"/>
      <c r="O41" s="25">
        <v>2</v>
      </c>
      <c r="P41" s="36">
        <v>1</v>
      </c>
      <c r="Q41" s="26"/>
      <c r="R41" s="31"/>
      <c r="S41" s="27">
        <v>2</v>
      </c>
      <c r="T41" s="27"/>
      <c r="U41" s="31"/>
      <c r="V41" s="11">
        <f t="shared" si="1"/>
        <v>14</v>
      </c>
      <c r="W41" s="19"/>
      <c r="X41" s="20"/>
    </row>
    <row r="42" spans="2:24" s="1" customFormat="1" ht="171" hidden="1" outlineLevel="1" x14ac:dyDescent="0.25">
      <c r="B42" s="1">
        <v>13</v>
      </c>
      <c r="C42" s="41" t="s">
        <v>40</v>
      </c>
      <c r="D42" s="14">
        <f t="shared" ref="D42:U42" si="14">+D43*D44</f>
        <v>0</v>
      </c>
      <c r="E42" s="15">
        <f t="shared" si="14"/>
        <v>0</v>
      </c>
      <c r="F42" s="16">
        <f t="shared" si="14"/>
        <v>0</v>
      </c>
      <c r="G42" s="17">
        <f t="shared" si="14"/>
        <v>0</v>
      </c>
      <c r="H42" s="15">
        <f t="shared" si="14"/>
        <v>0</v>
      </c>
      <c r="I42" s="14">
        <f t="shared" si="14"/>
        <v>2</v>
      </c>
      <c r="J42" s="14">
        <f t="shared" si="14"/>
        <v>0</v>
      </c>
      <c r="K42" s="17">
        <f t="shared" si="14"/>
        <v>0</v>
      </c>
      <c r="L42" s="15">
        <f t="shared" si="14"/>
        <v>0</v>
      </c>
      <c r="M42" s="14">
        <f t="shared" si="14"/>
        <v>0</v>
      </c>
      <c r="N42" s="15">
        <f t="shared" si="14"/>
        <v>1</v>
      </c>
      <c r="O42" s="17">
        <f t="shared" si="14"/>
        <v>2</v>
      </c>
      <c r="P42" s="18">
        <f t="shared" si="14"/>
        <v>0</v>
      </c>
      <c r="Q42" s="14">
        <f t="shared" si="14"/>
        <v>0</v>
      </c>
      <c r="R42" s="17">
        <f t="shared" si="14"/>
        <v>0</v>
      </c>
      <c r="S42" s="14">
        <f t="shared" si="14"/>
        <v>2</v>
      </c>
      <c r="T42" s="14">
        <f t="shared" si="14"/>
        <v>0</v>
      </c>
      <c r="U42" s="17">
        <f t="shared" si="14"/>
        <v>0</v>
      </c>
      <c r="V42" s="11">
        <f t="shared" si="1"/>
        <v>7</v>
      </c>
      <c r="W42" s="19">
        <f>V42/$V$150</f>
        <v>0.25986078886310904</v>
      </c>
      <c r="X42" s="20"/>
    </row>
    <row r="43" spans="2:24" s="1" customFormat="1" hidden="1" outlineLevel="1" x14ac:dyDescent="0.25">
      <c r="C43" s="41" t="s">
        <v>27</v>
      </c>
      <c r="D43" s="26"/>
      <c r="E43" s="23"/>
      <c r="F43" s="34"/>
      <c r="G43" s="31"/>
      <c r="H43" s="23"/>
      <c r="I43" s="29">
        <v>1</v>
      </c>
      <c r="J43" s="27"/>
      <c r="K43" s="25"/>
      <c r="L43" s="28"/>
      <c r="M43" s="27"/>
      <c r="N43" s="28">
        <v>1</v>
      </c>
      <c r="O43" s="25">
        <v>2</v>
      </c>
      <c r="P43" s="30"/>
      <c r="Q43" s="26"/>
      <c r="R43" s="31"/>
      <c r="S43" s="27">
        <v>1</v>
      </c>
      <c r="T43" s="26"/>
      <c r="U43" s="31"/>
      <c r="V43" s="11">
        <f t="shared" si="1"/>
        <v>5</v>
      </c>
      <c r="W43" s="19"/>
      <c r="X43" s="20"/>
    </row>
    <row r="44" spans="2:24" s="1" customFormat="1" hidden="1" outlineLevel="1" x14ac:dyDescent="0.25">
      <c r="C44" s="41" t="s">
        <v>28</v>
      </c>
      <c r="D44" s="26"/>
      <c r="E44" s="23"/>
      <c r="F44" s="34"/>
      <c r="G44" s="31"/>
      <c r="H44" s="23"/>
      <c r="I44" s="29">
        <v>2</v>
      </c>
      <c r="J44" s="27"/>
      <c r="K44" s="25"/>
      <c r="L44" s="28"/>
      <c r="M44" s="27"/>
      <c r="N44" s="28">
        <v>1</v>
      </c>
      <c r="O44" s="25">
        <v>1</v>
      </c>
      <c r="P44" s="30"/>
      <c r="Q44" s="26"/>
      <c r="R44" s="31"/>
      <c r="S44" s="27">
        <v>2</v>
      </c>
      <c r="T44" s="26"/>
      <c r="U44" s="31"/>
      <c r="V44" s="11">
        <f t="shared" si="1"/>
        <v>6</v>
      </c>
      <c r="W44" s="19"/>
      <c r="X44" s="20"/>
    </row>
    <row r="45" spans="2:24" s="1" customFormat="1" ht="71.25" hidden="1" outlineLevel="1" x14ac:dyDescent="0.25">
      <c r="B45" s="1">
        <v>14</v>
      </c>
      <c r="C45" s="41" t="s">
        <v>41</v>
      </c>
      <c r="D45" s="14">
        <f t="shared" ref="D45:U45" si="15">+D46*D47</f>
        <v>1</v>
      </c>
      <c r="E45" s="15">
        <f t="shared" si="15"/>
        <v>0</v>
      </c>
      <c r="F45" s="16">
        <f t="shared" si="15"/>
        <v>2</v>
      </c>
      <c r="G45" s="17">
        <f t="shared" si="15"/>
        <v>2</v>
      </c>
      <c r="H45" s="15">
        <f t="shared" si="15"/>
        <v>0</v>
      </c>
      <c r="I45" s="14">
        <f t="shared" si="15"/>
        <v>0</v>
      </c>
      <c r="J45" s="14">
        <f t="shared" si="15"/>
        <v>0</v>
      </c>
      <c r="K45" s="17">
        <f t="shared" si="15"/>
        <v>0</v>
      </c>
      <c r="L45" s="15">
        <f t="shared" si="15"/>
        <v>0</v>
      </c>
      <c r="M45" s="14">
        <f t="shared" si="15"/>
        <v>1</v>
      </c>
      <c r="N45" s="15">
        <f t="shared" si="15"/>
        <v>2</v>
      </c>
      <c r="O45" s="17">
        <f t="shared" si="15"/>
        <v>1</v>
      </c>
      <c r="P45" s="18">
        <f t="shared" si="15"/>
        <v>0</v>
      </c>
      <c r="Q45" s="14">
        <f t="shared" si="15"/>
        <v>0</v>
      </c>
      <c r="R45" s="17">
        <f t="shared" si="15"/>
        <v>2</v>
      </c>
      <c r="S45" s="14">
        <f t="shared" si="15"/>
        <v>1</v>
      </c>
      <c r="T45" s="14">
        <f t="shared" si="15"/>
        <v>1</v>
      </c>
      <c r="U45" s="17">
        <f t="shared" si="15"/>
        <v>0</v>
      </c>
      <c r="V45" s="11">
        <f t="shared" si="1"/>
        <v>13</v>
      </c>
      <c r="W45" s="19">
        <f>V45/$V$150</f>
        <v>0.48259860788863107</v>
      </c>
      <c r="X45" s="20"/>
    </row>
    <row r="46" spans="2:24" s="1" customFormat="1" hidden="1" outlineLevel="1" x14ac:dyDescent="0.25">
      <c r="C46" s="41" t="s">
        <v>27</v>
      </c>
      <c r="D46" s="22">
        <v>1</v>
      </c>
      <c r="E46" s="23"/>
      <c r="F46" s="40">
        <v>1</v>
      </c>
      <c r="G46" s="32">
        <v>2</v>
      </c>
      <c r="H46" s="23"/>
      <c r="I46" s="26"/>
      <c r="J46" s="27"/>
      <c r="K46" s="25"/>
      <c r="L46" s="28"/>
      <c r="M46" s="27">
        <v>1</v>
      </c>
      <c r="N46" s="28">
        <v>2</v>
      </c>
      <c r="O46" s="25">
        <v>1</v>
      </c>
      <c r="P46" s="36"/>
      <c r="Q46" s="27"/>
      <c r="R46" s="32">
        <v>1</v>
      </c>
      <c r="S46" s="27">
        <v>1</v>
      </c>
      <c r="T46" s="27">
        <v>1</v>
      </c>
      <c r="U46" s="25"/>
      <c r="V46" s="11">
        <f t="shared" si="1"/>
        <v>11</v>
      </c>
      <c r="W46" s="19"/>
      <c r="X46" s="20"/>
    </row>
    <row r="47" spans="2:24" s="1" customFormat="1" hidden="1" outlineLevel="1" x14ac:dyDescent="0.25">
      <c r="C47" s="41" t="s">
        <v>28</v>
      </c>
      <c r="D47" s="22">
        <v>1</v>
      </c>
      <c r="E47" s="23"/>
      <c r="F47" s="40">
        <v>2</v>
      </c>
      <c r="G47" s="32">
        <v>1</v>
      </c>
      <c r="H47" s="23"/>
      <c r="I47" s="26"/>
      <c r="J47" s="27"/>
      <c r="K47" s="25"/>
      <c r="L47" s="28"/>
      <c r="M47" s="27">
        <v>1</v>
      </c>
      <c r="N47" s="28">
        <v>1</v>
      </c>
      <c r="O47" s="25">
        <v>1</v>
      </c>
      <c r="P47" s="36"/>
      <c r="Q47" s="27"/>
      <c r="R47" s="32">
        <v>2</v>
      </c>
      <c r="S47" s="27">
        <v>1</v>
      </c>
      <c r="T47" s="27">
        <v>1</v>
      </c>
      <c r="U47" s="25"/>
      <c r="V47" s="11">
        <f t="shared" si="1"/>
        <v>11</v>
      </c>
      <c r="W47" s="19"/>
      <c r="X47" s="20"/>
    </row>
    <row r="48" spans="2:24" s="1" customFormat="1" ht="57" hidden="1" outlineLevel="1" x14ac:dyDescent="0.25">
      <c r="B48" s="1">
        <v>15</v>
      </c>
      <c r="C48" s="41" t="s">
        <v>42</v>
      </c>
      <c r="D48" s="14">
        <f t="shared" ref="D48:U48" si="16">+D49*D50</f>
        <v>0</v>
      </c>
      <c r="E48" s="15">
        <f t="shared" si="16"/>
        <v>0</v>
      </c>
      <c r="F48" s="16">
        <f t="shared" si="16"/>
        <v>0</v>
      </c>
      <c r="G48" s="17">
        <f t="shared" si="16"/>
        <v>0</v>
      </c>
      <c r="H48" s="15">
        <f t="shared" si="16"/>
        <v>0</v>
      </c>
      <c r="I48" s="14">
        <f t="shared" si="16"/>
        <v>0</v>
      </c>
      <c r="J48" s="14">
        <f t="shared" si="16"/>
        <v>0</v>
      </c>
      <c r="K48" s="17">
        <f t="shared" si="16"/>
        <v>0</v>
      </c>
      <c r="L48" s="15">
        <f t="shared" si="16"/>
        <v>2</v>
      </c>
      <c r="M48" s="14">
        <f t="shared" si="16"/>
        <v>0</v>
      </c>
      <c r="N48" s="15">
        <f t="shared" si="16"/>
        <v>0</v>
      </c>
      <c r="O48" s="17">
        <f t="shared" si="16"/>
        <v>2</v>
      </c>
      <c r="P48" s="18">
        <f t="shared" si="16"/>
        <v>0</v>
      </c>
      <c r="Q48" s="14">
        <f t="shared" si="16"/>
        <v>0</v>
      </c>
      <c r="R48" s="17">
        <f t="shared" si="16"/>
        <v>0</v>
      </c>
      <c r="S48" s="14">
        <f t="shared" si="16"/>
        <v>2</v>
      </c>
      <c r="T48" s="14">
        <f t="shared" si="16"/>
        <v>0</v>
      </c>
      <c r="U48" s="17">
        <f t="shared" si="16"/>
        <v>0</v>
      </c>
      <c r="V48" s="11">
        <f t="shared" si="1"/>
        <v>6</v>
      </c>
      <c r="W48" s="19">
        <f>V48/$V$150</f>
        <v>0.22273781902552203</v>
      </c>
      <c r="X48" s="20"/>
    </row>
    <row r="49" spans="2:24" s="1" customFormat="1" hidden="1" outlineLevel="1" x14ac:dyDescent="0.25">
      <c r="C49" s="41" t="s">
        <v>27</v>
      </c>
      <c r="D49" s="26"/>
      <c r="E49" s="23"/>
      <c r="F49" s="34"/>
      <c r="G49" s="31"/>
      <c r="H49" s="23"/>
      <c r="I49" s="26"/>
      <c r="J49" s="27"/>
      <c r="K49" s="25"/>
      <c r="L49" s="28">
        <v>2</v>
      </c>
      <c r="M49" s="27"/>
      <c r="N49" s="28"/>
      <c r="O49" s="25">
        <v>2</v>
      </c>
      <c r="P49" s="36"/>
      <c r="Q49" s="27"/>
      <c r="R49" s="25"/>
      <c r="S49" s="27">
        <v>2</v>
      </c>
      <c r="T49" s="27"/>
      <c r="U49" s="25"/>
      <c r="V49" s="11">
        <f t="shared" si="1"/>
        <v>6</v>
      </c>
      <c r="W49" s="19"/>
      <c r="X49" s="20"/>
    </row>
    <row r="50" spans="2:24" s="1" customFormat="1" hidden="1" outlineLevel="1" x14ac:dyDescent="0.25">
      <c r="C50" s="41" t="s">
        <v>28</v>
      </c>
      <c r="D50" s="26"/>
      <c r="E50" s="23"/>
      <c r="F50" s="34"/>
      <c r="G50" s="31"/>
      <c r="H50" s="23"/>
      <c r="I50" s="26"/>
      <c r="J50" s="27"/>
      <c r="K50" s="25"/>
      <c r="L50" s="28">
        <v>1</v>
      </c>
      <c r="M50" s="27"/>
      <c r="N50" s="28"/>
      <c r="O50" s="25">
        <v>1</v>
      </c>
      <c r="P50" s="36"/>
      <c r="Q50" s="27"/>
      <c r="R50" s="25"/>
      <c r="S50" s="27">
        <v>1</v>
      </c>
      <c r="T50" s="27"/>
      <c r="U50" s="25"/>
      <c r="V50" s="11">
        <f t="shared" si="1"/>
        <v>3</v>
      </c>
      <c r="W50" s="19"/>
      <c r="X50" s="20"/>
    </row>
    <row r="51" spans="2:24" s="1" customFormat="1" ht="42.75" hidden="1" outlineLevel="1" x14ac:dyDescent="0.25">
      <c r="B51" s="1">
        <v>16</v>
      </c>
      <c r="C51" s="41" t="s">
        <v>43</v>
      </c>
      <c r="D51" s="14">
        <f t="shared" ref="D51:U51" si="17">+D52*D53</f>
        <v>0</v>
      </c>
      <c r="E51" s="15">
        <f t="shared" si="17"/>
        <v>0</v>
      </c>
      <c r="F51" s="16">
        <f t="shared" si="17"/>
        <v>0</v>
      </c>
      <c r="G51" s="17">
        <f t="shared" si="17"/>
        <v>0</v>
      </c>
      <c r="H51" s="15">
        <f t="shared" si="17"/>
        <v>0</v>
      </c>
      <c r="I51" s="14">
        <f t="shared" si="17"/>
        <v>0</v>
      </c>
      <c r="J51" s="14">
        <f t="shared" si="17"/>
        <v>0</v>
      </c>
      <c r="K51" s="17">
        <f t="shared" si="17"/>
        <v>0</v>
      </c>
      <c r="L51" s="15">
        <f t="shared" si="17"/>
        <v>0</v>
      </c>
      <c r="M51" s="14">
        <f t="shared" si="17"/>
        <v>0</v>
      </c>
      <c r="N51" s="15">
        <f t="shared" si="17"/>
        <v>2</v>
      </c>
      <c r="O51" s="17">
        <f t="shared" si="17"/>
        <v>2</v>
      </c>
      <c r="P51" s="18">
        <f t="shared" si="17"/>
        <v>0</v>
      </c>
      <c r="Q51" s="14">
        <f t="shared" si="17"/>
        <v>1</v>
      </c>
      <c r="R51" s="17">
        <f t="shared" si="17"/>
        <v>0</v>
      </c>
      <c r="S51" s="14">
        <f t="shared" si="17"/>
        <v>0</v>
      </c>
      <c r="T51" s="14">
        <f t="shared" si="17"/>
        <v>0</v>
      </c>
      <c r="U51" s="17">
        <f t="shared" si="17"/>
        <v>2</v>
      </c>
      <c r="V51" s="11">
        <f t="shared" si="1"/>
        <v>7</v>
      </c>
      <c r="W51" s="19">
        <f>V51/$V$150</f>
        <v>0.25986078886310904</v>
      </c>
      <c r="X51" s="20"/>
    </row>
    <row r="52" spans="2:24" s="1" customFormat="1" hidden="1" outlineLevel="1" x14ac:dyDescent="0.25">
      <c r="C52" s="41" t="s">
        <v>27</v>
      </c>
      <c r="D52" s="26"/>
      <c r="E52" s="23"/>
      <c r="F52" s="34"/>
      <c r="G52" s="31"/>
      <c r="H52" s="23"/>
      <c r="I52" s="26"/>
      <c r="J52" s="26"/>
      <c r="K52" s="31"/>
      <c r="L52" s="23"/>
      <c r="M52" s="26"/>
      <c r="N52" s="28">
        <v>2</v>
      </c>
      <c r="O52" s="25">
        <v>2</v>
      </c>
      <c r="P52" s="30"/>
      <c r="Q52" s="27">
        <v>1</v>
      </c>
      <c r="R52" s="31"/>
      <c r="S52" s="26"/>
      <c r="T52" s="26"/>
      <c r="U52" s="38">
        <v>1</v>
      </c>
      <c r="V52" s="11">
        <f t="shared" si="1"/>
        <v>6</v>
      </c>
      <c r="W52" s="19"/>
      <c r="X52" s="20"/>
    </row>
    <row r="53" spans="2:24" s="1" customFormat="1" hidden="1" outlineLevel="1" x14ac:dyDescent="0.25">
      <c r="C53" s="41" t="s">
        <v>28</v>
      </c>
      <c r="D53" s="26"/>
      <c r="E53" s="23"/>
      <c r="F53" s="34"/>
      <c r="G53" s="31"/>
      <c r="H53" s="23"/>
      <c r="I53" s="26"/>
      <c r="J53" s="26"/>
      <c r="K53" s="31"/>
      <c r="L53" s="23"/>
      <c r="M53" s="26"/>
      <c r="N53" s="28">
        <v>1</v>
      </c>
      <c r="O53" s="25">
        <v>1</v>
      </c>
      <c r="P53" s="30"/>
      <c r="Q53" s="27">
        <v>1</v>
      </c>
      <c r="R53" s="31"/>
      <c r="S53" s="26"/>
      <c r="T53" s="26"/>
      <c r="U53" s="38">
        <v>2</v>
      </c>
      <c r="V53" s="11">
        <f t="shared" si="1"/>
        <v>5</v>
      </c>
      <c r="W53" s="19"/>
      <c r="X53" s="20"/>
    </row>
    <row r="54" spans="2:24" s="1" customFormat="1" collapsed="1" x14ac:dyDescent="0.25">
      <c r="C54" s="41" t="s">
        <v>44</v>
      </c>
      <c r="D54" s="10">
        <f t="shared" ref="D54:U54" si="18">+AVERAGE(D55,D58,D61,D64)</f>
        <v>2</v>
      </c>
      <c r="E54" s="10">
        <f t="shared" si="18"/>
        <v>0.5</v>
      </c>
      <c r="F54" s="10">
        <f t="shared" si="18"/>
        <v>2</v>
      </c>
      <c r="G54" s="10">
        <f t="shared" si="18"/>
        <v>0.5</v>
      </c>
      <c r="H54" s="10">
        <f t="shared" si="18"/>
        <v>0</v>
      </c>
      <c r="I54" s="10">
        <f t="shared" si="18"/>
        <v>0.5</v>
      </c>
      <c r="J54" s="10">
        <f t="shared" si="18"/>
        <v>0.5</v>
      </c>
      <c r="K54" s="10">
        <f t="shared" si="18"/>
        <v>0</v>
      </c>
      <c r="L54" s="10">
        <f t="shared" si="18"/>
        <v>0</v>
      </c>
      <c r="M54" s="10">
        <f t="shared" si="18"/>
        <v>5</v>
      </c>
      <c r="N54" s="10">
        <f t="shared" si="18"/>
        <v>0.5</v>
      </c>
      <c r="O54" s="10">
        <f t="shared" si="18"/>
        <v>0.75</v>
      </c>
      <c r="P54" s="10">
        <f t="shared" si="18"/>
        <v>1.75</v>
      </c>
      <c r="Q54" s="10">
        <f t="shared" si="18"/>
        <v>0.75</v>
      </c>
      <c r="R54" s="10">
        <f t="shared" si="18"/>
        <v>0.75</v>
      </c>
      <c r="S54" s="10">
        <f t="shared" si="18"/>
        <v>2.5</v>
      </c>
      <c r="T54" s="10">
        <f t="shared" si="18"/>
        <v>5.5</v>
      </c>
      <c r="U54" s="10">
        <f t="shared" si="18"/>
        <v>4.5</v>
      </c>
      <c r="V54" s="11">
        <f t="shared" si="1"/>
        <v>28</v>
      </c>
      <c r="W54" s="19">
        <f>V54/$V$150</f>
        <v>1.0394431554524362</v>
      </c>
      <c r="X54" s="13"/>
    </row>
    <row r="55" spans="2:24" s="1" customFormat="1" ht="57" hidden="1" outlineLevel="1" x14ac:dyDescent="0.25">
      <c r="B55" s="1">
        <v>1</v>
      </c>
      <c r="C55" s="41" t="s">
        <v>45</v>
      </c>
      <c r="D55" s="43">
        <f t="shared" ref="D55:U55" si="19">+D56*D57</f>
        <v>1</v>
      </c>
      <c r="E55" s="44">
        <f t="shared" si="19"/>
        <v>0</v>
      </c>
      <c r="F55" s="45">
        <f t="shared" si="19"/>
        <v>1</v>
      </c>
      <c r="G55" s="46">
        <f t="shared" si="19"/>
        <v>0</v>
      </c>
      <c r="H55" s="44">
        <f t="shared" si="19"/>
        <v>0</v>
      </c>
      <c r="I55" s="43">
        <f t="shared" si="19"/>
        <v>0</v>
      </c>
      <c r="J55" s="43">
        <f t="shared" si="19"/>
        <v>0</v>
      </c>
      <c r="K55" s="46">
        <f t="shared" si="19"/>
        <v>0</v>
      </c>
      <c r="L55" s="44">
        <f t="shared" si="19"/>
        <v>0</v>
      </c>
      <c r="M55" s="43">
        <f t="shared" si="19"/>
        <v>4</v>
      </c>
      <c r="N55" s="44">
        <f t="shared" si="19"/>
        <v>0</v>
      </c>
      <c r="O55" s="46">
        <f t="shared" si="19"/>
        <v>0</v>
      </c>
      <c r="P55" s="47">
        <f t="shared" si="19"/>
        <v>1</v>
      </c>
      <c r="Q55" s="43">
        <f t="shared" si="19"/>
        <v>1</v>
      </c>
      <c r="R55" s="46">
        <f t="shared" si="19"/>
        <v>0</v>
      </c>
      <c r="S55" s="43">
        <f t="shared" si="19"/>
        <v>4</v>
      </c>
      <c r="T55" s="43">
        <f t="shared" si="19"/>
        <v>6</v>
      </c>
      <c r="U55" s="46">
        <f t="shared" si="19"/>
        <v>6</v>
      </c>
      <c r="V55" s="11">
        <f t="shared" si="1"/>
        <v>24</v>
      </c>
      <c r="W55" s="19">
        <f>V55/$V$150</f>
        <v>0.89095127610208813</v>
      </c>
      <c r="X55" s="20"/>
    </row>
    <row r="56" spans="2:24" s="1" customFormat="1" hidden="1" outlineLevel="1" x14ac:dyDescent="0.25">
      <c r="C56" s="41" t="s">
        <v>27</v>
      </c>
      <c r="D56" s="34">
        <v>1</v>
      </c>
      <c r="E56" s="34"/>
      <c r="F56" s="34">
        <v>1</v>
      </c>
      <c r="G56" s="25"/>
      <c r="H56" s="28"/>
      <c r="I56" s="27"/>
      <c r="J56" s="27"/>
      <c r="K56" s="25"/>
      <c r="L56" s="28"/>
      <c r="M56" s="27">
        <v>2</v>
      </c>
      <c r="N56" s="28"/>
      <c r="O56" s="25"/>
      <c r="P56" s="35">
        <v>1</v>
      </c>
      <c r="Q56" s="27">
        <v>1</v>
      </c>
      <c r="R56" s="25"/>
      <c r="S56" s="27">
        <v>2</v>
      </c>
      <c r="T56" s="27">
        <v>2</v>
      </c>
      <c r="U56" s="25">
        <v>2</v>
      </c>
      <c r="V56" s="11">
        <f t="shared" si="1"/>
        <v>12</v>
      </c>
      <c r="W56" s="19"/>
      <c r="X56" s="20"/>
    </row>
    <row r="57" spans="2:24" s="1" customFormat="1" hidden="1" outlineLevel="1" x14ac:dyDescent="0.25">
      <c r="C57" s="41" t="s">
        <v>28</v>
      </c>
      <c r="D57" s="34">
        <v>1</v>
      </c>
      <c r="E57" s="34"/>
      <c r="F57" s="34">
        <v>1</v>
      </c>
      <c r="G57" s="25"/>
      <c r="H57" s="28"/>
      <c r="I57" s="27"/>
      <c r="J57" s="27"/>
      <c r="K57" s="25"/>
      <c r="L57" s="28"/>
      <c r="M57" s="27">
        <v>2</v>
      </c>
      <c r="N57" s="28"/>
      <c r="O57" s="25"/>
      <c r="P57" s="35">
        <v>1</v>
      </c>
      <c r="Q57" s="27">
        <v>1</v>
      </c>
      <c r="R57" s="25"/>
      <c r="S57" s="27">
        <v>2</v>
      </c>
      <c r="T57" s="27">
        <v>3</v>
      </c>
      <c r="U57" s="25">
        <v>3</v>
      </c>
      <c r="V57" s="11">
        <f t="shared" si="1"/>
        <v>14</v>
      </c>
      <c r="W57" s="19"/>
      <c r="X57" s="20"/>
    </row>
    <row r="58" spans="2:24" s="1" customFormat="1" ht="42.75" hidden="1" outlineLevel="1" x14ac:dyDescent="0.25">
      <c r="B58" s="1">
        <v>2</v>
      </c>
      <c r="C58" s="41" t="s">
        <v>46</v>
      </c>
      <c r="D58" s="14">
        <f t="shared" ref="D58:U58" si="20">+D59*D60</f>
        <v>2</v>
      </c>
      <c r="E58" s="15">
        <f t="shared" si="20"/>
        <v>0</v>
      </c>
      <c r="F58" s="16">
        <f t="shared" si="20"/>
        <v>4</v>
      </c>
      <c r="G58" s="17">
        <f t="shared" si="20"/>
        <v>0</v>
      </c>
      <c r="H58" s="15">
        <f t="shared" si="20"/>
        <v>0</v>
      </c>
      <c r="I58" s="14">
        <f t="shared" si="20"/>
        <v>0</v>
      </c>
      <c r="J58" s="14">
        <f t="shared" si="20"/>
        <v>0</v>
      </c>
      <c r="K58" s="17">
        <f t="shared" si="20"/>
        <v>0</v>
      </c>
      <c r="L58" s="15">
        <f t="shared" si="20"/>
        <v>0</v>
      </c>
      <c r="M58" s="14">
        <f t="shared" si="20"/>
        <v>6</v>
      </c>
      <c r="N58" s="15">
        <f t="shared" si="20"/>
        <v>0</v>
      </c>
      <c r="O58" s="17">
        <f t="shared" si="20"/>
        <v>0</v>
      </c>
      <c r="P58" s="18">
        <f t="shared" si="20"/>
        <v>1</v>
      </c>
      <c r="Q58" s="14">
        <f t="shared" si="20"/>
        <v>0</v>
      </c>
      <c r="R58" s="17">
        <f t="shared" si="20"/>
        <v>0</v>
      </c>
      <c r="S58" s="14">
        <f t="shared" si="20"/>
        <v>2</v>
      </c>
      <c r="T58" s="14">
        <f t="shared" si="20"/>
        <v>4</v>
      </c>
      <c r="U58" s="17">
        <f t="shared" si="20"/>
        <v>4</v>
      </c>
      <c r="V58" s="11">
        <f t="shared" si="1"/>
        <v>23</v>
      </c>
      <c r="W58" s="19">
        <f>V58/$V$150</f>
        <v>0.85382830626450112</v>
      </c>
      <c r="X58" s="20"/>
    </row>
    <row r="59" spans="2:24" s="1" customFormat="1" hidden="1" outlineLevel="1" x14ac:dyDescent="0.25">
      <c r="C59" s="41" t="s">
        <v>27</v>
      </c>
      <c r="D59" s="34">
        <v>2</v>
      </c>
      <c r="E59" s="34"/>
      <c r="F59" s="34">
        <v>2</v>
      </c>
      <c r="G59" s="31"/>
      <c r="H59" s="23"/>
      <c r="I59" s="26"/>
      <c r="J59" s="26"/>
      <c r="K59" s="31"/>
      <c r="L59" s="23"/>
      <c r="M59" s="26">
        <v>2</v>
      </c>
      <c r="N59" s="23"/>
      <c r="O59" s="31"/>
      <c r="P59" s="48">
        <v>1</v>
      </c>
      <c r="Q59" s="26"/>
      <c r="R59" s="31"/>
      <c r="S59" s="27">
        <v>2</v>
      </c>
      <c r="T59" s="27">
        <v>2</v>
      </c>
      <c r="U59" s="25">
        <v>2</v>
      </c>
      <c r="V59" s="11">
        <f t="shared" si="1"/>
        <v>13</v>
      </c>
      <c r="W59" s="19"/>
      <c r="X59" s="20"/>
    </row>
    <row r="60" spans="2:24" s="1" customFormat="1" hidden="1" outlineLevel="1" x14ac:dyDescent="0.25">
      <c r="C60" s="41" t="s">
        <v>28</v>
      </c>
      <c r="D60" s="34">
        <v>1</v>
      </c>
      <c r="E60" s="34"/>
      <c r="F60" s="34">
        <v>2</v>
      </c>
      <c r="G60" s="31"/>
      <c r="H60" s="23"/>
      <c r="I60" s="26"/>
      <c r="J60" s="26"/>
      <c r="K60" s="31"/>
      <c r="L60" s="23"/>
      <c r="M60" s="26">
        <v>3</v>
      </c>
      <c r="N60" s="23"/>
      <c r="O60" s="31"/>
      <c r="P60" s="48">
        <v>1</v>
      </c>
      <c r="Q60" s="26"/>
      <c r="R60" s="31"/>
      <c r="S60" s="27">
        <v>1</v>
      </c>
      <c r="T60" s="27">
        <v>2</v>
      </c>
      <c r="U60" s="25">
        <v>2</v>
      </c>
      <c r="V60" s="11">
        <f t="shared" si="1"/>
        <v>12</v>
      </c>
      <c r="W60" s="19"/>
      <c r="X60" s="20"/>
    </row>
    <row r="61" spans="2:24" s="1" customFormat="1" ht="85.5" hidden="1" outlineLevel="1" x14ac:dyDescent="0.25">
      <c r="B61" s="1">
        <v>3</v>
      </c>
      <c r="C61" s="41" t="s">
        <v>47</v>
      </c>
      <c r="D61" s="14">
        <f t="shared" ref="D61:U61" si="21">+D62*D63</f>
        <v>1</v>
      </c>
      <c r="E61" s="15">
        <f t="shared" si="21"/>
        <v>0</v>
      </c>
      <c r="F61" s="16">
        <f t="shared" si="21"/>
        <v>2</v>
      </c>
      <c r="G61" s="17">
        <f t="shared" si="21"/>
        <v>0</v>
      </c>
      <c r="H61" s="15">
        <f t="shared" si="21"/>
        <v>0</v>
      </c>
      <c r="I61" s="14">
        <f t="shared" si="21"/>
        <v>2</v>
      </c>
      <c r="J61" s="14">
        <f t="shared" si="21"/>
        <v>2</v>
      </c>
      <c r="K61" s="17">
        <f t="shared" si="21"/>
        <v>0</v>
      </c>
      <c r="L61" s="15">
        <f t="shared" si="21"/>
        <v>0</v>
      </c>
      <c r="M61" s="14">
        <f t="shared" si="21"/>
        <v>6</v>
      </c>
      <c r="N61" s="15">
        <f t="shared" si="21"/>
        <v>2</v>
      </c>
      <c r="O61" s="17">
        <f t="shared" si="21"/>
        <v>3</v>
      </c>
      <c r="P61" s="18">
        <f t="shared" si="21"/>
        <v>1</v>
      </c>
      <c r="Q61" s="14">
        <f t="shared" si="21"/>
        <v>0</v>
      </c>
      <c r="R61" s="17">
        <f t="shared" si="21"/>
        <v>2</v>
      </c>
      <c r="S61" s="14">
        <f t="shared" si="21"/>
        <v>4</v>
      </c>
      <c r="T61" s="14">
        <f t="shared" si="21"/>
        <v>6</v>
      </c>
      <c r="U61" s="17">
        <f t="shared" si="21"/>
        <v>4</v>
      </c>
      <c r="V61" s="11">
        <f t="shared" si="1"/>
        <v>35</v>
      </c>
      <c r="W61" s="19">
        <f>V61/$V$150</f>
        <v>1.2993039443155452</v>
      </c>
      <c r="X61" s="20"/>
    </row>
    <row r="62" spans="2:24" s="1" customFormat="1" hidden="1" outlineLevel="1" x14ac:dyDescent="0.25">
      <c r="C62" s="41" t="s">
        <v>27</v>
      </c>
      <c r="D62" s="26">
        <v>1</v>
      </c>
      <c r="E62" s="23"/>
      <c r="F62" s="34">
        <v>1</v>
      </c>
      <c r="G62" s="31"/>
      <c r="H62" s="28"/>
      <c r="I62" s="27">
        <v>1</v>
      </c>
      <c r="J62" s="27">
        <v>1</v>
      </c>
      <c r="K62" s="25"/>
      <c r="L62" s="23"/>
      <c r="M62" s="26">
        <v>2</v>
      </c>
      <c r="N62" s="23">
        <v>1</v>
      </c>
      <c r="O62" s="31">
        <v>1</v>
      </c>
      <c r="P62" s="30">
        <v>1</v>
      </c>
      <c r="Q62" s="26"/>
      <c r="R62" s="38">
        <v>1</v>
      </c>
      <c r="S62" s="26">
        <v>2</v>
      </c>
      <c r="T62" s="26">
        <v>2</v>
      </c>
      <c r="U62" s="31">
        <v>2</v>
      </c>
      <c r="V62" s="11">
        <f t="shared" si="1"/>
        <v>16</v>
      </c>
      <c r="W62" s="19"/>
      <c r="X62" s="20"/>
    </row>
    <row r="63" spans="2:24" s="1" customFormat="1" hidden="1" outlineLevel="1" x14ac:dyDescent="0.25">
      <c r="C63" s="41" t="s">
        <v>28</v>
      </c>
      <c r="D63" s="26">
        <v>1</v>
      </c>
      <c r="E63" s="23"/>
      <c r="F63" s="34">
        <v>2</v>
      </c>
      <c r="G63" s="31"/>
      <c r="H63" s="28"/>
      <c r="I63" s="27">
        <v>2</v>
      </c>
      <c r="J63" s="27">
        <v>2</v>
      </c>
      <c r="K63" s="25"/>
      <c r="L63" s="23"/>
      <c r="M63" s="26">
        <v>3</v>
      </c>
      <c r="N63" s="23">
        <v>2</v>
      </c>
      <c r="O63" s="31">
        <v>3</v>
      </c>
      <c r="P63" s="30">
        <v>1</v>
      </c>
      <c r="Q63" s="26"/>
      <c r="R63" s="38">
        <v>2</v>
      </c>
      <c r="S63" s="26">
        <v>2</v>
      </c>
      <c r="T63" s="26">
        <v>3</v>
      </c>
      <c r="U63" s="31">
        <v>2</v>
      </c>
      <c r="V63" s="11">
        <f t="shared" si="1"/>
        <v>25</v>
      </c>
      <c r="W63" s="19"/>
      <c r="X63" s="20"/>
    </row>
    <row r="64" spans="2:24" s="1" customFormat="1" ht="85.5" hidden="1" outlineLevel="1" x14ac:dyDescent="0.25">
      <c r="B64" s="1">
        <v>4</v>
      </c>
      <c r="C64" s="41" t="s">
        <v>48</v>
      </c>
      <c r="D64" s="49">
        <f t="shared" ref="D64:U64" si="22">+D65*D66</f>
        <v>4</v>
      </c>
      <c r="E64" s="49">
        <f t="shared" si="22"/>
        <v>2</v>
      </c>
      <c r="F64" s="50">
        <f t="shared" si="22"/>
        <v>1</v>
      </c>
      <c r="G64" s="51">
        <f t="shared" si="22"/>
        <v>2</v>
      </c>
      <c r="H64" s="49">
        <f t="shared" si="22"/>
        <v>0</v>
      </c>
      <c r="I64" s="52">
        <f t="shared" si="22"/>
        <v>0</v>
      </c>
      <c r="J64" s="52">
        <f t="shared" si="22"/>
        <v>0</v>
      </c>
      <c r="K64" s="51">
        <f t="shared" si="22"/>
        <v>0</v>
      </c>
      <c r="L64" s="49">
        <f t="shared" si="22"/>
        <v>0</v>
      </c>
      <c r="M64" s="52">
        <f t="shared" si="22"/>
        <v>4</v>
      </c>
      <c r="N64" s="49">
        <f t="shared" si="22"/>
        <v>0</v>
      </c>
      <c r="O64" s="51">
        <f t="shared" si="22"/>
        <v>0</v>
      </c>
      <c r="P64" s="53">
        <f t="shared" si="22"/>
        <v>4</v>
      </c>
      <c r="Q64" s="52">
        <f t="shared" si="22"/>
        <v>2</v>
      </c>
      <c r="R64" s="51">
        <f t="shared" si="22"/>
        <v>1</v>
      </c>
      <c r="S64" s="52">
        <f t="shared" si="22"/>
        <v>0</v>
      </c>
      <c r="T64" s="52">
        <f t="shared" si="22"/>
        <v>6</v>
      </c>
      <c r="U64" s="51">
        <f t="shared" si="22"/>
        <v>4</v>
      </c>
      <c r="V64" s="11">
        <f t="shared" si="1"/>
        <v>30</v>
      </c>
      <c r="W64" s="19">
        <f>V64/$V$150</f>
        <v>1.1136890951276102</v>
      </c>
      <c r="X64" s="20"/>
    </row>
    <row r="65" spans="2:24" s="1" customFormat="1" hidden="1" outlineLevel="1" x14ac:dyDescent="0.25">
      <c r="C65" s="41" t="s">
        <v>27</v>
      </c>
      <c r="D65" s="24">
        <v>2</v>
      </c>
      <c r="E65" s="24">
        <v>2</v>
      </c>
      <c r="F65" s="24">
        <v>1</v>
      </c>
      <c r="G65" s="38">
        <v>2</v>
      </c>
      <c r="H65" s="23"/>
      <c r="I65" s="26"/>
      <c r="J65" s="26"/>
      <c r="K65" s="31"/>
      <c r="L65" s="23"/>
      <c r="M65" s="26">
        <v>2</v>
      </c>
      <c r="N65" s="23"/>
      <c r="O65" s="31"/>
      <c r="P65" s="30">
        <v>2</v>
      </c>
      <c r="Q65" s="26">
        <v>2</v>
      </c>
      <c r="R65" s="38">
        <v>1</v>
      </c>
      <c r="S65" s="26"/>
      <c r="T65" s="26">
        <v>2</v>
      </c>
      <c r="U65" s="31">
        <v>2</v>
      </c>
      <c r="V65" s="11">
        <f t="shared" si="1"/>
        <v>18</v>
      </c>
      <c r="W65" s="19"/>
      <c r="X65" s="20"/>
    </row>
    <row r="66" spans="2:24" s="1" customFormat="1" hidden="1" outlineLevel="1" x14ac:dyDescent="0.25">
      <c r="C66" s="41" t="s">
        <v>28</v>
      </c>
      <c r="D66" s="24">
        <v>2</v>
      </c>
      <c r="E66" s="24">
        <v>1</v>
      </c>
      <c r="F66" s="24">
        <v>1</v>
      </c>
      <c r="G66" s="38">
        <v>1</v>
      </c>
      <c r="H66" s="23"/>
      <c r="I66" s="26"/>
      <c r="J66" s="26"/>
      <c r="K66" s="31"/>
      <c r="L66" s="23"/>
      <c r="M66" s="26">
        <v>2</v>
      </c>
      <c r="N66" s="23"/>
      <c r="O66" s="31"/>
      <c r="P66" s="30">
        <v>2</v>
      </c>
      <c r="Q66" s="26">
        <v>1</v>
      </c>
      <c r="R66" s="38">
        <v>1</v>
      </c>
      <c r="S66" s="26"/>
      <c r="T66" s="26">
        <v>3</v>
      </c>
      <c r="U66" s="31">
        <v>2</v>
      </c>
      <c r="V66" s="11">
        <f t="shared" si="1"/>
        <v>16</v>
      </c>
      <c r="W66" s="19"/>
      <c r="X66" s="20"/>
    </row>
    <row r="67" spans="2:24" s="1" customFormat="1" collapsed="1" x14ac:dyDescent="0.25">
      <c r="C67" s="41" t="s">
        <v>49</v>
      </c>
      <c r="D67" s="10">
        <f t="shared" ref="D67:U67" si="23">+AVERAGE(D68,D71,D74,)</f>
        <v>1.5</v>
      </c>
      <c r="E67" s="10">
        <f t="shared" si="23"/>
        <v>0</v>
      </c>
      <c r="F67" s="10">
        <f t="shared" si="23"/>
        <v>1.5</v>
      </c>
      <c r="G67" s="10">
        <f t="shared" si="23"/>
        <v>0.5</v>
      </c>
      <c r="H67" s="10">
        <f t="shared" si="23"/>
        <v>0</v>
      </c>
      <c r="I67" s="10">
        <f t="shared" si="23"/>
        <v>0.5</v>
      </c>
      <c r="J67" s="10">
        <f t="shared" si="23"/>
        <v>0.5</v>
      </c>
      <c r="K67" s="10">
        <f t="shared" si="23"/>
        <v>0.25</v>
      </c>
      <c r="L67" s="10">
        <f t="shared" si="23"/>
        <v>2</v>
      </c>
      <c r="M67" s="10">
        <f t="shared" si="23"/>
        <v>1</v>
      </c>
      <c r="N67" s="10">
        <f t="shared" si="23"/>
        <v>0</v>
      </c>
      <c r="O67" s="10">
        <f t="shared" si="23"/>
        <v>0.25</v>
      </c>
      <c r="P67" s="10">
        <f t="shared" si="23"/>
        <v>2.5</v>
      </c>
      <c r="Q67" s="10">
        <f t="shared" si="23"/>
        <v>2.5</v>
      </c>
      <c r="R67" s="10">
        <f t="shared" si="23"/>
        <v>1</v>
      </c>
      <c r="S67" s="10">
        <f t="shared" si="23"/>
        <v>2.5</v>
      </c>
      <c r="T67" s="10">
        <f t="shared" si="23"/>
        <v>2.5</v>
      </c>
      <c r="U67" s="10">
        <f t="shared" si="23"/>
        <v>1.5</v>
      </c>
      <c r="V67" s="11">
        <f t="shared" si="1"/>
        <v>20.5</v>
      </c>
      <c r="W67" s="19">
        <f>V67/$V$150</f>
        <v>0.76102088167053361</v>
      </c>
      <c r="X67" s="13"/>
    </row>
    <row r="68" spans="2:24" s="1" customFormat="1" ht="114" hidden="1" outlineLevel="1" x14ac:dyDescent="0.25">
      <c r="B68" s="1">
        <v>1</v>
      </c>
      <c r="C68" s="41" t="s">
        <v>50</v>
      </c>
      <c r="D68" s="43">
        <f t="shared" ref="D68:U68" si="24">+D69*D70</f>
        <v>2</v>
      </c>
      <c r="E68" s="44">
        <f t="shared" si="24"/>
        <v>0</v>
      </c>
      <c r="F68" s="45">
        <f t="shared" si="24"/>
        <v>2</v>
      </c>
      <c r="G68" s="46">
        <f t="shared" si="24"/>
        <v>0</v>
      </c>
      <c r="H68" s="44">
        <f t="shared" si="24"/>
        <v>0</v>
      </c>
      <c r="I68" s="43">
        <f t="shared" si="24"/>
        <v>0</v>
      </c>
      <c r="J68" s="43">
        <f t="shared" si="24"/>
        <v>0</v>
      </c>
      <c r="K68" s="46">
        <f t="shared" si="24"/>
        <v>0</v>
      </c>
      <c r="L68" s="44">
        <f t="shared" si="24"/>
        <v>1</v>
      </c>
      <c r="M68" s="43">
        <f t="shared" si="24"/>
        <v>0</v>
      </c>
      <c r="N68" s="44">
        <f t="shared" si="24"/>
        <v>0</v>
      </c>
      <c r="O68" s="46">
        <f t="shared" si="24"/>
        <v>0</v>
      </c>
      <c r="P68" s="47">
        <f t="shared" si="24"/>
        <v>2</v>
      </c>
      <c r="Q68" s="43">
        <f t="shared" si="24"/>
        <v>2</v>
      </c>
      <c r="R68" s="46">
        <f t="shared" si="24"/>
        <v>1</v>
      </c>
      <c r="S68" s="43">
        <f t="shared" si="24"/>
        <v>2</v>
      </c>
      <c r="T68" s="43">
        <f t="shared" si="24"/>
        <v>2</v>
      </c>
      <c r="U68" s="46">
        <f t="shared" si="24"/>
        <v>0</v>
      </c>
      <c r="V68" s="11">
        <f t="shared" si="1"/>
        <v>14</v>
      </c>
      <c r="W68" s="19">
        <f>V68/$V$150</f>
        <v>0.51972157772621808</v>
      </c>
      <c r="X68" s="20"/>
    </row>
    <row r="69" spans="2:24" s="1" customFormat="1" hidden="1" outlineLevel="1" x14ac:dyDescent="0.25">
      <c r="C69" s="41" t="s">
        <v>27</v>
      </c>
      <c r="D69" s="34">
        <v>1</v>
      </c>
      <c r="E69" s="34"/>
      <c r="F69" s="34">
        <v>1</v>
      </c>
      <c r="G69" s="31"/>
      <c r="H69" s="23"/>
      <c r="I69" s="26"/>
      <c r="J69" s="26"/>
      <c r="K69" s="31"/>
      <c r="L69" s="37">
        <v>1</v>
      </c>
      <c r="M69" s="26"/>
      <c r="N69" s="23"/>
      <c r="O69" s="31"/>
      <c r="P69" s="30">
        <v>1</v>
      </c>
      <c r="Q69" s="26">
        <v>1</v>
      </c>
      <c r="R69" s="38">
        <v>1</v>
      </c>
      <c r="S69" s="26">
        <v>1</v>
      </c>
      <c r="T69" s="26">
        <v>1</v>
      </c>
      <c r="U69" s="31"/>
      <c r="V69" s="11">
        <f t="shared" ref="V69:V77" si="25">SUM(D69:U69)</f>
        <v>8</v>
      </c>
      <c r="W69" s="19"/>
      <c r="X69" s="20"/>
    </row>
    <row r="70" spans="2:24" s="1" customFormat="1" hidden="1" outlineLevel="1" x14ac:dyDescent="0.25">
      <c r="C70" s="41" t="s">
        <v>28</v>
      </c>
      <c r="D70" s="34">
        <v>2</v>
      </c>
      <c r="E70" s="34"/>
      <c r="F70" s="34">
        <v>2</v>
      </c>
      <c r="G70" s="31"/>
      <c r="H70" s="23"/>
      <c r="I70" s="26"/>
      <c r="J70" s="26"/>
      <c r="K70" s="31"/>
      <c r="L70" s="37">
        <v>1</v>
      </c>
      <c r="M70" s="26"/>
      <c r="N70" s="23"/>
      <c r="O70" s="31"/>
      <c r="P70" s="30">
        <v>2</v>
      </c>
      <c r="Q70" s="26">
        <v>2</v>
      </c>
      <c r="R70" s="38">
        <v>1</v>
      </c>
      <c r="S70" s="26">
        <v>2</v>
      </c>
      <c r="T70" s="26">
        <v>2</v>
      </c>
      <c r="U70" s="31"/>
      <c r="V70" s="11">
        <f t="shared" si="25"/>
        <v>14</v>
      </c>
      <c r="W70" s="19"/>
      <c r="X70" s="20"/>
    </row>
    <row r="71" spans="2:24" s="1" customFormat="1" ht="57.75" hidden="1" outlineLevel="1" x14ac:dyDescent="0.25">
      <c r="B71" s="1">
        <v>2</v>
      </c>
      <c r="C71" s="41" t="s">
        <v>51</v>
      </c>
      <c r="D71" s="14">
        <f t="shared" ref="D71:U71" si="26">+D72*D73</f>
        <v>4</v>
      </c>
      <c r="E71" s="15">
        <f t="shared" si="26"/>
        <v>0</v>
      </c>
      <c r="F71" s="16">
        <f t="shared" si="26"/>
        <v>4</v>
      </c>
      <c r="G71" s="17">
        <f t="shared" si="26"/>
        <v>0</v>
      </c>
      <c r="H71" s="15">
        <f t="shared" si="26"/>
        <v>0</v>
      </c>
      <c r="I71" s="14">
        <f t="shared" si="26"/>
        <v>0</v>
      </c>
      <c r="J71" s="14">
        <f t="shared" si="26"/>
        <v>0</v>
      </c>
      <c r="K71" s="17">
        <f t="shared" si="26"/>
        <v>0</v>
      </c>
      <c r="L71" s="15">
        <f t="shared" si="26"/>
        <v>1</v>
      </c>
      <c r="M71" s="14">
        <f t="shared" si="26"/>
        <v>2</v>
      </c>
      <c r="N71" s="15">
        <f t="shared" si="26"/>
        <v>0</v>
      </c>
      <c r="O71" s="17">
        <f t="shared" si="26"/>
        <v>0</v>
      </c>
      <c r="P71" s="18">
        <f t="shared" si="26"/>
        <v>4</v>
      </c>
      <c r="Q71" s="14">
        <f t="shared" si="26"/>
        <v>4</v>
      </c>
      <c r="R71" s="17">
        <f t="shared" si="26"/>
        <v>2</v>
      </c>
      <c r="S71" s="14">
        <f t="shared" si="26"/>
        <v>4</v>
      </c>
      <c r="T71" s="14">
        <f t="shared" si="26"/>
        <v>4</v>
      </c>
      <c r="U71" s="17">
        <f t="shared" si="26"/>
        <v>6</v>
      </c>
      <c r="V71" s="11">
        <f t="shared" si="25"/>
        <v>35</v>
      </c>
      <c r="W71" s="19">
        <f>V71/$V$150</f>
        <v>1.2993039443155452</v>
      </c>
      <c r="X71" s="20"/>
    </row>
    <row r="72" spans="2:24" s="1" customFormat="1" hidden="1" outlineLevel="1" x14ac:dyDescent="0.25">
      <c r="C72" s="41" t="s">
        <v>27</v>
      </c>
      <c r="D72" s="26">
        <v>2</v>
      </c>
      <c r="E72" s="23"/>
      <c r="F72" s="34">
        <v>2</v>
      </c>
      <c r="G72" s="31"/>
      <c r="H72" s="23"/>
      <c r="I72" s="26"/>
      <c r="J72" s="26"/>
      <c r="K72" s="31"/>
      <c r="L72" s="37">
        <v>1</v>
      </c>
      <c r="M72" s="26">
        <v>2</v>
      </c>
      <c r="N72" s="23"/>
      <c r="O72" s="31"/>
      <c r="P72" s="30">
        <v>2</v>
      </c>
      <c r="Q72" s="26">
        <v>2</v>
      </c>
      <c r="R72" s="38">
        <v>1</v>
      </c>
      <c r="S72" s="26">
        <v>2</v>
      </c>
      <c r="T72" s="26">
        <v>2</v>
      </c>
      <c r="U72" s="31">
        <v>2</v>
      </c>
      <c r="V72" s="11">
        <f t="shared" si="25"/>
        <v>18</v>
      </c>
      <c r="W72" s="19"/>
      <c r="X72" s="20"/>
    </row>
    <row r="73" spans="2:24" s="1" customFormat="1" hidden="1" outlineLevel="1" x14ac:dyDescent="0.25">
      <c r="C73" s="41" t="s">
        <v>28</v>
      </c>
      <c r="D73" s="26">
        <v>2</v>
      </c>
      <c r="E73" s="23"/>
      <c r="F73" s="34">
        <v>2</v>
      </c>
      <c r="G73" s="31"/>
      <c r="H73" s="23"/>
      <c r="I73" s="26"/>
      <c r="J73" s="26"/>
      <c r="K73" s="31"/>
      <c r="L73" s="37">
        <v>1</v>
      </c>
      <c r="M73" s="26">
        <v>1</v>
      </c>
      <c r="N73" s="23"/>
      <c r="O73" s="31"/>
      <c r="P73" s="30">
        <v>2</v>
      </c>
      <c r="Q73" s="26">
        <v>2</v>
      </c>
      <c r="R73" s="38">
        <v>2</v>
      </c>
      <c r="S73" s="26">
        <v>2</v>
      </c>
      <c r="T73" s="26">
        <v>2</v>
      </c>
      <c r="U73" s="31">
        <v>3</v>
      </c>
      <c r="V73" s="11">
        <f t="shared" si="25"/>
        <v>19</v>
      </c>
      <c r="W73" s="19"/>
      <c r="X73" s="20"/>
    </row>
    <row r="74" spans="2:24" s="1" customFormat="1" ht="42.75" hidden="1" outlineLevel="1" x14ac:dyDescent="0.25">
      <c r="B74" s="1">
        <v>3</v>
      </c>
      <c r="C74" s="41" t="s">
        <v>52</v>
      </c>
      <c r="D74" s="52">
        <f t="shared" ref="D74:U74" si="27">+D75*D76</f>
        <v>0</v>
      </c>
      <c r="E74" s="49">
        <f t="shared" si="27"/>
        <v>0</v>
      </c>
      <c r="F74" s="50">
        <f t="shared" si="27"/>
        <v>0</v>
      </c>
      <c r="G74" s="51">
        <f t="shared" si="27"/>
        <v>2</v>
      </c>
      <c r="H74" s="49">
        <f t="shared" si="27"/>
        <v>0</v>
      </c>
      <c r="I74" s="52">
        <f t="shared" si="27"/>
        <v>2</v>
      </c>
      <c r="J74" s="52">
        <f t="shared" si="27"/>
        <v>2</v>
      </c>
      <c r="K74" s="51">
        <f t="shared" si="27"/>
        <v>1</v>
      </c>
      <c r="L74" s="49">
        <f t="shared" si="27"/>
        <v>6</v>
      </c>
      <c r="M74" s="52">
        <f t="shared" si="27"/>
        <v>2</v>
      </c>
      <c r="N74" s="49">
        <f t="shared" si="27"/>
        <v>0</v>
      </c>
      <c r="O74" s="51">
        <f t="shared" si="27"/>
        <v>1</v>
      </c>
      <c r="P74" s="53">
        <f t="shared" si="27"/>
        <v>4</v>
      </c>
      <c r="Q74" s="52">
        <f t="shared" si="27"/>
        <v>4</v>
      </c>
      <c r="R74" s="51">
        <f t="shared" si="27"/>
        <v>1</v>
      </c>
      <c r="S74" s="52">
        <f t="shared" si="27"/>
        <v>4</v>
      </c>
      <c r="T74" s="52">
        <f t="shared" si="27"/>
        <v>4</v>
      </c>
      <c r="U74" s="51">
        <f t="shared" si="27"/>
        <v>0</v>
      </c>
      <c r="V74" s="11">
        <f t="shared" si="25"/>
        <v>33</v>
      </c>
      <c r="W74" s="19">
        <f>V74/$V$150</f>
        <v>1.2250580046403712</v>
      </c>
      <c r="X74" s="20"/>
    </row>
    <row r="75" spans="2:24" s="1" customFormat="1" hidden="1" outlineLevel="1" x14ac:dyDescent="0.25">
      <c r="C75" s="41" t="s">
        <v>27</v>
      </c>
      <c r="D75" s="23"/>
      <c r="E75" s="34"/>
      <c r="F75" s="34"/>
      <c r="G75" s="38">
        <v>2</v>
      </c>
      <c r="H75" s="23"/>
      <c r="I75" s="26">
        <v>1</v>
      </c>
      <c r="J75" s="26">
        <v>1</v>
      </c>
      <c r="K75" s="31">
        <v>1</v>
      </c>
      <c r="L75" s="23">
        <v>2</v>
      </c>
      <c r="M75" s="26">
        <v>1</v>
      </c>
      <c r="N75" s="23"/>
      <c r="O75" s="32">
        <v>1</v>
      </c>
      <c r="P75" s="30">
        <v>2</v>
      </c>
      <c r="Q75" s="26">
        <v>2</v>
      </c>
      <c r="R75" s="38">
        <v>1</v>
      </c>
      <c r="S75" s="26">
        <v>2</v>
      </c>
      <c r="T75" s="26">
        <v>2</v>
      </c>
      <c r="U75" s="31"/>
      <c r="V75" s="11">
        <f t="shared" si="25"/>
        <v>18</v>
      </c>
      <c r="W75" s="19"/>
      <c r="X75" s="20"/>
    </row>
    <row r="76" spans="2:24" s="1" customFormat="1" hidden="1" outlineLevel="1" x14ac:dyDescent="0.25">
      <c r="C76" s="41" t="s">
        <v>28</v>
      </c>
      <c r="D76" s="23"/>
      <c r="E76" s="34"/>
      <c r="F76" s="34"/>
      <c r="G76" s="38">
        <v>1</v>
      </c>
      <c r="H76" s="23"/>
      <c r="I76" s="26">
        <v>2</v>
      </c>
      <c r="J76" s="26">
        <v>2</v>
      </c>
      <c r="K76" s="31">
        <v>1</v>
      </c>
      <c r="L76" s="23">
        <v>3</v>
      </c>
      <c r="M76" s="26">
        <v>2</v>
      </c>
      <c r="N76" s="23"/>
      <c r="O76" s="32">
        <v>1</v>
      </c>
      <c r="P76" s="30">
        <v>2</v>
      </c>
      <c r="Q76" s="26">
        <v>2</v>
      </c>
      <c r="R76" s="38">
        <v>1</v>
      </c>
      <c r="S76" s="26">
        <v>2</v>
      </c>
      <c r="T76" s="26">
        <v>2</v>
      </c>
      <c r="U76" s="31"/>
      <c r="V76" s="11">
        <f t="shared" si="25"/>
        <v>21</v>
      </c>
      <c r="W76" s="19"/>
      <c r="X76" s="20"/>
    </row>
    <row r="77" spans="2:24" s="1" customFormat="1" collapsed="1" x14ac:dyDescent="0.25">
      <c r="C77" s="41" t="s">
        <v>53</v>
      </c>
      <c r="D77" s="10">
        <f t="shared" ref="D77:U77" si="28">+AVERAGE(D78,D81,D84,D87)</f>
        <v>1.5</v>
      </c>
      <c r="E77" s="10">
        <f t="shared" si="28"/>
        <v>1</v>
      </c>
      <c r="F77" s="10">
        <f t="shared" si="28"/>
        <v>0.75</v>
      </c>
      <c r="G77" s="10">
        <f t="shared" si="28"/>
        <v>0.75</v>
      </c>
      <c r="H77" s="10">
        <f t="shared" si="28"/>
        <v>1</v>
      </c>
      <c r="I77" s="10">
        <f t="shared" si="28"/>
        <v>0</v>
      </c>
      <c r="J77" s="10">
        <f t="shared" si="28"/>
        <v>0.25</v>
      </c>
      <c r="K77" s="10">
        <f t="shared" si="28"/>
        <v>0.75</v>
      </c>
      <c r="L77" s="10">
        <f t="shared" si="28"/>
        <v>2.5</v>
      </c>
      <c r="M77" s="10">
        <f t="shared" si="28"/>
        <v>1</v>
      </c>
      <c r="N77" s="10">
        <f t="shared" si="28"/>
        <v>2.5</v>
      </c>
      <c r="O77" s="10">
        <f t="shared" si="28"/>
        <v>2</v>
      </c>
      <c r="P77" s="10">
        <f t="shared" si="28"/>
        <v>4.5</v>
      </c>
      <c r="Q77" s="10">
        <f t="shared" si="28"/>
        <v>4.5</v>
      </c>
      <c r="R77" s="10">
        <f t="shared" si="28"/>
        <v>1.25</v>
      </c>
      <c r="S77" s="10">
        <f t="shared" si="28"/>
        <v>4.5</v>
      </c>
      <c r="T77" s="10">
        <f t="shared" si="28"/>
        <v>2.5</v>
      </c>
      <c r="U77" s="10">
        <f t="shared" si="28"/>
        <v>1.5</v>
      </c>
      <c r="V77" s="11">
        <f t="shared" si="25"/>
        <v>32.75</v>
      </c>
      <c r="W77" s="19">
        <f>V77/$V$150</f>
        <v>1.2157772621809744</v>
      </c>
      <c r="X77" s="13"/>
    </row>
    <row r="78" spans="2:24" s="1" customFormat="1" ht="70.5" hidden="1" customHeight="1" outlineLevel="1" x14ac:dyDescent="0.25">
      <c r="B78" s="1">
        <v>1</v>
      </c>
      <c r="C78" s="41" t="s">
        <v>54</v>
      </c>
      <c r="D78" s="43">
        <f t="shared" ref="D78:U78" si="29">+D79*D80</f>
        <v>2</v>
      </c>
      <c r="E78" s="44">
        <f t="shared" si="29"/>
        <v>0</v>
      </c>
      <c r="F78" s="45">
        <f t="shared" si="29"/>
        <v>2</v>
      </c>
      <c r="G78" s="46">
        <f t="shared" si="29"/>
        <v>0</v>
      </c>
      <c r="H78" s="44">
        <f t="shared" si="29"/>
        <v>0</v>
      </c>
      <c r="I78" s="43">
        <f t="shared" si="29"/>
        <v>0</v>
      </c>
      <c r="J78" s="43">
        <f t="shared" si="29"/>
        <v>0</v>
      </c>
      <c r="K78" s="46">
        <f t="shared" si="29"/>
        <v>0</v>
      </c>
      <c r="L78" s="44">
        <f t="shared" si="29"/>
        <v>2</v>
      </c>
      <c r="M78" s="43">
        <f t="shared" si="29"/>
        <v>0</v>
      </c>
      <c r="N78" s="44">
        <f t="shared" si="29"/>
        <v>2</v>
      </c>
      <c r="O78" s="46">
        <f t="shared" si="29"/>
        <v>2</v>
      </c>
      <c r="P78" s="47">
        <f t="shared" si="29"/>
        <v>3</v>
      </c>
      <c r="Q78" s="43">
        <f t="shared" si="29"/>
        <v>3</v>
      </c>
      <c r="R78" s="46">
        <f t="shared" si="29"/>
        <v>3</v>
      </c>
      <c r="S78" s="43">
        <f t="shared" si="29"/>
        <v>3</v>
      </c>
      <c r="T78" s="43">
        <f t="shared" si="29"/>
        <v>1</v>
      </c>
      <c r="U78" s="46">
        <f t="shared" si="29"/>
        <v>0</v>
      </c>
      <c r="V78" s="55">
        <f>+AVERAGE(H78:U78)</f>
        <v>1.3571428571428572</v>
      </c>
      <c r="W78" s="19">
        <f>V78/$V$150</f>
        <v>5.0381173351010937E-2</v>
      </c>
      <c r="X78" s="20"/>
    </row>
    <row r="79" spans="2:24" s="1" customFormat="1" hidden="1" outlineLevel="1" x14ac:dyDescent="0.25">
      <c r="C79" s="41" t="s">
        <v>27</v>
      </c>
      <c r="D79" s="26">
        <v>1</v>
      </c>
      <c r="E79" s="23"/>
      <c r="F79" s="34">
        <v>1</v>
      </c>
      <c r="G79" s="31"/>
      <c r="H79" s="23"/>
      <c r="I79" s="26"/>
      <c r="J79" s="26"/>
      <c r="K79" s="31"/>
      <c r="L79" s="23">
        <v>1</v>
      </c>
      <c r="M79" s="26"/>
      <c r="N79" s="23">
        <v>1</v>
      </c>
      <c r="O79" s="31">
        <v>1</v>
      </c>
      <c r="P79" s="30">
        <v>1</v>
      </c>
      <c r="Q79" s="26">
        <v>1</v>
      </c>
      <c r="R79" s="31">
        <v>1</v>
      </c>
      <c r="S79" s="26">
        <v>1</v>
      </c>
      <c r="T79" s="26">
        <v>1</v>
      </c>
      <c r="U79" s="31"/>
      <c r="V79" s="55"/>
      <c r="W79" s="19"/>
      <c r="X79" s="20"/>
    </row>
    <row r="80" spans="2:24" s="1" customFormat="1" hidden="1" outlineLevel="1" x14ac:dyDescent="0.25">
      <c r="C80" s="41" t="s">
        <v>28</v>
      </c>
      <c r="D80" s="26">
        <v>2</v>
      </c>
      <c r="E80" s="23"/>
      <c r="F80" s="34">
        <v>2</v>
      </c>
      <c r="G80" s="31"/>
      <c r="H80" s="23"/>
      <c r="I80" s="26"/>
      <c r="J80" s="26"/>
      <c r="K80" s="31"/>
      <c r="L80" s="23">
        <v>2</v>
      </c>
      <c r="M80" s="26"/>
      <c r="N80" s="23">
        <v>2</v>
      </c>
      <c r="O80" s="31">
        <v>2</v>
      </c>
      <c r="P80" s="30">
        <v>3</v>
      </c>
      <c r="Q80" s="26">
        <v>3</v>
      </c>
      <c r="R80" s="31">
        <v>3</v>
      </c>
      <c r="S80" s="26">
        <v>3</v>
      </c>
      <c r="T80" s="26">
        <v>1</v>
      </c>
      <c r="U80" s="31"/>
      <c r="V80" s="55"/>
      <c r="W80" s="19"/>
      <c r="X80" s="20"/>
    </row>
    <row r="81" spans="2:24" s="1" customFormat="1" ht="71.25" hidden="1" outlineLevel="1" x14ac:dyDescent="0.25">
      <c r="B81" s="1">
        <v>2</v>
      </c>
      <c r="C81" s="41" t="s">
        <v>55</v>
      </c>
      <c r="D81" s="14">
        <f t="shared" ref="D81:U81" si="30">+D82*D83</f>
        <v>0</v>
      </c>
      <c r="E81" s="15">
        <f t="shared" si="30"/>
        <v>0</v>
      </c>
      <c r="F81" s="16">
        <f t="shared" si="30"/>
        <v>0</v>
      </c>
      <c r="G81" s="17">
        <f t="shared" si="30"/>
        <v>0</v>
      </c>
      <c r="H81" s="15">
        <f t="shared" si="30"/>
        <v>0</v>
      </c>
      <c r="I81" s="14">
        <f t="shared" si="30"/>
        <v>0</v>
      </c>
      <c r="J81" s="14">
        <f t="shared" si="30"/>
        <v>0</v>
      </c>
      <c r="K81" s="17">
        <f t="shared" si="30"/>
        <v>0</v>
      </c>
      <c r="L81" s="15">
        <f t="shared" si="30"/>
        <v>2</v>
      </c>
      <c r="M81" s="14">
        <f t="shared" si="30"/>
        <v>0</v>
      </c>
      <c r="N81" s="15">
        <f t="shared" si="30"/>
        <v>2</v>
      </c>
      <c r="O81" s="17">
        <f t="shared" si="30"/>
        <v>2</v>
      </c>
      <c r="P81" s="18">
        <f t="shared" si="30"/>
        <v>3</v>
      </c>
      <c r="Q81" s="14">
        <f t="shared" si="30"/>
        <v>3</v>
      </c>
      <c r="R81" s="17">
        <f t="shared" si="30"/>
        <v>0</v>
      </c>
      <c r="S81" s="14">
        <f t="shared" si="30"/>
        <v>3</v>
      </c>
      <c r="T81" s="14">
        <f t="shared" si="30"/>
        <v>1</v>
      </c>
      <c r="U81" s="17">
        <f t="shared" si="30"/>
        <v>1</v>
      </c>
      <c r="V81" s="55">
        <f>+AVERAGE(H81:U81)</f>
        <v>1.2142857142857142</v>
      </c>
      <c r="W81" s="19">
        <f>V81/$V$150</f>
        <v>4.5077891945641359E-2</v>
      </c>
      <c r="X81" s="20"/>
    </row>
    <row r="82" spans="2:24" s="1" customFormat="1" hidden="1" outlineLevel="1" x14ac:dyDescent="0.25">
      <c r="C82" s="41" t="s">
        <v>27</v>
      </c>
      <c r="D82" s="26"/>
      <c r="E82" s="23"/>
      <c r="F82" s="34"/>
      <c r="G82" s="31"/>
      <c r="H82" s="23"/>
      <c r="I82" s="26"/>
      <c r="J82" s="26">
        <v>1</v>
      </c>
      <c r="K82" s="31"/>
      <c r="L82" s="23">
        <v>1</v>
      </c>
      <c r="M82" s="26"/>
      <c r="N82" s="23">
        <v>1</v>
      </c>
      <c r="O82" s="31">
        <v>1</v>
      </c>
      <c r="P82" s="30">
        <v>1</v>
      </c>
      <c r="Q82" s="26">
        <v>1</v>
      </c>
      <c r="R82" s="31"/>
      <c r="S82" s="26">
        <v>1</v>
      </c>
      <c r="T82" s="26">
        <v>1</v>
      </c>
      <c r="U82" s="32">
        <v>1</v>
      </c>
      <c r="V82" s="55"/>
      <c r="W82" s="19"/>
      <c r="X82" s="20"/>
    </row>
    <row r="83" spans="2:24" s="1" customFormat="1" hidden="1" outlineLevel="1" x14ac:dyDescent="0.25">
      <c r="C83" s="41" t="s">
        <v>28</v>
      </c>
      <c r="D83" s="26"/>
      <c r="E83" s="23"/>
      <c r="F83" s="34"/>
      <c r="G83" s="31"/>
      <c r="H83" s="23"/>
      <c r="I83" s="26"/>
      <c r="J83" s="26"/>
      <c r="K83" s="31"/>
      <c r="L83" s="23">
        <v>2</v>
      </c>
      <c r="M83" s="26"/>
      <c r="N83" s="23">
        <v>2</v>
      </c>
      <c r="O83" s="31">
        <v>2</v>
      </c>
      <c r="P83" s="30">
        <v>3</v>
      </c>
      <c r="Q83" s="26">
        <v>3</v>
      </c>
      <c r="R83" s="31"/>
      <c r="S83" s="26">
        <v>3</v>
      </c>
      <c r="T83" s="26">
        <v>1</v>
      </c>
      <c r="U83" s="32">
        <v>1</v>
      </c>
      <c r="V83" s="55"/>
      <c r="W83" s="19"/>
      <c r="X83" s="20"/>
    </row>
    <row r="84" spans="2:24" s="1" customFormat="1" ht="85.5" hidden="1" outlineLevel="1" x14ac:dyDescent="0.25">
      <c r="B84" s="1">
        <v>3</v>
      </c>
      <c r="C84" s="41" t="s">
        <v>56</v>
      </c>
      <c r="D84" s="14">
        <f t="shared" ref="D84:U84" si="31">+D85*D86</f>
        <v>0</v>
      </c>
      <c r="E84" s="15">
        <f t="shared" si="31"/>
        <v>0</v>
      </c>
      <c r="F84" s="16">
        <f t="shared" si="31"/>
        <v>0</v>
      </c>
      <c r="G84" s="17">
        <f t="shared" si="31"/>
        <v>1</v>
      </c>
      <c r="H84" s="15">
        <f t="shared" si="31"/>
        <v>0</v>
      </c>
      <c r="I84" s="14">
        <f t="shared" si="31"/>
        <v>0</v>
      </c>
      <c r="J84" s="14">
        <f t="shared" si="31"/>
        <v>0</v>
      </c>
      <c r="K84" s="17">
        <f t="shared" si="31"/>
        <v>1</v>
      </c>
      <c r="L84" s="15">
        <f t="shared" si="31"/>
        <v>2</v>
      </c>
      <c r="M84" s="14">
        <f t="shared" si="31"/>
        <v>0</v>
      </c>
      <c r="N84" s="15">
        <f t="shared" si="31"/>
        <v>2</v>
      </c>
      <c r="O84" s="17">
        <f t="shared" si="31"/>
        <v>2</v>
      </c>
      <c r="P84" s="18">
        <f t="shared" si="31"/>
        <v>6</v>
      </c>
      <c r="Q84" s="14">
        <f t="shared" si="31"/>
        <v>6</v>
      </c>
      <c r="R84" s="17">
        <f t="shared" si="31"/>
        <v>0</v>
      </c>
      <c r="S84" s="14">
        <f t="shared" si="31"/>
        <v>6</v>
      </c>
      <c r="T84" s="14">
        <f t="shared" si="31"/>
        <v>4</v>
      </c>
      <c r="U84" s="17">
        <f t="shared" si="31"/>
        <v>1</v>
      </c>
      <c r="V84" s="55">
        <f>+AVERAGE(H84:U84)</f>
        <v>2.1428571428571428</v>
      </c>
      <c r="W84" s="19">
        <f>V84/$V$150</f>
        <v>7.9549221080543589E-2</v>
      </c>
      <c r="X84" s="20"/>
    </row>
    <row r="85" spans="2:24" s="1" customFormat="1" hidden="1" outlineLevel="1" x14ac:dyDescent="0.25">
      <c r="C85" s="41" t="s">
        <v>27</v>
      </c>
      <c r="D85" s="26"/>
      <c r="E85" s="23"/>
      <c r="F85" s="34"/>
      <c r="G85" s="31">
        <v>1</v>
      </c>
      <c r="H85" s="23"/>
      <c r="I85" s="26"/>
      <c r="J85" s="26"/>
      <c r="K85" s="31">
        <v>1</v>
      </c>
      <c r="L85" s="23">
        <v>1</v>
      </c>
      <c r="M85" s="26"/>
      <c r="N85" s="23">
        <v>1</v>
      </c>
      <c r="O85" s="31">
        <v>1</v>
      </c>
      <c r="P85" s="30">
        <v>2</v>
      </c>
      <c r="Q85" s="26">
        <v>2</v>
      </c>
      <c r="R85" s="31"/>
      <c r="S85" s="26">
        <v>2</v>
      </c>
      <c r="T85" s="26">
        <v>2</v>
      </c>
      <c r="U85" s="32">
        <v>1</v>
      </c>
      <c r="V85" s="55"/>
      <c r="W85" s="19"/>
      <c r="X85" s="20"/>
    </row>
    <row r="86" spans="2:24" s="1" customFormat="1" hidden="1" outlineLevel="1" x14ac:dyDescent="0.25">
      <c r="C86" s="41" t="s">
        <v>28</v>
      </c>
      <c r="D86" s="26"/>
      <c r="E86" s="23"/>
      <c r="F86" s="34"/>
      <c r="G86" s="31">
        <v>1</v>
      </c>
      <c r="H86" s="23"/>
      <c r="I86" s="26"/>
      <c r="J86" s="26"/>
      <c r="K86" s="31">
        <v>1</v>
      </c>
      <c r="L86" s="23">
        <v>2</v>
      </c>
      <c r="M86" s="26"/>
      <c r="N86" s="23">
        <v>2</v>
      </c>
      <c r="O86" s="31">
        <v>2</v>
      </c>
      <c r="P86" s="30">
        <v>3</v>
      </c>
      <c r="Q86" s="26">
        <v>3</v>
      </c>
      <c r="R86" s="31"/>
      <c r="S86" s="26">
        <v>3</v>
      </c>
      <c r="T86" s="26">
        <v>2</v>
      </c>
      <c r="U86" s="32">
        <v>1</v>
      </c>
      <c r="V86" s="55"/>
      <c r="W86" s="19"/>
      <c r="X86" s="20"/>
    </row>
    <row r="87" spans="2:24" s="1" customFormat="1" ht="85.5" hidden="1" outlineLevel="1" x14ac:dyDescent="0.25">
      <c r="B87" s="1">
        <v>4</v>
      </c>
      <c r="C87" s="41" t="s">
        <v>57</v>
      </c>
      <c r="D87" s="52">
        <f t="shared" ref="D87:U87" si="32">+D88*D89</f>
        <v>4</v>
      </c>
      <c r="E87" s="49">
        <f t="shared" si="32"/>
        <v>4</v>
      </c>
      <c r="F87" s="50">
        <f t="shared" si="32"/>
        <v>1</v>
      </c>
      <c r="G87" s="51">
        <f t="shared" si="32"/>
        <v>2</v>
      </c>
      <c r="H87" s="49">
        <f t="shared" si="32"/>
        <v>4</v>
      </c>
      <c r="I87" s="52">
        <f t="shared" si="32"/>
        <v>0</v>
      </c>
      <c r="J87" s="52">
        <f t="shared" si="32"/>
        <v>1</v>
      </c>
      <c r="K87" s="51">
        <f t="shared" si="32"/>
        <v>2</v>
      </c>
      <c r="L87" s="49">
        <f t="shared" si="32"/>
        <v>4</v>
      </c>
      <c r="M87" s="52">
        <f t="shared" si="32"/>
        <v>4</v>
      </c>
      <c r="N87" s="49">
        <f t="shared" si="32"/>
        <v>4</v>
      </c>
      <c r="O87" s="51">
        <f t="shared" si="32"/>
        <v>2</v>
      </c>
      <c r="P87" s="53">
        <f t="shared" si="32"/>
        <v>6</v>
      </c>
      <c r="Q87" s="52">
        <f t="shared" si="32"/>
        <v>6</v>
      </c>
      <c r="R87" s="51">
        <f t="shared" si="32"/>
        <v>2</v>
      </c>
      <c r="S87" s="52">
        <f t="shared" si="32"/>
        <v>6</v>
      </c>
      <c r="T87" s="52">
        <f t="shared" si="32"/>
        <v>4</v>
      </c>
      <c r="U87" s="51">
        <f t="shared" si="32"/>
        <v>4</v>
      </c>
      <c r="V87" s="55">
        <f>+AVERAGE(H87:U87)</f>
        <v>3.5</v>
      </c>
      <c r="W87" s="19">
        <f>V87/$V$150</f>
        <v>0.12993039443155452</v>
      </c>
      <c r="X87" s="20"/>
    </row>
    <row r="88" spans="2:24" s="1" customFormat="1" hidden="1" outlineLevel="1" x14ac:dyDescent="0.25">
      <c r="C88" s="41" t="s">
        <v>27</v>
      </c>
      <c r="D88" s="26">
        <v>2</v>
      </c>
      <c r="E88" s="23">
        <v>2</v>
      </c>
      <c r="F88" s="34">
        <v>1</v>
      </c>
      <c r="G88" s="31">
        <v>1</v>
      </c>
      <c r="H88" s="23">
        <v>2</v>
      </c>
      <c r="I88" s="26"/>
      <c r="J88" s="26">
        <v>1</v>
      </c>
      <c r="K88" s="31">
        <v>1</v>
      </c>
      <c r="L88" s="23">
        <v>2</v>
      </c>
      <c r="M88" s="26">
        <v>2</v>
      </c>
      <c r="N88" s="23">
        <v>2</v>
      </c>
      <c r="O88" s="31">
        <v>1</v>
      </c>
      <c r="P88" s="30">
        <v>2</v>
      </c>
      <c r="Q88" s="26">
        <v>2</v>
      </c>
      <c r="R88" s="31">
        <v>2</v>
      </c>
      <c r="S88" s="26">
        <v>2</v>
      </c>
      <c r="T88" s="26">
        <v>2</v>
      </c>
      <c r="U88" s="31">
        <v>2</v>
      </c>
      <c r="V88" s="55"/>
      <c r="W88" s="19"/>
      <c r="X88" s="20"/>
    </row>
    <row r="89" spans="2:24" s="1" customFormat="1" hidden="1" outlineLevel="1" x14ac:dyDescent="0.25">
      <c r="C89" s="41" t="s">
        <v>28</v>
      </c>
      <c r="D89" s="26">
        <v>2</v>
      </c>
      <c r="E89" s="23">
        <v>2</v>
      </c>
      <c r="F89" s="34">
        <v>1</v>
      </c>
      <c r="G89" s="31">
        <v>2</v>
      </c>
      <c r="H89" s="23">
        <v>2</v>
      </c>
      <c r="I89" s="26"/>
      <c r="J89" s="26">
        <v>1</v>
      </c>
      <c r="K89" s="31">
        <v>2</v>
      </c>
      <c r="L89" s="23">
        <v>2</v>
      </c>
      <c r="M89" s="26">
        <v>2</v>
      </c>
      <c r="N89" s="23">
        <v>2</v>
      </c>
      <c r="O89" s="31">
        <v>2</v>
      </c>
      <c r="P89" s="30">
        <v>3</v>
      </c>
      <c r="Q89" s="26">
        <v>3</v>
      </c>
      <c r="R89" s="31">
        <v>1</v>
      </c>
      <c r="S89" s="26">
        <v>3</v>
      </c>
      <c r="T89" s="26">
        <v>2</v>
      </c>
      <c r="U89" s="31">
        <v>2</v>
      </c>
      <c r="V89" s="55"/>
      <c r="W89" s="19"/>
      <c r="X89" s="20"/>
    </row>
    <row r="90" spans="2:24" s="1" customFormat="1" collapsed="1" x14ac:dyDescent="0.25">
      <c r="C90" s="41" t="s">
        <v>58</v>
      </c>
      <c r="D90" s="10">
        <f t="shared" ref="D90:U90" si="33">+AVERAGE(D91,D94,D97,D100)</f>
        <v>0</v>
      </c>
      <c r="E90" s="10">
        <f t="shared" si="33"/>
        <v>0</v>
      </c>
      <c r="F90" s="10">
        <f t="shared" si="33"/>
        <v>0.5</v>
      </c>
      <c r="G90" s="10">
        <f t="shared" si="33"/>
        <v>0.25</v>
      </c>
      <c r="H90" s="10">
        <f t="shared" si="33"/>
        <v>0.25</v>
      </c>
      <c r="I90" s="10">
        <f t="shared" si="33"/>
        <v>1.5</v>
      </c>
      <c r="J90" s="10">
        <f t="shared" si="33"/>
        <v>2.25</v>
      </c>
      <c r="K90" s="10">
        <f t="shared" si="33"/>
        <v>1.25</v>
      </c>
      <c r="L90" s="10">
        <f t="shared" si="33"/>
        <v>1</v>
      </c>
      <c r="M90" s="10">
        <f t="shared" si="33"/>
        <v>3.25</v>
      </c>
      <c r="N90" s="10">
        <f t="shared" si="33"/>
        <v>0.25</v>
      </c>
      <c r="O90" s="10">
        <f t="shared" si="33"/>
        <v>2.5</v>
      </c>
      <c r="P90" s="10">
        <f t="shared" si="33"/>
        <v>3.25</v>
      </c>
      <c r="Q90" s="10">
        <f t="shared" si="33"/>
        <v>1.5</v>
      </c>
      <c r="R90" s="10">
        <f t="shared" si="33"/>
        <v>0.75</v>
      </c>
      <c r="S90" s="10">
        <f t="shared" si="33"/>
        <v>4.5</v>
      </c>
      <c r="T90" s="10">
        <f t="shared" si="33"/>
        <v>1</v>
      </c>
      <c r="U90" s="10">
        <f t="shared" si="33"/>
        <v>2.25</v>
      </c>
      <c r="V90" s="11">
        <f t="shared" ref="V90:V143" si="34">SUM(D90:U90)</f>
        <v>26.25</v>
      </c>
      <c r="W90" s="19">
        <f>V90/$V$150</f>
        <v>0.97447795823665895</v>
      </c>
      <c r="X90" s="13"/>
    </row>
    <row r="91" spans="2:24" s="1" customFormat="1" ht="85.5" hidden="1" outlineLevel="1" x14ac:dyDescent="0.25">
      <c r="B91" s="1">
        <v>1</v>
      </c>
      <c r="C91" s="41" t="s">
        <v>59</v>
      </c>
      <c r="D91" s="43">
        <f t="shared" ref="D91:U91" si="35">+D92*D93</f>
        <v>0</v>
      </c>
      <c r="E91" s="44">
        <f t="shared" si="35"/>
        <v>0</v>
      </c>
      <c r="F91" s="45">
        <f t="shared" si="35"/>
        <v>1</v>
      </c>
      <c r="G91" s="46">
        <f t="shared" si="35"/>
        <v>0</v>
      </c>
      <c r="H91" s="44">
        <f t="shared" si="35"/>
        <v>1</v>
      </c>
      <c r="I91" s="43">
        <f t="shared" si="35"/>
        <v>2</v>
      </c>
      <c r="J91" s="43">
        <f t="shared" si="35"/>
        <v>3</v>
      </c>
      <c r="K91" s="46">
        <f t="shared" si="35"/>
        <v>1</v>
      </c>
      <c r="L91" s="44">
        <f t="shared" si="35"/>
        <v>2</v>
      </c>
      <c r="M91" s="43">
        <f t="shared" si="35"/>
        <v>3</v>
      </c>
      <c r="N91" s="44">
        <f t="shared" si="35"/>
        <v>0</v>
      </c>
      <c r="O91" s="46">
        <f t="shared" si="35"/>
        <v>3</v>
      </c>
      <c r="P91" s="47">
        <f t="shared" si="35"/>
        <v>3</v>
      </c>
      <c r="Q91" s="43">
        <f t="shared" si="35"/>
        <v>1</v>
      </c>
      <c r="R91" s="46">
        <f t="shared" si="35"/>
        <v>0</v>
      </c>
      <c r="S91" s="43">
        <f t="shared" si="35"/>
        <v>3</v>
      </c>
      <c r="T91" s="43">
        <f t="shared" si="35"/>
        <v>1</v>
      </c>
      <c r="U91" s="46">
        <f t="shared" si="35"/>
        <v>4</v>
      </c>
      <c r="V91" s="11">
        <f t="shared" si="34"/>
        <v>28</v>
      </c>
      <c r="W91" s="19">
        <f>V91/$V$150</f>
        <v>1.0394431554524362</v>
      </c>
      <c r="X91" s="20"/>
    </row>
    <row r="92" spans="2:24" s="1" customFormat="1" hidden="1" outlineLevel="1" x14ac:dyDescent="0.25">
      <c r="C92" s="41" t="s">
        <v>27</v>
      </c>
      <c r="D92" s="27"/>
      <c r="E92" s="28"/>
      <c r="F92" s="34">
        <v>1</v>
      </c>
      <c r="G92" s="25"/>
      <c r="H92" s="28">
        <v>1</v>
      </c>
      <c r="I92" s="27">
        <v>1</v>
      </c>
      <c r="J92" s="27">
        <v>1</v>
      </c>
      <c r="K92" s="25">
        <v>1</v>
      </c>
      <c r="L92" s="28">
        <v>1</v>
      </c>
      <c r="M92" s="27">
        <v>1</v>
      </c>
      <c r="N92" s="28"/>
      <c r="O92" s="25">
        <v>1</v>
      </c>
      <c r="P92" s="36">
        <v>1</v>
      </c>
      <c r="Q92" s="27">
        <v>1</v>
      </c>
      <c r="R92" s="25"/>
      <c r="S92" s="27">
        <v>1</v>
      </c>
      <c r="T92" s="27">
        <v>1</v>
      </c>
      <c r="U92" s="25">
        <v>2</v>
      </c>
      <c r="V92" s="11">
        <f t="shared" si="34"/>
        <v>14</v>
      </c>
      <c r="W92" s="19"/>
      <c r="X92" s="20"/>
    </row>
    <row r="93" spans="2:24" s="1" customFormat="1" hidden="1" outlineLevel="1" x14ac:dyDescent="0.25">
      <c r="C93" s="41" t="s">
        <v>28</v>
      </c>
      <c r="D93" s="27"/>
      <c r="E93" s="28"/>
      <c r="F93" s="34">
        <v>1</v>
      </c>
      <c r="G93" s="25"/>
      <c r="H93" s="28">
        <v>1</v>
      </c>
      <c r="I93" s="27">
        <v>2</v>
      </c>
      <c r="J93" s="27">
        <v>3</v>
      </c>
      <c r="K93" s="25">
        <v>1</v>
      </c>
      <c r="L93" s="28">
        <v>2</v>
      </c>
      <c r="M93" s="27">
        <v>3</v>
      </c>
      <c r="N93" s="28"/>
      <c r="O93" s="25">
        <v>3</v>
      </c>
      <c r="P93" s="36">
        <v>3</v>
      </c>
      <c r="Q93" s="27">
        <v>1</v>
      </c>
      <c r="R93" s="25"/>
      <c r="S93" s="27">
        <v>3</v>
      </c>
      <c r="T93" s="27">
        <v>1</v>
      </c>
      <c r="U93" s="25">
        <v>2</v>
      </c>
      <c r="V93" s="11">
        <f t="shared" si="34"/>
        <v>26</v>
      </c>
      <c r="W93" s="19"/>
      <c r="X93" s="20"/>
    </row>
    <row r="94" spans="2:24" s="1" customFormat="1" ht="71.25" hidden="1" outlineLevel="1" x14ac:dyDescent="0.25">
      <c r="B94" s="1">
        <v>2</v>
      </c>
      <c r="C94" s="41" t="s">
        <v>60</v>
      </c>
      <c r="D94" s="14">
        <f t="shared" ref="D94:U94" si="36">+D95*D96</f>
        <v>0</v>
      </c>
      <c r="E94" s="15">
        <f t="shared" si="36"/>
        <v>0</v>
      </c>
      <c r="F94" s="16">
        <f t="shared" si="36"/>
        <v>1</v>
      </c>
      <c r="G94" s="17">
        <f t="shared" si="36"/>
        <v>0</v>
      </c>
      <c r="H94" s="15">
        <f t="shared" si="36"/>
        <v>0</v>
      </c>
      <c r="I94" s="14">
        <f t="shared" si="36"/>
        <v>4</v>
      </c>
      <c r="J94" s="14">
        <f t="shared" si="36"/>
        <v>6</v>
      </c>
      <c r="K94" s="17">
        <f t="shared" si="36"/>
        <v>4</v>
      </c>
      <c r="L94" s="15">
        <f t="shared" si="36"/>
        <v>2</v>
      </c>
      <c r="M94" s="14">
        <f t="shared" si="36"/>
        <v>4</v>
      </c>
      <c r="N94" s="15">
        <f t="shared" si="36"/>
        <v>1</v>
      </c>
      <c r="O94" s="17">
        <f t="shared" si="36"/>
        <v>4</v>
      </c>
      <c r="P94" s="18">
        <f t="shared" si="36"/>
        <v>4</v>
      </c>
      <c r="Q94" s="14">
        <f t="shared" si="36"/>
        <v>2</v>
      </c>
      <c r="R94" s="17">
        <f t="shared" si="36"/>
        <v>2</v>
      </c>
      <c r="S94" s="14">
        <f t="shared" si="36"/>
        <v>6</v>
      </c>
      <c r="T94" s="14">
        <f t="shared" si="36"/>
        <v>2</v>
      </c>
      <c r="U94" s="17">
        <f t="shared" si="36"/>
        <v>2</v>
      </c>
      <c r="V94" s="11">
        <f t="shared" si="34"/>
        <v>44</v>
      </c>
      <c r="W94" s="19">
        <f>V94/$V$150</f>
        <v>1.6334106728538282</v>
      </c>
      <c r="X94" s="20"/>
    </row>
    <row r="95" spans="2:24" s="1" customFormat="1" hidden="1" outlineLevel="1" x14ac:dyDescent="0.25">
      <c r="C95" s="41" t="s">
        <v>27</v>
      </c>
      <c r="D95" s="27"/>
      <c r="E95" s="28"/>
      <c r="F95" s="34">
        <v>1</v>
      </c>
      <c r="G95" s="31"/>
      <c r="H95" s="23"/>
      <c r="I95" s="27">
        <v>2</v>
      </c>
      <c r="J95" s="27">
        <v>2</v>
      </c>
      <c r="K95" s="25">
        <v>2</v>
      </c>
      <c r="L95" s="28">
        <v>2</v>
      </c>
      <c r="M95" s="27">
        <v>2</v>
      </c>
      <c r="N95" s="28">
        <v>1</v>
      </c>
      <c r="O95" s="25">
        <v>2</v>
      </c>
      <c r="P95" s="36">
        <v>2</v>
      </c>
      <c r="Q95" s="26">
        <v>2</v>
      </c>
      <c r="R95" s="31">
        <v>2</v>
      </c>
      <c r="S95" s="27">
        <v>2</v>
      </c>
      <c r="T95" s="27">
        <v>2</v>
      </c>
      <c r="U95" s="25">
        <v>1</v>
      </c>
      <c r="V95" s="11">
        <f t="shared" si="34"/>
        <v>25</v>
      </c>
      <c r="W95" s="19"/>
      <c r="X95" s="20"/>
    </row>
    <row r="96" spans="2:24" s="1" customFormat="1" hidden="1" outlineLevel="1" x14ac:dyDescent="0.25">
      <c r="C96" s="41" t="s">
        <v>28</v>
      </c>
      <c r="D96" s="27"/>
      <c r="E96" s="28"/>
      <c r="F96" s="34">
        <v>1</v>
      </c>
      <c r="G96" s="31"/>
      <c r="H96" s="23"/>
      <c r="I96" s="27">
        <v>2</v>
      </c>
      <c r="J96" s="27">
        <v>3</v>
      </c>
      <c r="K96" s="25">
        <v>2</v>
      </c>
      <c r="L96" s="28">
        <v>1</v>
      </c>
      <c r="M96" s="27">
        <v>2</v>
      </c>
      <c r="N96" s="28">
        <v>1</v>
      </c>
      <c r="O96" s="25">
        <v>2</v>
      </c>
      <c r="P96" s="36">
        <v>2</v>
      </c>
      <c r="Q96" s="26">
        <v>1</v>
      </c>
      <c r="R96" s="31">
        <v>1</v>
      </c>
      <c r="S96" s="27">
        <v>3</v>
      </c>
      <c r="T96" s="27">
        <v>1</v>
      </c>
      <c r="U96" s="25">
        <v>2</v>
      </c>
      <c r="V96" s="11">
        <f t="shared" si="34"/>
        <v>24</v>
      </c>
      <c r="W96" s="19"/>
      <c r="X96" s="20"/>
    </row>
    <row r="97" spans="2:24" s="1" customFormat="1" ht="57" hidden="1" outlineLevel="1" x14ac:dyDescent="0.25">
      <c r="B97" s="1">
        <v>3</v>
      </c>
      <c r="C97" s="41" t="s">
        <v>61</v>
      </c>
      <c r="D97" s="14">
        <f t="shared" ref="D97:U97" si="37">+D98*D99</f>
        <v>0</v>
      </c>
      <c r="E97" s="15">
        <f t="shared" si="37"/>
        <v>0</v>
      </c>
      <c r="F97" s="16">
        <f t="shared" si="37"/>
        <v>0</v>
      </c>
      <c r="G97" s="17">
        <f t="shared" si="37"/>
        <v>1</v>
      </c>
      <c r="H97" s="15">
        <f t="shared" si="37"/>
        <v>0</v>
      </c>
      <c r="I97" s="14">
        <f t="shared" si="37"/>
        <v>0</v>
      </c>
      <c r="J97" s="14">
        <f t="shared" si="37"/>
        <v>0</v>
      </c>
      <c r="K97" s="17">
        <f t="shared" si="37"/>
        <v>0</v>
      </c>
      <c r="L97" s="15">
        <f t="shared" si="37"/>
        <v>0</v>
      </c>
      <c r="M97" s="14">
        <f t="shared" si="37"/>
        <v>2</v>
      </c>
      <c r="N97" s="15">
        <f t="shared" si="37"/>
        <v>0</v>
      </c>
      <c r="O97" s="17">
        <f t="shared" si="37"/>
        <v>2</v>
      </c>
      <c r="P97" s="18">
        <f t="shared" si="37"/>
        <v>2</v>
      </c>
      <c r="Q97" s="14">
        <f t="shared" si="37"/>
        <v>1</v>
      </c>
      <c r="R97" s="17">
        <f t="shared" si="37"/>
        <v>1</v>
      </c>
      <c r="S97" s="14">
        <f t="shared" si="37"/>
        <v>3</v>
      </c>
      <c r="T97" s="14">
        <f t="shared" si="37"/>
        <v>1</v>
      </c>
      <c r="U97" s="17">
        <f t="shared" si="37"/>
        <v>1</v>
      </c>
      <c r="V97" s="11">
        <f t="shared" si="34"/>
        <v>14</v>
      </c>
      <c r="W97" s="19">
        <f>V97/$V$150</f>
        <v>0.51972157772621808</v>
      </c>
      <c r="X97" s="20"/>
    </row>
    <row r="98" spans="2:24" s="1" customFormat="1" hidden="1" outlineLevel="1" x14ac:dyDescent="0.25">
      <c r="C98" s="41" t="s">
        <v>27</v>
      </c>
      <c r="D98" s="26"/>
      <c r="E98" s="23"/>
      <c r="F98" s="34"/>
      <c r="G98" s="38">
        <v>1</v>
      </c>
      <c r="H98" s="23"/>
      <c r="I98" s="27"/>
      <c r="J98" s="27"/>
      <c r="K98" s="31"/>
      <c r="L98" s="28"/>
      <c r="M98" s="27">
        <v>1</v>
      </c>
      <c r="N98" s="28"/>
      <c r="O98" s="25">
        <v>1</v>
      </c>
      <c r="P98" s="36">
        <v>1</v>
      </c>
      <c r="Q98" s="27">
        <v>1</v>
      </c>
      <c r="R98" s="25">
        <v>1</v>
      </c>
      <c r="S98" s="27">
        <v>1</v>
      </c>
      <c r="T98" s="27">
        <v>1</v>
      </c>
      <c r="U98" s="25">
        <v>1</v>
      </c>
      <c r="V98" s="11">
        <f t="shared" si="34"/>
        <v>9</v>
      </c>
      <c r="W98" s="19"/>
      <c r="X98" s="20"/>
    </row>
    <row r="99" spans="2:24" s="1" customFormat="1" hidden="1" outlineLevel="1" x14ac:dyDescent="0.25">
      <c r="C99" s="41" t="s">
        <v>28</v>
      </c>
      <c r="D99" s="26"/>
      <c r="E99" s="23"/>
      <c r="F99" s="34"/>
      <c r="G99" s="38">
        <v>1</v>
      </c>
      <c r="H99" s="23"/>
      <c r="I99" s="27"/>
      <c r="J99" s="27"/>
      <c r="K99" s="31"/>
      <c r="L99" s="28"/>
      <c r="M99" s="27">
        <v>2</v>
      </c>
      <c r="N99" s="28"/>
      <c r="O99" s="25">
        <v>2</v>
      </c>
      <c r="P99" s="36">
        <v>2</v>
      </c>
      <c r="Q99" s="27">
        <v>1</v>
      </c>
      <c r="R99" s="25">
        <v>1</v>
      </c>
      <c r="S99" s="27">
        <v>3</v>
      </c>
      <c r="T99" s="27">
        <v>1</v>
      </c>
      <c r="U99" s="25">
        <v>1</v>
      </c>
      <c r="V99" s="11">
        <f t="shared" si="34"/>
        <v>14</v>
      </c>
      <c r="W99" s="19"/>
      <c r="X99" s="20"/>
    </row>
    <row r="100" spans="2:24" s="1" customFormat="1" ht="99.75" hidden="1" outlineLevel="1" x14ac:dyDescent="0.25">
      <c r="B100" s="1">
        <v>4</v>
      </c>
      <c r="C100" s="41" t="s">
        <v>62</v>
      </c>
      <c r="D100" s="52">
        <f t="shared" ref="D100:U100" si="38">+D101*D102</f>
        <v>0</v>
      </c>
      <c r="E100" s="49">
        <f t="shared" si="38"/>
        <v>0</v>
      </c>
      <c r="F100" s="50">
        <f t="shared" si="38"/>
        <v>0</v>
      </c>
      <c r="G100" s="51">
        <f t="shared" si="38"/>
        <v>0</v>
      </c>
      <c r="H100" s="49">
        <f t="shared" si="38"/>
        <v>0</v>
      </c>
      <c r="I100" s="52">
        <f t="shared" si="38"/>
        <v>0</v>
      </c>
      <c r="J100" s="52">
        <f t="shared" si="38"/>
        <v>0</v>
      </c>
      <c r="K100" s="51">
        <f t="shared" si="38"/>
        <v>0</v>
      </c>
      <c r="L100" s="49">
        <f t="shared" si="38"/>
        <v>0</v>
      </c>
      <c r="M100" s="52">
        <f t="shared" si="38"/>
        <v>4</v>
      </c>
      <c r="N100" s="49">
        <f t="shared" si="38"/>
        <v>0</v>
      </c>
      <c r="O100" s="51">
        <f t="shared" si="38"/>
        <v>1</v>
      </c>
      <c r="P100" s="53">
        <f t="shared" si="38"/>
        <v>4</v>
      </c>
      <c r="Q100" s="52">
        <f t="shared" si="38"/>
        <v>2</v>
      </c>
      <c r="R100" s="51">
        <f t="shared" si="38"/>
        <v>0</v>
      </c>
      <c r="S100" s="52">
        <f t="shared" si="38"/>
        <v>6</v>
      </c>
      <c r="T100" s="52">
        <f t="shared" si="38"/>
        <v>0</v>
      </c>
      <c r="U100" s="51">
        <f t="shared" si="38"/>
        <v>2</v>
      </c>
      <c r="V100" s="11">
        <f t="shared" si="34"/>
        <v>19</v>
      </c>
      <c r="W100" s="19">
        <f>V100/$V$150</f>
        <v>0.7053364269141531</v>
      </c>
      <c r="X100" s="20"/>
    </row>
    <row r="101" spans="2:24" s="1" customFormat="1" hidden="1" outlineLevel="1" x14ac:dyDescent="0.25">
      <c r="C101" s="41" t="s">
        <v>27</v>
      </c>
      <c r="D101" s="26"/>
      <c r="E101" s="23"/>
      <c r="F101" s="34"/>
      <c r="G101" s="31"/>
      <c r="H101" s="23"/>
      <c r="I101" s="27"/>
      <c r="J101" s="27"/>
      <c r="K101" s="31"/>
      <c r="L101" s="23"/>
      <c r="M101" s="27">
        <v>2</v>
      </c>
      <c r="N101" s="28"/>
      <c r="O101" s="25">
        <v>1</v>
      </c>
      <c r="P101" s="36">
        <v>2</v>
      </c>
      <c r="Q101" s="27">
        <v>2</v>
      </c>
      <c r="R101" s="31"/>
      <c r="S101" s="27">
        <v>2</v>
      </c>
      <c r="T101" s="26"/>
      <c r="U101" s="25">
        <v>2</v>
      </c>
      <c r="V101" s="11">
        <f t="shared" si="34"/>
        <v>11</v>
      </c>
      <c r="W101" s="19"/>
      <c r="X101" s="20"/>
    </row>
    <row r="102" spans="2:24" s="1" customFormat="1" hidden="1" outlineLevel="1" x14ac:dyDescent="0.25">
      <c r="C102" s="41" t="s">
        <v>28</v>
      </c>
      <c r="D102" s="26"/>
      <c r="E102" s="23"/>
      <c r="F102" s="34"/>
      <c r="G102" s="31"/>
      <c r="H102" s="23"/>
      <c r="I102" s="27"/>
      <c r="J102" s="27"/>
      <c r="K102" s="31"/>
      <c r="L102" s="23"/>
      <c r="M102" s="27">
        <v>2</v>
      </c>
      <c r="N102" s="28"/>
      <c r="O102" s="25">
        <v>1</v>
      </c>
      <c r="P102" s="36">
        <v>2</v>
      </c>
      <c r="Q102" s="27">
        <v>1</v>
      </c>
      <c r="R102" s="31"/>
      <c r="S102" s="27">
        <v>3</v>
      </c>
      <c r="T102" s="26"/>
      <c r="U102" s="25">
        <v>1</v>
      </c>
      <c r="V102" s="11">
        <f t="shared" si="34"/>
        <v>10</v>
      </c>
      <c r="W102" s="19"/>
      <c r="X102" s="20"/>
    </row>
    <row r="103" spans="2:24" s="1" customFormat="1" collapsed="1" x14ac:dyDescent="0.25">
      <c r="C103" s="41" t="s">
        <v>63</v>
      </c>
      <c r="D103" s="10">
        <f t="shared" ref="D103:U103" si="39">+AVERAGE(D104,D107)</f>
        <v>3</v>
      </c>
      <c r="E103" s="10">
        <f t="shared" si="39"/>
        <v>0</v>
      </c>
      <c r="F103" s="10">
        <f t="shared" si="39"/>
        <v>1.5</v>
      </c>
      <c r="G103" s="10">
        <f t="shared" si="39"/>
        <v>0.5</v>
      </c>
      <c r="H103" s="10">
        <f t="shared" si="39"/>
        <v>3</v>
      </c>
      <c r="I103" s="10">
        <f t="shared" si="39"/>
        <v>3</v>
      </c>
      <c r="J103" s="10">
        <f t="shared" si="39"/>
        <v>3</v>
      </c>
      <c r="K103" s="10">
        <f t="shared" si="39"/>
        <v>3</v>
      </c>
      <c r="L103" s="10">
        <f t="shared" si="39"/>
        <v>1</v>
      </c>
      <c r="M103" s="10">
        <f t="shared" si="39"/>
        <v>6</v>
      </c>
      <c r="N103" s="10">
        <f t="shared" si="39"/>
        <v>0</v>
      </c>
      <c r="O103" s="10">
        <f t="shared" si="39"/>
        <v>1.5</v>
      </c>
      <c r="P103" s="10">
        <f t="shared" si="39"/>
        <v>1.5</v>
      </c>
      <c r="Q103" s="10">
        <f t="shared" si="39"/>
        <v>0</v>
      </c>
      <c r="R103" s="10">
        <f t="shared" si="39"/>
        <v>0</v>
      </c>
      <c r="S103" s="10">
        <f t="shared" si="39"/>
        <v>4</v>
      </c>
      <c r="T103" s="10">
        <f t="shared" si="39"/>
        <v>1.5</v>
      </c>
      <c r="U103" s="10">
        <f t="shared" si="39"/>
        <v>4</v>
      </c>
      <c r="V103" s="11">
        <f t="shared" si="34"/>
        <v>36.5</v>
      </c>
      <c r="W103" s="19">
        <f>V103/$V$150</f>
        <v>1.3549883990719258</v>
      </c>
      <c r="X103" s="13"/>
    </row>
    <row r="104" spans="2:24" s="1" customFormat="1" ht="71.25" hidden="1" outlineLevel="1" x14ac:dyDescent="0.25">
      <c r="B104" s="1">
        <v>1</v>
      </c>
      <c r="C104" s="41" t="s">
        <v>64</v>
      </c>
      <c r="D104" s="43">
        <f t="shared" ref="D104:U104" si="40">+D105*D106</f>
        <v>2</v>
      </c>
      <c r="E104" s="44">
        <f t="shared" si="40"/>
        <v>0</v>
      </c>
      <c r="F104" s="45">
        <f t="shared" si="40"/>
        <v>1</v>
      </c>
      <c r="G104" s="46">
        <f t="shared" si="40"/>
        <v>0</v>
      </c>
      <c r="H104" s="44">
        <f t="shared" si="40"/>
        <v>3</v>
      </c>
      <c r="I104" s="43">
        <f t="shared" si="40"/>
        <v>3</v>
      </c>
      <c r="J104" s="43">
        <f t="shared" si="40"/>
        <v>3</v>
      </c>
      <c r="K104" s="46">
        <f t="shared" si="40"/>
        <v>3</v>
      </c>
      <c r="L104" s="44">
        <f t="shared" si="40"/>
        <v>2</v>
      </c>
      <c r="M104" s="43">
        <f t="shared" si="40"/>
        <v>6</v>
      </c>
      <c r="N104" s="44">
        <f t="shared" si="40"/>
        <v>0</v>
      </c>
      <c r="O104" s="46">
        <f t="shared" si="40"/>
        <v>3</v>
      </c>
      <c r="P104" s="47">
        <f t="shared" si="40"/>
        <v>2</v>
      </c>
      <c r="Q104" s="43">
        <f t="shared" si="40"/>
        <v>0</v>
      </c>
      <c r="R104" s="46">
        <f t="shared" si="40"/>
        <v>0</v>
      </c>
      <c r="S104" s="43">
        <f t="shared" si="40"/>
        <v>2</v>
      </c>
      <c r="T104" s="43">
        <f t="shared" si="40"/>
        <v>1</v>
      </c>
      <c r="U104" s="46">
        <f t="shared" si="40"/>
        <v>4</v>
      </c>
      <c r="V104" s="11">
        <f t="shared" si="34"/>
        <v>35</v>
      </c>
      <c r="W104" s="19">
        <f>V104/$V$150</f>
        <v>1.2993039443155452</v>
      </c>
      <c r="X104" s="20"/>
    </row>
    <row r="105" spans="2:24" s="1" customFormat="1" hidden="1" outlineLevel="1" x14ac:dyDescent="0.25">
      <c r="C105" s="41" t="s">
        <v>27</v>
      </c>
      <c r="D105" s="22">
        <v>1</v>
      </c>
      <c r="E105" s="23"/>
      <c r="F105" s="24">
        <v>1</v>
      </c>
      <c r="G105" s="31"/>
      <c r="H105" s="28">
        <v>1</v>
      </c>
      <c r="I105" s="27">
        <v>1</v>
      </c>
      <c r="J105" s="27">
        <v>1</v>
      </c>
      <c r="K105" s="25">
        <v>1</v>
      </c>
      <c r="L105" s="39">
        <v>1</v>
      </c>
      <c r="M105" s="27">
        <v>2</v>
      </c>
      <c r="N105" s="23"/>
      <c r="O105" s="38">
        <v>1</v>
      </c>
      <c r="P105" s="36">
        <v>1</v>
      </c>
      <c r="Q105" s="26"/>
      <c r="R105" s="31"/>
      <c r="S105" s="27">
        <v>1</v>
      </c>
      <c r="T105" s="27">
        <v>1</v>
      </c>
      <c r="U105" s="25">
        <v>2</v>
      </c>
      <c r="V105" s="11">
        <f t="shared" si="34"/>
        <v>15</v>
      </c>
      <c r="W105" s="19"/>
      <c r="X105" s="20"/>
    </row>
    <row r="106" spans="2:24" s="1" customFormat="1" hidden="1" outlineLevel="1" x14ac:dyDescent="0.25">
      <c r="C106" s="41" t="s">
        <v>28</v>
      </c>
      <c r="D106" s="22">
        <v>2</v>
      </c>
      <c r="E106" s="23"/>
      <c r="F106" s="24">
        <v>1</v>
      </c>
      <c r="G106" s="31"/>
      <c r="H106" s="28">
        <v>3</v>
      </c>
      <c r="I106" s="27">
        <v>3</v>
      </c>
      <c r="J106" s="27">
        <v>3</v>
      </c>
      <c r="K106" s="25">
        <v>3</v>
      </c>
      <c r="L106" s="39">
        <v>2</v>
      </c>
      <c r="M106" s="27">
        <v>3</v>
      </c>
      <c r="N106" s="23"/>
      <c r="O106" s="38">
        <v>3</v>
      </c>
      <c r="P106" s="36">
        <v>2</v>
      </c>
      <c r="Q106" s="26"/>
      <c r="R106" s="31"/>
      <c r="S106" s="27">
        <v>2</v>
      </c>
      <c r="T106" s="27">
        <v>1</v>
      </c>
      <c r="U106" s="25">
        <v>2</v>
      </c>
      <c r="V106" s="11">
        <f t="shared" si="34"/>
        <v>30</v>
      </c>
      <c r="W106" s="19"/>
      <c r="X106" s="20"/>
    </row>
    <row r="107" spans="2:24" s="1" customFormat="1" ht="99.75" hidden="1" outlineLevel="1" x14ac:dyDescent="0.25">
      <c r="B107" s="1">
        <v>2</v>
      </c>
      <c r="C107" s="41" t="s">
        <v>65</v>
      </c>
      <c r="D107" s="52">
        <f t="shared" ref="D107:U107" si="41">+D108*D109</f>
        <v>4</v>
      </c>
      <c r="E107" s="49">
        <f t="shared" si="41"/>
        <v>0</v>
      </c>
      <c r="F107" s="50">
        <f t="shared" si="41"/>
        <v>2</v>
      </c>
      <c r="G107" s="51">
        <f t="shared" si="41"/>
        <v>1</v>
      </c>
      <c r="H107" s="49">
        <f t="shared" si="41"/>
        <v>3</v>
      </c>
      <c r="I107" s="52">
        <f t="shared" si="41"/>
        <v>3</v>
      </c>
      <c r="J107" s="52">
        <f t="shared" si="41"/>
        <v>3</v>
      </c>
      <c r="K107" s="51">
        <f t="shared" si="41"/>
        <v>3</v>
      </c>
      <c r="L107" s="49">
        <f t="shared" si="41"/>
        <v>0</v>
      </c>
      <c r="M107" s="52">
        <f t="shared" si="41"/>
        <v>6</v>
      </c>
      <c r="N107" s="49">
        <f t="shared" si="41"/>
        <v>0</v>
      </c>
      <c r="O107" s="51">
        <f t="shared" si="41"/>
        <v>0</v>
      </c>
      <c r="P107" s="53">
        <f t="shared" si="41"/>
        <v>1</v>
      </c>
      <c r="Q107" s="52">
        <f t="shared" si="41"/>
        <v>0</v>
      </c>
      <c r="R107" s="51">
        <f t="shared" si="41"/>
        <v>0</v>
      </c>
      <c r="S107" s="52">
        <f t="shared" si="41"/>
        <v>6</v>
      </c>
      <c r="T107" s="52">
        <f t="shared" si="41"/>
        <v>2</v>
      </c>
      <c r="U107" s="51">
        <f t="shared" si="41"/>
        <v>4</v>
      </c>
      <c r="V107" s="11">
        <f t="shared" si="34"/>
        <v>38</v>
      </c>
      <c r="W107" s="19">
        <f>V107/$V$150</f>
        <v>1.4106728538283062</v>
      </c>
      <c r="X107" s="20"/>
    </row>
    <row r="108" spans="2:24" s="1" customFormat="1" hidden="1" outlineLevel="1" x14ac:dyDescent="0.25">
      <c r="C108" s="41" t="s">
        <v>27</v>
      </c>
      <c r="D108" s="34">
        <v>2</v>
      </c>
      <c r="E108" s="34"/>
      <c r="F108" s="34">
        <v>2</v>
      </c>
      <c r="G108" s="38">
        <v>1</v>
      </c>
      <c r="H108" s="28">
        <v>1</v>
      </c>
      <c r="I108" s="27">
        <v>1</v>
      </c>
      <c r="J108" s="27">
        <v>1</v>
      </c>
      <c r="K108" s="25">
        <v>1</v>
      </c>
      <c r="L108" s="28"/>
      <c r="M108" s="27">
        <v>2</v>
      </c>
      <c r="N108" s="23"/>
      <c r="O108" s="31"/>
      <c r="P108" s="36">
        <v>1</v>
      </c>
      <c r="Q108" s="26"/>
      <c r="R108" s="31"/>
      <c r="S108" s="27">
        <v>2</v>
      </c>
      <c r="T108" s="27">
        <v>2</v>
      </c>
      <c r="U108" s="25">
        <v>2</v>
      </c>
      <c r="V108" s="11">
        <f t="shared" si="34"/>
        <v>18</v>
      </c>
      <c r="W108" s="19"/>
      <c r="X108" s="20"/>
    </row>
    <row r="109" spans="2:24" s="1" customFormat="1" hidden="1" outlineLevel="1" x14ac:dyDescent="0.25">
      <c r="C109" s="41" t="s">
        <v>28</v>
      </c>
      <c r="D109" s="34">
        <v>2</v>
      </c>
      <c r="E109" s="34"/>
      <c r="F109" s="34">
        <v>1</v>
      </c>
      <c r="G109" s="38">
        <v>1</v>
      </c>
      <c r="H109" s="28">
        <v>3</v>
      </c>
      <c r="I109" s="27">
        <v>3</v>
      </c>
      <c r="J109" s="27">
        <v>3</v>
      </c>
      <c r="K109" s="25">
        <v>3</v>
      </c>
      <c r="L109" s="28"/>
      <c r="M109" s="27">
        <v>3</v>
      </c>
      <c r="N109" s="23"/>
      <c r="O109" s="31"/>
      <c r="P109" s="36">
        <v>1</v>
      </c>
      <c r="Q109" s="26"/>
      <c r="R109" s="31"/>
      <c r="S109" s="27">
        <v>3</v>
      </c>
      <c r="T109" s="27">
        <v>1</v>
      </c>
      <c r="U109" s="25">
        <v>2</v>
      </c>
      <c r="V109" s="11">
        <f t="shared" si="34"/>
        <v>26</v>
      </c>
      <c r="W109" s="19"/>
      <c r="X109" s="20"/>
    </row>
    <row r="110" spans="2:24" s="1" customFormat="1" collapsed="1" x14ac:dyDescent="0.25">
      <c r="C110" s="41" t="s">
        <v>66</v>
      </c>
      <c r="D110" s="10">
        <f t="shared" ref="D110:U110" si="42">+AVERAGE(D111,D114)</f>
        <v>1.5</v>
      </c>
      <c r="E110" s="10">
        <f t="shared" si="42"/>
        <v>2</v>
      </c>
      <c r="F110" s="10">
        <f t="shared" si="42"/>
        <v>3</v>
      </c>
      <c r="G110" s="10">
        <f t="shared" si="42"/>
        <v>3</v>
      </c>
      <c r="H110" s="10">
        <f t="shared" si="42"/>
        <v>0.5</v>
      </c>
      <c r="I110" s="10">
        <f t="shared" si="42"/>
        <v>4.5</v>
      </c>
      <c r="J110" s="10">
        <f t="shared" si="42"/>
        <v>3.5</v>
      </c>
      <c r="K110" s="10">
        <f t="shared" si="42"/>
        <v>1.5</v>
      </c>
      <c r="L110" s="10">
        <f t="shared" si="42"/>
        <v>1.5</v>
      </c>
      <c r="M110" s="10">
        <f t="shared" si="42"/>
        <v>4.5</v>
      </c>
      <c r="N110" s="10">
        <f t="shared" si="42"/>
        <v>2</v>
      </c>
      <c r="O110" s="10">
        <f t="shared" si="42"/>
        <v>3</v>
      </c>
      <c r="P110" s="10">
        <f t="shared" si="42"/>
        <v>1</v>
      </c>
      <c r="Q110" s="10">
        <f t="shared" si="42"/>
        <v>0</v>
      </c>
      <c r="R110" s="10">
        <f t="shared" si="42"/>
        <v>0</v>
      </c>
      <c r="S110" s="10">
        <f t="shared" si="42"/>
        <v>4.5</v>
      </c>
      <c r="T110" s="10">
        <f t="shared" si="42"/>
        <v>4.5</v>
      </c>
      <c r="U110" s="10">
        <f t="shared" si="42"/>
        <v>1.5</v>
      </c>
      <c r="V110" s="11">
        <f t="shared" si="34"/>
        <v>42</v>
      </c>
      <c r="W110" s="19">
        <f>V110/$V$150</f>
        <v>1.5591647331786542</v>
      </c>
      <c r="X110" s="13"/>
    </row>
    <row r="111" spans="2:24" s="1" customFormat="1" ht="85.5" hidden="1" outlineLevel="1" x14ac:dyDescent="0.25">
      <c r="B111" s="1">
        <v>1</v>
      </c>
      <c r="C111" s="41" t="s">
        <v>67</v>
      </c>
      <c r="D111" s="43">
        <f t="shared" ref="D111:U111" si="43">+D112*D113</f>
        <v>1</v>
      </c>
      <c r="E111" s="44">
        <f t="shared" si="43"/>
        <v>2</v>
      </c>
      <c r="F111" s="45">
        <f t="shared" si="43"/>
        <v>2</v>
      </c>
      <c r="G111" s="46">
        <f t="shared" si="43"/>
        <v>2</v>
      </c>
      <c r="H111" s="44">
        <f t="shared" si="43"/>
        <v>1</v>
      </c>
      <c r="I111" s="43">
        <f t="shared" si="43"/>
        <v>3</v>
      </c>
      <c r="J111" s="43">
        <f t="shared" si="43"/>
        <v>3</v>
      </c>
      <c r="K111" s="46">
        <f t="shared" si="43"/>
        <v>1</v>
      </c>
      <c r="L111" s="44">
        <f t="shared" si="43"/>
        <v>1</v>
      </c>
      <c r="M111" s="43">
        <f t="shared" si="43"/>
        <v>3</v>
      </c>
      <c r="N111" s="44">
        <f t="shared" si="43"/>
        <v>2</v>
      </c>
      <c r="O111" s="46">
        <f t="shared" si="43"/>
        <v>2</v>
      </c>
      <c r="P111" s="47">
        <f t="shared" si="43"/>
        <v>1</v>
      </c>
      <c r="Q111" s="43">
        <f t="shared" si="43"/>
        <v>0</v>
      </c>
      <c r="R111" s="46">
        <f t="shared" si="43"/>
        <v>0</v>
      </c>
      <c r="S111" s="43">
        <f t="shared" si="43"/>
        <v>3</v>
      </c>
      <c r="T111" s="43">
        <f t="shared" si="43"/>
        <v>3</v>
      </c>
      <c r="U111" s="46">
        <f t="shared" si="43"/>
        <v>1</v>
      </c>
      <c r="V111" s="11">
        <f t="shared" si="34"/>
        <v>31</v>
      </c>
      <c r="W111" s="19">
        <f>V111/$V$150</f>
        <v>1.1508120649651972</v>
      </c>
      <c r="X111" s="20"/>
    </row>
    <row r="112" spans="2:24" s="1" customFormat="1" hidden="1" outlineLevel="1" x14ac:dyDescent="0.25">
      <c r="C112" s="41" t="s">
        <v>27</v>
      </c>
      <c r="D112" s="27">
        <v>1</v>
      </c>
      <c r="E112" s="28">
        <v>1</v>
      </c>
      <c r="F112" s="33">
        <v>1</v>
      </c>
      <c r="G112" s="38">
        <v>1</v>
      </c>
      <c r="H112" s="28">
        <v>1</v>
      </c>
      <c r="I112" s="27">
        <v>1</v>
      </c>
      <c r="J112" s="27">
        <v>1</v>
      </c>
      <c r="K112" s="25">
        <v>1</v>
      </c>
      <c r="L112" s="37">
        <v>1</v>
      </c>
      <c r="M112" s="27">
        <v>1</v>
      </c>
      <c r="N112" s="28">
        <v>1</v>
      </c>
      <c r="O112" s="25">
        <v>1</v>
      </c>
      <c r="P112" s="36">
        <v>1</v>
      </c>
      <c r="Q112" s="26"/>
      <c r="R112" s="31"/>
      <c r="S112" s="27">
        <v>1</v>
      </c>
      <c r="T112" s="27">
        <v>1</v>
      </c>
      <c r="U112" s="25">
        <v>1</v>
      </c>
      <c r="V112" s="11">
        <f t="shared" si="34"/>
        <v>16</v>
      </c>
      <c r="W112" s="19"/>
      <c r="X112" s="20"/>
    </row>
    <row r="113" spans="2:24" s="1" customFormat="1" hidden="1" outlineLevel="1" x14ac:dyDescent="0.25">
      <c r="C113" s="41" t="s">
        <v>28</v>
      </c>
      <c r="D113" s="27">
        <v>1</v>
      </c>
      <c r="E113" s="28">
        <v>2</v>
      </c>
      <c r="F113" s="33">
        <v>2</v>
      </c>
      <c r="G113" s="38">
        <v>2</v>
      </c>
      <c r="H113" s="28">
        <v>1</v>
      </c>
      <c r="I113" s="27">
        <v>3</v>
      </c>
      <c r="J113" s="27">
        <v>3</v>
      </c>
      <c r="K113" s="25">
        <v>1</v>
      </c>
      <c r="L113" s="37">
        <v>1</v>
      </c>
      <c r="M113" s="27">
        <v>3</v>
      </c>
      <c r="N113" s="28">
        <v>2</v>
      </c>
      <c r="O113" s="25">
        <v>2</v>
      </c>
      <c r="P113" s="36">
        <v>1</v>
      </c>
      <c r="Q113" s="26"/>
      <c r="R113" s="31"/>
      <c r="S113" s="27">
        <v>3</v>
      </c>
      <c r="T113" s="27">
        <v>3</v>
      </c>
      <c r="U113" s="25">
        <v>1</v>
      </c>
      <c r="V113" s="11">
        <f t="shared" si="34"/>
        <v>31</v>
      </c>
      <c r="W113" s="19"/>
      <c r="X113" s="20"/>
    </row>
    <row r="114" spans="2:24" s="1" customFormat="1" ht="71.25" hidden="1" outlineLevel="1" x14ac:dyDescent="0.25">
      <c r="B114" s="1">
        <v>2</v>
      </c>
      <c r="C114" s="41" t="s">
        <v>68</v>
      </c>
      <c r="D114" s="52">
        <f t="shared" ref="D114:U114" si="44">+D115*D116</f>
        <v>2</v>
      </c>
      <c r="E114" s="49">
        <f t="shared" si="44"/>
        <v>2</v>
      </c>
      <c r="F114" s="50">
        <f t="shared" si="44"/>
        <v>4</v>
      </c>
      <c r="G114" s="51">
        <f t="shared" si="44"/>
        <v>4</v>
      </c>
      <c r="H114" s="49">
        <f t="shared" si="44"/>
        <v>0</v>
      </c>
      <c r="I114" s="52">
        <f t="shared" si="44"/>
        <v>6</v>
      </c>
      <c r="J114" s="52">
        <f t="shared" si="44"/>
        <v>4</v>
      </c>
      <c r="K114" s="51">
        <f t="shared" si="44"/>
        <v>2</v>
      </c>
      <c r="L114" s="49">
        <f t="shared" si="44"/>
        <v>2</v>
      </c>
      <c r="M114" s="52">
        <f t="shared" si="44"/>
        <v>6</v>
      </c>
      <c r="N114" s="49">
        <f t="shared" si="44"/>
        <v>2</v>
      </c>
      <c r="O114" s="51">
        <f t="shared" si="44"/>
        <v>4</v>
      </c>
      <c r="P114" s="53">
        <f t="shared" si="44"/>
        <v>1</v>
      </c>
      <c r="Q114" s="52">
        <f t="shared" si="44"/>
        <v>0</v>
      </c>
      <c r="R114" s="51">
        <f t="shared" si="44"/>
        <v>0</v>
      </c>
      <c r="S114" s="52">
        <f t="shared" si="44"/>
        <v>6</v>
      </c>
      <c r="T114" s="52">
        <f t="shared" si="44"/>
        <v>6</v>
      </c>
      <c r="U114" s="51">
        <f t="shared" si="44"/>
        <v>2</v>
      </c>
      <c r="V114" s="11">
        <f t="shared" si="34"/>
        <v>53</v>
      </c>
      <c r="W114" s="19">
        <f>V114/$V$150</f>
        <v>1.9675174013921113</v>
      </c>
      <c r="X114" s="20"/>
    </row>
    <row r="115" spans="2:24" s="1" customFormat="1" hidden="1" outlineLevel="1" x14ac:dyDescent="0.25">
      <c r="C115" s="41" t="s">
        <v>27</v>
      </c>
      <c r="D115" s="27">
        <v>2</v>
      </c>
      <c r="E115" s="28">
        <v>1</v>
      </c>
      <c r="F115" s="33">
        <v>2</v>
      </c>
      <c r="G115" s="38">
        <v>2</v>
      </c>
      <c r="H115" s="23"/>
      <c r="I115" s="27">
        <v>2</v>
      </c>
      <c r="J115" s="27">
        <v>2</v>
      </c>
      <c r="K115" s="25">
        <v>1</v>
      </c>
      <c r="L115" s="37">
        <v>2</v>
      </c>
      <c r="M115" s="27">
        <v>2</v>
      </c>
      <c r="N115" s="28">
        <v>2</v>
      </c>
      <c r="O115" s="25">
        <v>2</v>
      </c>
      <c r="P115" s="36">
        <v>1</v>
      </c>
      <c r="Q115" s="26"/>
      <c r="R115" s="31"/>
      <c r="S115" s="27">
        <v>2</v>
      </c>
      <c r="T115" s="27">
        <v>2</v>
      </c>
      <c r="U115" s="25">
        <v>2</v>
      </c>
      <c r="V115" s="11">
        <f t="shared" si="34"/>
        <v>27</v>
      </c>
      <c r="W115" s="19"/>
      <c r="X115" s="20"/>
    </row>
    <row r="116" spans="2:24" s="1" customFormat="1" ht="15" hidden="1" customHeight="1" outlineLevel="1" x14ac:dyDescent="0.25">
      <c r="C116" s="41" t="s">
        <v>28</v>
      </c>
      <c r="D116" s="27">
        <v>1</v>
      </c>
      <c r="E116" s="28">
        <v>2</v>
      </c>
      <c r="F116" s="33">
        <v>2</v>
      </c>
      <c r="G116" s="38">
        <v>2</v>
      </c>
      <c r="H116" s="23"/>
      <c r="I116" s="27">
        <v>3</v>
      </c>
      <c r="J116" s="27">
        <v>2</v>
      </c>
      <c r="K116" s="25">
        <v>2</v>
      </c>
      <c r="L116" s="37">
        <v>1</v>
      </c>
      <c r="M116" s="27">
        <v>3</v>
      </c>
      <c r="N116" s="28">
        <v>1</v>
      </c>
      <c r="O116" s="25">
        <v>2</v>
      </c>
      <c r="P116" s="36">
        <v>1</v>
      </c>
      <c r="Q116" s="26"/>
      <c r="R116" s="31"/>
      <c r="S116" s="27">
        <v>3</v>
      </c>
      <c r="T116" s="27">
        <v>3</v>
      </c>
      <c r="U116" s="25">
        <v>1</v>
      </c>
      <c r="V116" s="11">
        <f t="shared" si="34"/>
        <v>29</v>
      </c>
      <c r="W116" s="19"/>
      <c r="X116" s="20"/>
    </row>
    <row r="117" spans="2:24" s="1" customFormat="1" ht="28.5" collapsed="1" x14ac:dyDescent="0.25">
      <c r="C117" s="41" t="s">
        <v>69</v>
      </c>
      <c r="D117" s="10">
        <f t="shared" ref="D117:U117" si="45">+AVERAGE(D118,D121,D124,D127)</f>
        <v>5</v>
      </c>
      <c r="E117" s="10">
        <f t="shared" si="45"/>
        <v>5</v>
      </c>
      <c r="F117" s="10">
        <f t="shared" si="45"/>
        <v>4</v>
      </c>
      <c r="G117" s="10">
        <f t="shared" si="45"/>
        <v>3</v>
      </c>
      <c r="H117" s="10">
        <f t="shared" si="45"/>
        <v>1</v>
      </c>
      <c r="I117" s="10">
        <f t="shared" si="45"/>
        <v>0</v>
      </c>
      <c r="J117" s="10">
        <f t="shared" si="45"/>
        <v>0</v>
      </c>
      <c r="K117" s="10">
        <f t="shared" si="45"/>
        <v>1</v>
      </c>
      <c r="L117" s="10">
        <f t="shared" si="45"/>
        <v>0.5</v>
      </c>
      <c r="M117" s="10">
        <f t="shared" si="45"/>
        <v>0.5</v>
      </c>
      <c r="N117" s="10">
        <f t="shared" si="45"/>
        <v>0.5</v>
      </c>
      <c r="O117" s="10">
        <f t="shared" si="45"/>
        <v>0</v>
      </c>
      <c r="P117" s="10">
        <f t="shared" si="45"/>
        <v>2.5</v>
      </c>
      <c r="Q117" s="10">
        <f t="shared" si="45"/>
        <v>0</v>
      </c>
      <c r="R117" s="10">
        <f t="shared" si="45"/>
        <v>3.25</v>
      </c>
      <c r="S117" s="10">
        <f t="shared" si="45"/>
        <v>0</v>
      </c>
      <c r="T117" s="10">
        <f t="shared" si="45"/>
        <v>0</v>
      </c>
      <c r="U117" s="10">
        <f t="shared" si="45"/>
        <v>1</v>
      </c>
      <c r="V117" s="11">
        <f t="shared" si="34"/>
        <v>27.25</v>
      </c>
      <c r="W117" s="19">
        <f>V117/$V$150</f>
        <v>1.011600928074246</v>
      </c>
      <c r="X117" s="13"/>
    </row>
    <row r="118" spans="2:24" s="1" customFormat="1" ht="90" hidden="1" outlineLevel="1" x14ac:dyDescent="0.25">
      <c r="B118" s="1">
        <v>1</v>
      </c>
      <c r="C118" s="41" t="s">
        <v>70</v>
      </c>
      <c r="D118" s="43">
        <f t="shared" ref="D118:U118" si="46">+D119*D120</f>
        <v>4</v>
      </c>
      <c r="E118" s="44">
        <f t="shared" si="46"/>
        <v>6</v>
      </c>
      <c r="F118" s="45">
        <f t="shared" si="46"/>
        <v>4</v>
      </c>
      <c r="G118" s="46">
        <f t="shared" si="46"/>
        <v>2</v>
      </c>
      <c r="H118" s="44">
        <f t="shared" si="46"/>
        <v>0</v>
      </c>
      <c r="I118" s="43">
        <f t="shared" si="46"/>
        <v>0</v>
      </c>
      <c r="J118" s="43">
        <f t="shared" si="46"/>
        <v>0</v>
      </c>
      <c r="K118" s="46">
        <f t="shared" si="46"/>
        <v>0</v>
      </c>
      <c r="L118" s="44">
        <f t="shared" si="46"/>
        <v>0</v>
      </c>
      <c r="M118" s="43">
        <f t="shared" si="46"/>
        <v>0</v>
      </c>
      <c r="N118" s="44">
        <f t="shared" si="46"/>
        <v>0</v>
      </c>
      <c r="O118" s="46">
        <f t="shared" si="46"/>
        <v>0</v>
      </c>
      <c r="P118" s="47">
        <f t="shared" si="46"/>
        <v>2</v>
      </c>
      <c r="Q118" s="43">
        <f t="shared" si="46"/>
        <v>0</v>
      </c>
      <c r="R118" s="46">
        <f t="shared" si="46"/>
        <v>2</v>
      </c>
      <c r="S118" s="43">
        <f t="shared" si="46"/>
        <v>0</v>
      </c>
      <c r="T118" s="43">
        <f t="shared" si="46"/>
        <v>0</v>
      </c>
      <c r="U118" s="46">
        <f t="shared" si="46"/>
        <v>0</v>
      </c>
      <c r="V118" s="11">
        <f t="shared" si="34"/>
        <v>20</v>
      </c>
      <c r="W118" s="19">
        <f>V118/$V$150</f>
        <v>0.74245939675174011</v>
      </c>
      <c r="X118" s="20"/>
    </row>
    <row r="119" spans="2:24" s="1" customFormat="1" hidden="1" outlineLevel="1" x14ac:dyDescent="0.25">
      <c r="C119" s="41" t="s">
        <v>27</v>
      </c>
      <c r="D119" s="29">
        <v>2</v>
      </c>
      <c r="E119" s="39">
        <v>2</v>
      </c>
      <c r="F119" s="24">
        <v>2</v>
      </c>
      <c r="G119" s="38">
        <v>1</v>
      </c>
      <c r="H119" s="23"/>
      <c r="I119" s="26"/>
      <c r="J119" s="26"/>
      <c r="K119" s="31"/>
      <c r="L119" s="23"/>
      <c r="M119" s="26"/>
      <c r="N119" s="28"/>
      <c r="O119" s="25"/>
      <c r="P119" s="36">
        <v>2</v>
      </c>
      <c r="Q119" s="27"/>
      <c r="R119" s="25">
        <v>2</v>
      </c>
      <c r="S119" s="27"/>
      <c r="T119" s="27"/>
      <c r="U119" s="25"/>
      <c r="V119" s="11">
        <f t="shared" si="34"/>
        <v>11</v>
      </c>
      <c r="W119" s="19"/>
      <c r="X119" s="20"/>
    </row>
    <row r="120" spans="2:24" s="1" customFormat="1" hidden="1" outlineLevel="1" x14ac:dyDescent="0.25">
      <c r="C120" s="41" t="s">
        <v>28</v>
      </c>
      <c r="D120" s="29">
        <v>2</v>
      </c>
      <c r="E120" s="39">
        <v>3</v>
      </c>
      <c r="F120" s="24">
        <v>2</v>
      </c>
      <c r="G120" s="38">
        <v>2</v>
      </c>
      <c r="H120" s="23"/>
      <c r="I120" s="26"/>
      <c r="J120" s="26"/>
      <c r="K120" s="31"/>
      <c r="L120" s="23"/>
      <c r="M120" s="26"/>
      <c r="N120" s="28"/>
      <c r="O120" s="25"/>
      <c r="P120" s="36">
        <v>1</v>
      </c>
      <c r="Q120" s="27"/>
      <c r="R120" s="25">
        <v>1</v>
      </c>
      <c r="S120" s="27"/>
      <c r="T120" s="27"/>
      <c r="U120" s="25"/>
      <c r="V120" s="11">
        <f t="shared" si="34"/>
        <v>11</v>
      </c>
      <c r="W120" s="19"/>
      <c r="X120" s="20"/>
    </row>
    <row r="121" spans="2:24" s="1" customFormat="1" ht="71.25" hidden="1" outlineLevel="1" x14ac:dyDescent="0.25">
      <c r="B121" s="1">
        <v>2</v>
      </c>
      <c r="C121" s="41" t="s">
        <v>71</v>
      </c>
      <c r="D121" s="14">
        <f t="shared" ref="D121:U121" si="47">+D122*D123</f>
        <v>6</v>
      </c>
      <c r="E121" s="15">
        <f t="shared" si="47"/>
        <v>6</v>
      </c>
      <c r="F121" s="16">
        <f t="shared" si="47"/>
        <v>4</v>
      </c>
      <c r="G121" s="17">
        <f t="shared" si="47"/>
        <v>2</v>
      </c>
      <c r="H121" s="15">
        <f t="shared" si="47"/>
        <v>1</v>
      </c>
      <c r="I121" s="14">
        <f t="shared" si="47"/>
        <v>0</v>
      </c>
      <c r="J121" s="14">
        <f t="shared" si="47"/>
        <v>0</v>
      </c>
      <c r="K121" s="17">
        <f t="shared" si="47"/>
        <v>1</v>
      </c>
      <c r="L121" s="15">
        <f t="shared" si="47"/>
        <v>0</v>
      </c>
      <c r="M121" s="14">
        <f t="shared" si="47"/>
        <v>0</v>
      </c>
      <c r="N121" s="15">
        <f t="shared" si="47"/>
        <v>0</v>
      </c>
      <c r="O121" s="17">
        <f t="shared" si="47"/>
        <v>0</v>
      </c>
      <c r="P121" s="18">
        <f t="shared" si="47"/>
        <v>2</v>
      </c>
      <c r="Q121" s="14">
        <f t="shared" si="47"/>
        <v>0</v>
      </c>
      <c r="R121" s="17">
        <f t="shared" si="47"/>
        <v>3</v>
      </c>
      <c r="S121" s="14">
        <f t="shared" si="47"/>
        <v>0</v>
      </c>
      <c r="T121" s="14">
        <f t="shared" si="47"/>
        <v>0</v>
      </c>
      <c r="U121" s="17">
        <f t="shared" si="47"/>
        <v>0</v>
      </c>
      <c r="V121" s="11">
        <f t="shared" si="34"/>
        <v>25</v>
      </c>
      <c r="W121" s="19">
        <f>V121/$V$150</f>
        <v>0.92807424593967514</v>
      </c>
      <c r="X121" s="20"/>
    </row>
    <row r="122" spans="2:24" s="1" customFormat="1" hidden="1" outlineLevel="1" x14ac:dyDescent="0.25">
      <c r="C122" s="41" t="s">
        <v>27</v>
      </c>
      <c r="D122" s="29">
        <v>2</v>
      </c>
      <c r="E122" s="39">
        <v>2</v>
      </c>
      <c r="F122" s="24">
        <v>2</v>
      </c>
      <c r="G122" s="38">
        <v>1</v>
      </c>
      <c r="H122" s="37">
        <v>1</v>
      </c>
      <c r="I122" s="27"/>
      <c r="J122" s="27"/>
      <c r="K122" s="32">
        <v>1</v>
      </c>
      <c r="L122" s="23"/>
      <c r="M122" s="26"/>
      <c r="N122" s="23"/>
      <c r="O122" s="31"/>
      <c r="P122" s="36">
        <v>1</v>
      </c>
      <c r="Q122" s="26"/>
      <c r="R122" s="25">
        <v>1</v>
      </c>
      <c r="S122" s="26"/>
      <c r="T122" s="26"/>
      <c r="U122" s="31"/>
      <c r="V122" s="11">
        <f t="shared" si="34"/>
        <v>11</v>
      </c>
      <c r="W122" s="19"/>
      <c r="X122" s="20"/>
    </row>
    <row r="123" spans="2:24" s="1" customFormat="1" hidden="1" outlineLevel="1" x14ac:dyDescent="0.25">
      <c r="C123" s="41" t="s">
        <v>28</v>
      </c>
      <c r="D123" s="29">
        <v>3</v>
      </c>
      <c r="E123" s="39">
        <v>3</v>
      </c>
      <c r="F123" s="24">
        <v>2</v>
      </c>
      <c r="G123" s="38">
        <v>2</v>
      </c>
      <c r="H123" s="37">
        <v>1</v>
      </c>
      <c r="I123" s="27"/>
      <c r="J123" s="27"/>
      <c r="K123" s="32">
        <v>1</v>
      </c>
      <c r="L123" s="23"/>
      <c r="M123" s="26"/>
      <c r="N123" s="23"/>
      <c r="O123" s="31"/>
      <c r="P123" s="36">
        <v>2</v>
      </c>
      <c r="Q123" s="26"/>
      <c r="R123" s="25">
        <v>3</v>
      </c>
      <c r="S123" s="26"/>
      <c r="T123" s="26"/>
      <c r="U123" s="31"/>
      <c r="V123" s="11">
        <f t="shared" si="34"/>
        <v>17</v>
      </c>
      <c r="W123" s="19"/>
      <c r="X123" s="20"/>
    </row>
    <row r="124" spans="2:24" s="1" customFormat="1" ht="99.75" hidden="1" outlineLevel="1" x14ac:dyDescent="0.25">
      <c r="B124" s="1">
        <v>3</v>
      </c>
      <c r="C124" s="41" t="s">
        <v>72</v>
      </c>
      <c r="D124" s="14">
        <f t="shared" ref="D124:U124" si="48">+D125*D126</f>
        <v>4</v>
      </c>
      <c r="E124" s="15">
        <f t="shared" si="48"/>
        <v>6</v>
      </c>
      <c r="F124" s="16">
        <f t="shared" si="48"/>
        <v>4</v>
      </c>
      <c r="G124" s="17">
        <f t="shared" si="48"/>
        <v>4</v>
      </c>
      <c r="H124" s="15">
        <f t="shared" si="48"/>
        <v>0</v>
      </c>
      <c r="I124" s="14">
        <f t="shared" si="48"/>
        <v>0</v>
      </c>
      <c r="J124" s="14">
        <f t="shared" si="48"/>
        <v>0</v>
      </c>
      <c r="K124" s="17">
        <f t="shared" si="48"/>
        <v>0</v>
      </c>
      <c r="L124" s="15">
        <f t="shared" si="48"/>
        <v>0</v>
      </c>
      <c r="M124" s="14">
        <f t="shared" si="48"/>
        <v>0</v>
      </c>
      <c r="N124" s="15">
        <f t="shared" si="48"/>
        <v>0</v>
      </c>
      <c r="O124" s="17">
        <f t="shared" si="48"/>
        <v>0</v>
      </c>
      <c r="P124" s="18">
        <f t="shared" si="48"/>
        <v>4</v>
      </c>
      <c r="Q124" s="14">
        <f t="shared" si="48"/>
        <v>0</v>
      </c>
      <c r="R124" s="17">
        <f t="shared" si="48"/>
        <v>6</v>
      </c>
      <c r="S124" s="14">
        <f t="shared" si="48"/>
        <v>0</v>
      </c>
      <c r="T124" s="14">
        <f t="shared" si="48"/>
        <v>0</v>
      </c>
      <c r="U124" s="17">
        <f t="shared" si="48"/>
        <v>2</v>
      </c>
      <c r="V124" s="11">
        <f t="shared" si="34"/>
        <v>30</v>
      </c>
      <c r="W124" s="19">
        <f>V124/$V$150</f>
        <v>1.1136890951276102</v>
      </c>
      <c r="X124" s="20"/>
    </row>
    <row r="125" spans="2:24" s="1" customFormat="1" hidden="1" outlineLevel="1" x14ac:dyDescent="0.25">
      <c r="C125" s="41" t="s">
        <v>27</v>
      </c>
      <c r="D125" s="34">
        <v>2</v>
      </c>
      <c r="E125" s="34">
        <v>2</v>
      </c>
      <c r="F125" s="34">
        <v>2</v>
      </c>
      <c r="G125" s="32">
        <v>2</v>
      </c>
      <c r="H125" s="23"/>
      <c r="I125" s="26"/>
      <c r="J125" s="26"/>
      <c r="K125" s="31"/>
      <c r="L125" s="23"/>
      <c r="M125" s="26"/>
      <c r="N125" s="23"/>
      <c r="O125" s="31"/>
      <c r="P125" s="36">
        <v>2</v>
      </c>
      <c r="Q125" s="26"/>
      <c r="R125" s="25">
        <v>2</v>
      </c>
      <c r="S125" s="27"/>
      <c r="T125" s="27"/>
      <c r="U125" s="32">
        <v>1</v>
      </c>
      <c r="V125" s="11">
        <f t="shared" si="34"/>
        <v>13</v>
      </c>
      <c r="W125" s="19"/>
      <c r="X125" s="20"/>
    </row>
    <row r="126" spans="2:24" s="1" customFormat="1" hidden="1" outlineLevel="1" x14ac:dyDescent="0.25">
      <c r="C126" s="41" t="s">
        <v>28</v>
      </c>
      <c r="D126" s="34">
        <v>2</v>
      </c>
      <c r="E126" s="34">
        <v>3</v>
      </c>
      <c r="F126" s="34">
        <v>2</v>
      </c>
      <c r="G126" s="32">
        <v>2</v>
      </c>
      <c r="H126" s="23"/>
      <c r="I126" s="26"/>
      <c r="J126" s="26"/>
      <c r="K126" s="31"/>
      <c r="L126" s="23"/>
      <c r="M126" s="26"/>
      <c r="N126" s="23"/>
      <c r="O126" s="31"/>
      <c r="P126" s="36">
        <v>2</v>
      </c>
      <c r="Q126" s="26"/>
      <c r="R126" s="25">
        <v>3</v>
      </c>
      <c r="S126" s="27"/>
      <c r="T126" s="27"/>
      <c r="U126" s="32">
        <v>2</v>
      </c>
      <c r="V126" s="11">
        <f t="shared" si="34"/>
        <v>16</v>
      </c>
      <c r="W126" s="19"/>
      <c r="X126" s="20"/>
    </row>
    <row r="127" spans="2:24" s="1" customFormat="1" ht="142.5" hidden="1" outlineLevel="1" x14ac:dyDescent="0.25">
      <c r="B127" s="1">
        <v>4</v>
      </c>
      <c r="C127" s="41" t="s">
        <v>73</v>
      </c>
      <c r="D127" s="52">
        <f t="shared" ref="D127:U127" si="49">+D128*D129</f>
        <v>6</v>
      </c>
      <c r="E127" s="49">
        <f t="shared" si="49"/>
        <v>2</v>
      </c>
      <c r="F127" s="50">
        <f t="shared" si="49"/>
        <v>4</v>
      </c>
      <c r="G127" s="51">
        <f t="shared" si="49"/>
        <v>4</v>
      </c>
      <c r="H127" s="49">
        <f t="shared" si="49"/>
        <v>3</v>
      </c>
      <c r="I127" s="52">
        <f t="shared" si="49"/>
        <v>0</v>
      </c>
      <c r="J127" s="52">
        <f t="shared" si="49"/>
        <v>0</v>
      </c>
      <c r="K127" s="51">
        <f t="shared" si="49"/>
        <v>3</v>
      </c>
      <c r="L127" s="49">
        <f t="shared" si="49"/>
        <v>2</v>
      </c>
      <c r="M127" s="52">
        <f t="shared" si="49"/>
        <v>2</v>
      </c>
      <c r="N127" s="49">
        <f t="shared" si="49"/>
        <v>2</v>
      </c>
      <c r="O127" s="51">
        <f t="shared" si="49"/>
        <v>0</v>
      </c>
      <c r="P127" s="53">
        <f t="shared" si="49"/>
        <v>2</v>
      </c>
      <c r="Q127" s="52">
        <f t="shared" si="49"/>
        <v>0</v>
      </c>
      <c r="R127" s="51">
        <f t="shared" si="49"/>
        <v>2</v>
      </c>
      <c r="S127" s="52">
        <f t="shared" si="49"/>
        <v>0</v>
      </c>
      <c r="T127" s="52">
        <f t="shared" si="49"/>
        <v>0</v>
      </c>
      <c r="U127" s="51">
        <f t="shared" si="49"/>
        <v>2</v>
      </c>
      <c r="V127" s="11">
        <f t="shared" si="34"/>
        <v>34</v>
      </c>
      <c r="W127" s="19">
        <f>V127/$V$150</f>
        <v>1.2621809744779582</v>
      </c>
      <c r="X127" s="20"/>
    </row>
    <row r="128" spans="2:24" s="1" customFormat="1" hidden="1" outlineLevel="1" x14ac:dyDescent="0.25">
      <c r="C128" s="41" t="s">
        <v>27</v>
      </c>
      <c r="D128" s="27">
        <v>2</v>
      </c>
      <c r="E128" s="28">
        <v>1</v>
      </c>
      <c r="F128" s="33">
        <v>2</v>
      </c>
      <c r="G128" s="38">
        <v>2</v>
      </c>
      <c r="H128" s="23">
        <v>1</v>
      </c>
      <c r="I128" s="26"/>
      <c r="J128" s="26"/>
      <c r="K128" s="31">
        <v>1</v>
      </c>
      <c r="L128" s="39">
        <v>1</v>
      </c>
      <c r="M128" s="27">
        <v>1</v>
      </c>
      <c r="N128" s="39">
        <v>1</v>
      </c>
      <c r="O128" s="31"/>
      <c r="P128" s="36">
        <v>1</v>
      </c>
      <c r="Q128" s="27"/>
      <c r="R128" s="25">
        <v>1</v>
      </c>
      <c r="S128" s="26"/>
      <c r="T128" s="26"/>
      <c r="U128" s="25">
        <v>1</v>
      </c>
      <c r="V128" s="11">
        <f t="shared" si="34"/>
        <v>15</v>
      </c>
      <c r="W128" s="19"/>
      <c r="X128" s="20"/>
    </row>
    <row r="129" spans="2:24" s="1" customFormat="1" hidden="1" outlineLevel="1" x14ac:dyDescent="0.25">
      <c r="C129" s="41" t="s">
        <v>28</v>
      </c>
      <c r="D129" s="27">
        <v>3</v>
      </c>
      <c r="E129" s="28">
        <v>2</v>
      </c>
      <c r="F129" s="33">
        <v>2</v>
      </c>
      <c r="G129" s="38">
        <v>2</v>
      </c>
      <c r="H129" s="23">
        <v>3</v>
      </c>
      <c r="I129" s="26"/>
      <c r="J129" s="26"/>
      <c r="K129" s="31">
        <v>3</v>
      </c>
      <c r="L129" s="39">
        <v>2</v>
      </c>
      <c r="M129" s="27">
        <v>2</v>
      </c>
      <c r="N129" s="39">
        <v>2</v>
      </c>
      <c r="O129" s="31"/>
      <c r="P129" s="36">
        <v>2</v>
      </c>
      <c r="Q129" s="27"/>
      <c r="R129" s="25">
        <v>2</v>
      </c>
      <c r="S129" s="26"/>
      <c r="T129" s="26"/>
      <c r="U129" s="25">
        <v>2</v>
      </c>
      <c r="V129" s="11">
        <f t="shared" si="34"/>
        <v>27</v>
      </c>
      <c r="W129" s="19"/>
      <c r="X129" s="20"/>
    </row>
    <row r="130" spans="2:24" s="1" customFormat="1" collapsed="1" x14ac:dyDescent="0.25">
      <c r="C130" s="41" t="s">
        <v>74</v>
      </c>
      <c r="D130" s="10">
        <f t="shared" ref="D130:U130" si="50">+AVERAGE(D131,D134,D137,D140)</f>
        <v>4.25</v>
      </c>
      <c r="E130" s="10">
        <f t="shared" si="50"/>
        <v>1.5</v>
      </c>
      <c r="F130" s="10">
        <f t="shared" si="50"/>
        <v>4.25</v>
      </c>
      <c r="G130" s="10">
        <f t="shared" si="50"/>
        <v>4</v>
      </c>
      <c r="H130" s="10">
        <f t="shared" si="50"/>
        <v>0</v>
      </c>
      <c r="I130" s="10">
        <f t="shared" si="50"/>
        <v>0</v>
      </c>
      <c r="J130" s="10">
        <f t="shared" si="50"/>
        <v>0</v>
      </c>
      <c r="K130" s="10">
        <f t="shared" si="50"/>
        <v>0.25</v>
      </c>
      <c r="L130" s="10">
        <f t="shared" si="50"/>
        <v>1</v>
      </c>
      <c r="M130" s="10">
        <f t="shared" si="50"/>
        <v>1.5</v>
      </c>
      <c r="N130" s="10">
        <f t="shared" si="50"/>
        <v>0</v>
      </c>
      <c r="O130" s="10">
        <f t="shared" si="50"/>
        <v>0</v>
      </c>
      <c r="P130" s="10">
        <f t="shared" si="50"/>
        <v>0.5</v>
      </c>
      <c r="Q130" s="10">
        <f t="shared" si="50"/>
        <v>0</v>
      </c>
      <c r="R130" s="10">
        <f t="shared" si="50"/>
        <v>1</v>
      </c>
      <c r="S130" s="10">
        <f t="shared" si="50"/>
        <v>0</v>
      </c>
      <c r="T130" s="10">
        <f t="shared" si="50"/>
        <v>0</v>
      </c>
      <c r="U130" s="10">
        <f t="shared" si="50"/>
        <v>0.25</v>
      </c>
      <c r="V130" s="11">
        <f t="shared" si="34"/>
        <v>18.5</v>
      </c>
      <c r="W130" s="19">
        <f>V130/$V$150</f>
        <v>0.6867749419953596</v>
      </c>
      <c r="X130" s="13"/>
    </row>
    <row r="131" spans="2:24" s="1" customFormat="1" ht="85.5" hidden="1" outlineLevel="1" x14ac:dyDescent="0.25">
      <c r="B131" s="1">
        <v>1</v>
      </c>
      <c r="C131" s="41" t="s">
        <v>75</v>
      </c>
      <c r="D131" s="43">
        <f t="shared" ref="D131:U131" si="51">+D132*D133</f>
        <v>6</v>
      </c>
      <c r="E131" s="44">
        <f t="shared" si="51"/>
        <v>6</v>
      </c>
      <c r="F131" s="45">
        <f t="shared" si="51"/>
        <v>6</v>
      </c>
      <c r="G131" s="46">
        <f t="shared" si="51"/>
        <v>2</v>
      </c>
      <c r="H131" s="44">
        <f t="shared" si="51"/>
        <v>0</v>
      </c>
      <c r="I131" s="43">
        <f t="shared" si="51"/>
        <v>0</v>
      </c>
      <c r="J131" s="43">
        <f t="shared" si="51"/>
        <v>0</v>
      </c>
      <c r="K131" s="46">
        <f t="shared" si="51"/>
        <v>0</v>
      </c>
      <c r="L131" s="44">
        <f t="shared" si="51"/>
        <v>0</v>
      </c>
      <c r="M131" s="43">
        <f t="shared" si="51"/>
        <v>4</v>
      </c>
      <c r="N131" s="44">
        <f t="shared" si="51"/>
        <v>0</v>
      </c>
      <c r="O131" s="46">
        <f t="shared" si="51"/>
        <v>0</v>
      </c>
      <c r="P131" s="47">
        <f t="shared" si="51"/>
        <v>2</v>
      </c>
      <c r="Q131" s="43">
        <f t="shared" si="51"/>
        <v>0</v>
      </c>
      <c r="R131" s="46">
        <f t="shared" si="51"/>
        <v>2</v>
      </c>
      <c r="S131" s="43">
        <f t="shared" si="51"/>
        <v>0</v>
      </c>
      <c r="T131" s="43">
        <f t="shared" si="51"/>
        <v>0</v>
      </c>
      <c r="U131" s="46">
        <f t="shared" si="51"/>
        <v>1</v>
      </c>
      <c r="V131" s="11">
        <f t="shared" si="34"/>
        <v>29</v>
      </c>
      <c r="W131" s="19">
        <f>V131/$V$150</f>
        <v>1.0765661252900232</v>
      </c>
      <c r="X131" s="20"/>
    </row>
    <row r="132" spans="2:24" s="1" customFormat="1" hidden="1" outlineLevel="1" x14ac:dyDescent="0.25">
      <c r="C132" s="41" t="s">
        <v>27</v>
      </c>
      <c r="D132" s="29">
        <v>2</v>
      </c>
      <c r="E132" s="27">
        <v>2</v>
      </c>
      <c r="F132" s="29">
        <v>2</v>
      </c>
      <c r="G132" s="32">
        <v>1</v>
      </c>
      <c r="H132" s="23"/>
      <c r="I132" s="26"/>
      <c r="J132" s="26"/>
      <c r="K132" s="31"/>
      <c r="L132" s="23"/>
      <c r="M132" s="29">
        <v>2</v>
      </c>
      <c r="N132" s="23"/>
      <c r="O132" s="31"/>
      <c r="P132" s="36">
        <v>1</v>
      </c>
      <c r="Q132" s="26"/>
      <c r="R132" s="25">
        <v>1</v>
      </c>
      <c r="S132" s="27"/>
      <c r="T132" s="27"/>
      <c r="U132" s="32">
        <v>1</v>
      </c>
      <c r="V132" s="11">
        <f t="shared" si="34"/>
        <v>12</v>
      </c>
      <c r="W132" s="19"/>
      <c r="X132" s="20"/>
    </row>
    <row r="133" spans="2:24" s="1" customFormat="1" hidden="1" outlineLevel="1" x14ac:dyDescent="0.25">
      <c r="C133" s="41" t="s">
        <v>28</v>
      </c>
      <c r="D133" s="29">
        <v>3</v>
      </c>
      <c r="E133" s="27">
        <v>3</v>
      </c>
      <c r="F133" s="29">
        <v>3</v>
      </c>
      <c r="G133" s="32">
        <v>2</v>
      </c>
      <c r="H133" s="23"/>
      <c r="I133" s="26"/>
      <c r="J133" s="26"/>
      <c r="K133" s="31"/>
      <c r="L133" s="23"/>
      <c r="M133" s="29">
        <v>2</v>
      </c>
      <c r="N133" s="23"/>
      <c r="O133" s="31"/>
      <c r="P133" s="36">
        <v>2</v>
      </c>
      <c r="Q133" s="26"/>
      <c r="R133" s="25">
        <v>2</v>
      </c>
      <c r="S133" s="27"/>
      <c r="T133" s="27"/>
      <c r="U133" s="32">
        <v>1</v>
      </c>
      <c r="V133" s="11">
        <f t="shared" si="34"/>
        <v>18</v>
      </c>
      <c r="W133" s="19"/>
      <c r="X133" s="20"/>
    </row>
    <row r="134" spans="2:24" s="1" customFormat="1" ht="71.25" hidden="1" outlineLevel="1" x14ac:dyDescent="0.25">
      <c r="B134" s="1">
        <v>2</v>
      </c>
      <c r="C134" s="41" t="s">
        <v>76</v>
      </c>
      <c r="D134" s="14">
        <f t="shared" ref="D134:U134" si="52">+D135*D136</f>
        <v>4</v>
      </c>
      <c r="E134" s="15">
        <f t="shared" si="52"/>
        <v>0</v>
      </c>
      <c r="F134" s="16">
        <f t="shared" si="52"/>
        <v>4</v>
      </c>
      <c r="G134" s="17">
        <f t="shared" si="52"/>
        <v>6</v>
      </c>
      <c r="H134" s="15">
        <f t="shared" si="52"/>
        <v>0</v>
      </c>
      <c r="I134" s="14">
        <f t="shared" si="52"/>
        <v>0</v>
      </c>
      <c r="J134" s="14">
        <f t="shared" si="52"/>
        <v>0</v>
      </c>
      <c r="K134" s="17">
        <f t="shared" si="52"/>
        <v>0</v>
      </c>
      <c r="L134" s="15">
        <f t="shared" si="52"/>
        <v>0</v>
      </c>
      <c r="M134" s="14">
        <f t="shared" si="52"/>
        <v>1</v>
      </c>
      <c r="N134" s="15">
        <f t="shared" si="52"/>
        <v>0</v>
      </c>
      <c r="O134" s="17">
        <f t="shared" si="52"/>
        <v>0</v>
      </c>
      <c r="P134" s="18">
        <f t="shared" si="52"/>
        <v>0</v>
      </c>
      <c r="Q134" s="14">
        <f t="shared" si="52"/>
        <v>0</v>
      </c>
      <c r="R134" s="17">
        <f t="shared" si="52"/>
        <v>0</v>
      </c>
      <c r="S134" s="14">
        <f t="shared" si="52"/>
        <v>0</v>
      </c>
      <c r="T134" s="14">
        <f t="shared" si="52"/>
        <v>0</v>
      </c>
      <c r="U134" s="17">
        <f t="shared" si="52"/>
        <v>0</v>
      </c>
      <c r="V134" s="11">
        <f t="shared" si="34"/>
        <v>15</v>
      </c>
      <c r="W134" s="19">
        <f>V134/$V$150</f>
        <v>0.55684454756380508</v>
      </c>
      <c r="X134" s="20"/>
    </row>
    <row r="135" spans="2:24" s="1" customFormat="1" hidden="1" outlineLevel="1" x14ac:dyDescent="0.25">
      <c r="C135" s="41" t="s">
        <v>27</v>
      </c>
      <c r="D135" s="27">
        <v>2</v>
      </c>
      <c r="E135" s="23"/>
      <c r="F135" s="34">
        <v>2</v>
      </c>
      <c r="G135" s="37">
        <v>2</v>
      </c>
      <c r="H135" s="23"/>
      <c r="I135" s="26"/>
      <c r="J135" s="26"/>
      <c r="K135" s="25"/>
      <c r="L135" s="23"/>
      <c r="M135" s="29">
        <v>1</v>
      </c>
      <c r="N135" s="23"/>
      <c r="O135" s="31"/>
      <c r="P135" s="30"/>
      <c r="Q135" s="26"/>
      <c r="R135" s="31"/>
      <c r="S135" s="26"/>
      <c r="T135" s="26"/>
      <c r="U135" s="31"/>
      <c r="V135" s="11">
        <f t="shared" si="34"/>
        <v>7</v>
      </c>
      <c r="W135" s="19"/>
      <c r="X135" s="20"/>
    </row>
    <row r="136" spans="2:24" s="1" customFormat="1" hidden="1" outlineLevel="1" x14ac:dyDescent="0.25">
      <c r="C136" s="41" t="s">
        <v>28</v>
      </c>
      <c r="D136" s="27">
        <v>2</v>
      </c>
      <c r="E136" s="23"/>
      <c r="F136" s="34">
        <v>2</v>
      </c>
      <c r="G136" s="37">
        <v>3</v>
      </c>
      <c r="H136" s="23"/>
      <c r="I136" s="26"/>
      <c r="J136" s="26"/>
      <c r="K136" s="25"/>
      <c r="L136" s="23"/>
      <c r="M136" s="29">
        <v>1</v>
      </c>
      <c r="N136" s="23"/>
      <c r="O136" s="31"/>
      <c r="P136" s="30"/>
      <c r="Q136" s="26"/>
      <c r="R136" s="31"/>
      <c r="S136" s="26"/>
      <c r="T136" s="26"/>
      <c r="U136" s="31"/>
      <c r="V136" s="11">
        <f t="shared" si="34"/>
        <v>8</v>
      </c>
      <c r="W136" s="19"/>
      <c r="X136" s="20"/>
    </row>
    <row r="137" spans="2:24" s="1" customFormat="1" ht="85.5" hidden="1" outlineLevel="1" x14ac:dyDescent="0.25">
      <c r="B137" s="1">
        <v>3</v>
      </c>
      <c r="C137" s="41" t="s">
        <v>77</v>
      </c>
      <c r="D137" s="14">
        <f t="shared" ref="D137:U137" si="53">+D138*D139</f>
        <v>1</v>
      </c>
      <c r="E137" s="15">
        <f t="shared" si="53"/>
        <v>0</v>
      </c>
      <c r="F137" s="16">
        <f t="shared" si="53"/>
        <v>1</v>
      </c>
      <c r="G137" s="17">
        <f t="shared" si="53"/>
        <v>6</v>
      </c>
      <c r="H137" s="15">
        <f t="shared" si="53"/>
        <v>0</v>
      </c>
      <c r="I137" s="14">
        <f t="shared" si="53"/>
        <v>0</v>
      </c>
      <c r="J137" s="14">
        <f t="shared" si="53"/>
        <v>0</v>
      </c>
      <c r="K137" s="17">
        <f t="shared" si="53"/>
        <v>1</v>
      </c>
      <c r="L137" s="15">
        <f t="shared" si="53"/>
        <v>4</v>
      </c>
      <c r="M137" s="14">
        <f t="shared" si="53"/>
        <v>0</v>
      </c>
      <c r="N137" s="15">
        <f t="shared" si="53"/>
        <v>0</v>
      </c>
      <c r="O137" s="17">
        <f t="shared" si="53"/>
        <v>0</v>
      </c>
      <c r="P137" s="18">
        <f t="shared" si="53"/>
        <v>0</v>
      </c>
      <c r="Q137" s="14">
        <f t="shared" si="53"/>
        <v>0</v>
      </c>
      <c r="R137" s="17">
        <f t="shared" si="53"/>
        <v>0</v>
      </c>
      <c r="S137" s="14">
        <f t="shared" si="53"/>
        <v>0</v>
      </c>
      <c r="T137" s="14">
        <f t="shared" si="53"/>
        <v>0</v>
      </c>
      <c r="U137" s="17">
        <f t="shared" si="53"/>
        <v>0</v>
      </c>
      <c r="V137" s="11">
        <f t="shared" si="34"/>
        <v>13</v>
      </c>
      <c r="W137" s="19">
        <f>V137/$V$150</f>
        <v>0.48259860788863107</v>
      </c>
      <c r="X137" s="20"/>
    </row>
    <row r="138" spans="2:24" s="1" customFormat="1" hidden="1" outlineLevel="1" x14ac:dyDescent="0.25">
      <c r="C138" s="41" t="s">
        <v>27</v>
      </c>
      <c r="D138" s="26">
        <v>1</v>
      </c>
      <c r="E138" s="23"/>
      <c r="F138" s="34">
        <v>1</v>
      </c>
      <c r="G138" s="38">
        <v>2</v>
      </c>
      <c r="H138" s="23"/>
      <c r="I138" s="26"/>
      <c r="J138" s="26"/>
      <c r="K138" s="25">
        <v>1</v>
      </c>
      <c r="L138" s="28">
        <v>2</v>
      </c>
      <c r="M138" s="27"/>
      <c r="N138" s="23"/>
      <c r="O138" s="31"/>
      <c r="P138" s="30"/>
      <c r="Q138" s="26"/>
      <c r="R138" s="31"/>
      <c r="S138" s="26"/>
      <c r="T138" s="26"/>
      <c r="U138" s="31"/>
      <c r="V138" s="11">
        <f t="shared" si="34"/>
        <v>7</v>
      </c>
      <c r="W138" s="19"/>
      <c r="X138" s="20"/>
    </row>
    <row r="139" spans="2:24" s="1" customFormat="1" hidden="1" outlineLevel="1" x14ac:dyDescent="0.25">
      <c r="C139" s="41" t="s">
        <v>28</v>
      </c>
      <c r="D139" s="26">
        <v>1</v>
      </c>
      <c r="E139" s="23"/>
      <c r="F139" s="34">
        <v>1</v>
      </c>
      <c r="G139" s="38">
        <v>3</v>
      </c>
      <c r="H139" s="23"/>
      <c r="I139" s="26"/>
      <c r="J139" s="26"/>
      <c r="K139" s="25">
        <v>1</v>
      </c>
      <c r="L139" s="28">
        <v>2</v>
      </c>
      <c r="M139" s="27"/>
      <c r="N139" s="23"/>
      <c r="O139" s="31"/>
      <c r="P139" s="30"/>
      <c r="Q139" s="26"/>
      <c r="R139" s="31"/>
      <c r="S139" s="26"/>
      <c r="T139" s="26"/>
      <c r="U139" s="31"/>
      <c r="V139" s="11">
        <f t="shared" si="34"/>
        <v>8</v>
      </c>
      <c r="W139" s="19"/>
      <c r="X139" s="20"/>
    </row>
    <row r="140" spans="2:24" s="1" customFormat="1" ht="85.5" hidden="1" outlineLevel="1" x14ac:dyDescent="0.25">
      <c r="B140" s="1">
        <v>4</v>
      </c>
      <c r="C140" s="41" t="s">
        <v>78</v>
      </c>
      <c r="D140" s="56">
        <f t="shared" ref="D140:U140" si="54">+D141*D142</f>
        <v>6</v>
      </c>
      <c r="E140" s="57">
        <f t="shared" si="54"/>
        <v>0</v>
      </c>
      <c r="F140" s="58">
        <f t="shared" si="54"/>
        <v>6</v>
      </c>
      <c r="G140" s="59">
        <f t="shared" si="54"/>
        <v>2</v>
      </c>
      <c r="H140" s="57">
        <f t="shared" si="54"/>
        <v>0</v>
      </c>
      <c r="I140" s="56">
        <f t="shared" si="54"/>
        <v>0</v>
      </c>
      <c r="J140" s="56">
        <f t="shared" si="54"/>
        <v>0</v>
      </c>
      <c r="K140" s="59">
        <f t="shared" si="54"/>
        <v>0</v>
      </c>
      <c r="L140" s="57">
        <f t="shared" si="54"/>
        <v>0</v>
      </c>
      <c r="M140" s="56">
        <f t="shared" si="54"/>
        <v>1</v>
      </c>
      <c r="N140" s="57">
        <f t="shared" si="54"/>
        <v>0</v>
      </c>
      <c r="O140" s="59">
        <f t="shared" si="54"/>
        <v>0</v>
      </c>
      <c r="P140" s="60">
        <f t="shared" si="54"/>
        <v>0</v>
      </c>
      <c r="Q140" s="56">
        <f t="shared" si="54"/>
        <v>0</v>
      </c>
      <c r="R140" s="59">
        <f t="shared" si="54"/>
        <v>2</v>
      </c>
      <c r="S140" s="56">
        <f t="shared" si="54"/>
        <v>0</v>
      </c>
      <c r="T140" s="56">
        <f t="shared" si="54"/>
        <v>0</v>
      </c>
      <c r="U140" s="59">
        <f t="shared" si="54"/>
        <v>0</v>
      </c>
      <c r="V140" s="11">
        <f t="shared" si="34"/>
        <v>17</v>
      </c>
      <c r="W140" s="19">
        <f>V140/$V$150</f>
        <v>0.63109048723897909</v>
      </c>
      <c r="X140" s="20"/>
    </row>
    <row r="141" spans="2:24" s="1" customFormat="1" hidden="1" outlineLevel="1" x14ac:dyDescent="0.25">
      <c r="C141" s="41" t="s">
        <v>27</v>
      </c>
      <c r="D141" s="29">
        <v>2</v>
      </c>
      <c r="E141" s="28"/>
      <c r="F141" s="33">
        <v>2</v>
      </c>
      <c r="G141" s="32">
        <v>2</v>
      </c>
      <c r="H141" s="23"/>
      <c r="I141" s="26"/>
      <c r="J141" s="26"/>
      <c r="K141" s="31"/>
      <c r="L141" s="23"/>
      <c r="M141" s="27">
        <v>1</v>
      </c>
      <c r="N141" s="28"/>
      <c r="O141" s="25"/>
      <c r="P141" s="36"/>
      <c r="Q141" s="27"/>
      <c r="R141" s="32">
        <v>1</v>
      </c>
      <c r="S141" s="27"/>
      <c r="T141" s="27"/>
      <c r="U141" s="25"/>
      <c r="V141" s="11">
        <f t="shared" si="34"/>
        <v>8</v>
      </c>
      <c r="W141" s="19"/>
      <c r="X141" s="20"/>
    </row>
    <row r="142" spans="2:24" s="1" customFormat="1" hidden="1" outlineLevel="1" x14ac:dyDescent="0.25">
      <c r="C142" s="41" t="s">
        <v>28</v>
      </c>
      <c r="D142" s="29">
        <v>3</v>
      </c>
      <c r="E142" s="28"/>
      <c r="F142" s="33">
        <v>3</v>
      </c>
      <c r="G142" s="32">
        <v>1</v>
      </c>
      <c r="H142" s="23"/>
      <c r="I142" s="26"/>
      <c r="J142" s="26"/>
      <c r="K142" s="31"/>
      <c r="L142" s="23"/>
      <c r="M142" s="27">
        <v>1</v>
      </c>
      <c r="N142" s="28"/>
      <c r="O142" s="25"/>
      <c r="P142" s="36"/>
      <c r="Q142" s="27"/>
      <c r="R142" s="32">
        <v>2</v>
      </c>
      <c r="S142" s="27"/>
      <c r="T142" s="27"/>
      <c r="U142" s="25"/>
      <c r="V142" s="11">
        <f t="shared" si="34"/>
        <v>10</v>
      </c>
      <c r="W142" s="19"/>
      <c r="X142" s="20"/>
    </row>
    <row r="143" spans="2:24" s="1" customFormat="1" collapsed="1" x14ac:dyDescent="0.25">
      <c r="C143" s="41" t="s">
        <v>79</v>
      </c>
      <c r="D143" s="10">
        <f t="shared" ref="D143:U143" si="55">+AVERAGE(D144,D147)</f>
        <v>4</v>
      </c>
      <c r="E143" s="10">
        <f t="shared" si="55"/>
        <v>0.5</v>
      </c>
      <c r="F143" s="10">
        <f t="shared" si="55"/>
        <v>2.5</v>
      </c>
      <c r="G143" s="10">
        <f t="shared" si="55"/>
        <v>2</v>
      </c>
      <c r="H143" s="10">
        <f t="shared" si="55"/>
        <v>0.5</v>
      </c>
      <c r="I143" s="10">
        <f t="shared" si="55"/>
        <v>1</v>
      </c>
      <c r="J143" s="10">
        <f t="shared" si="55"/>
        <v>0.5</v>
      </c>
      <c r="K143" s="10">
        <f t="shared" si="55"/>
        <v>0.5</v>
      </c>
      <c r="L143" s="10">
        <f t="shared" si="55"/>
        <v>0</v>
      </c>
      <c r="M143" s="10">
        <f t="shared" si="55"/>
        <v>3</v>
      </c>
      <c r="N143" s="10">
        <f t="shared" si="55"/>
        <v>1</v>
      </c>
      <c r="O143" s="10">
        <f t="shared" si="55"/>
        <v>2</v>
      </c>
      <c r="P143" s="10">
        <f t="shared" si="55"/>
        <v>1</v>
      </c>
      <c r="Q143" s="10">
        <f t="shared" si="55"/>
        <v>0</v>
      </c>
      <c r="R143" s="10">
        <f t="shared" si="55"/>
        <v>1</v>
      </c>
      <c r="S143" s="10">
        <f t="shared" si="55"/>
        <v>0.5</v>
      </c>
      <c r="T143" s="10">
        <f t="shared" si="55"/>
        <v>0.5</v>
      </c>
      <c r="U143" s="10">
        <f t="shared" si="55"/>
        <v>0</v>
      </c>
      <c r="V143" s="11">
        <f t="shared" si="34"/>
        <v>20.5</v>
      </c>
      <c r="W143" s="19">
        <f>V143/$V$150</f>
        <v>0.76102088167053361</v>
      </c>
      <c r="X143" s="13"/>
    </row>
    <row r="144" spans="2:24" s="1" customFormat="1" ht="30" hidden="1" customHeight="1" outlineLevel="1" x14ac:dyDescent="0.25">
      <c r="B144" s="1">
        <v>1</v>
      </c>
      <c r="C144" s="42" t="s">
        <v>80</v>
      </c>
      <c r="D144" s="43">
        <f t="shared" ref="D144:U144" si="56">+D145*D146</f>
        <v>6</v>
      </c>
      <c r="E144" s="44">
        <f t="shared" si="56"/>
        <v>1</v>
      </c>
      <c r="F144" s="45">
        <f t="shared" si="56"/>
        <v>4</v>
      </c>
      <c r="G144" s="46">
        <f t="shared" si="56"/>
        <v>2</v>
      </c>
      <c r="H144" s="44">
        <f t="shared" si="56"/>
        <v>0</v>
      </c>
      <c r="I144" s="43">
        <f t="shared" si="56"/>
        <v>0</v>
      </c>
      <c r="J144" s="43">
        <f t="shared" si="56"/>
        <v>0</v>
      </c>
      <c r="K144" s="46">
        <f t="shared" si="56"/>
        <v>0</v>
      </c>
      <c r="L144" s="44">
        <f t="shared" si="56"/>
        <v>0</v>
      </c>
      <c r="M144" s="43">
        <f t="shared" si="56"/>
        <v>2</v>
      </c>
      <c r="N144" s="44">
        <f t="shared" si="56"/>
        <v>0</v>
      </c>
      <c r="O144" s="46">
        <f t="shared" si="56"/>
        <v>0</v>
      </c>
      <c r="P144" s="47">
        <f t="shared" si="56"/>
        <v>1</v>
      </c>
      <c r="Q144" s="43">
        <f t="shared" si="56"/>
        <v>0</v>
      </c>
      <c r="R144" s="46">
        <f t="shared" si="56"/>
        <v>2</v>
      </c>
      <c r="S144" s="43">
        <f t="shared" si="56"/>
        <v>0</v>
      </c>
      <c r="T144" s="43">
        <f t="shared" si="56"/>
        <v>1</v>
      </c>
      <c r="U144" s="46">
        <f t="shared" si="56"/>
        <v>0</v>
      </c>
      <c r="V144" s="61">
        <f>+AVERAGE(H144:U144)</f>
        <v>0.42857142857142855</v>
      </c>
      <c r="W144" s="46"/>
      <c r="X144" s="3"/>
    </row>
    <row r="145" spans="1:30" s="1" customFormat="1" ht="15" hidden="1" customHeight="1" outlineLevel="1" x14ac:dyDescent="0.25">
      <c r="C145" s="21" t="s">
        <v>27</v>
      </c>
      <c r="D145" s="27">
        <v>2</v>
      </c>
      <c r="E145" s="27">
        <v>1</v>
      </c>
      <c r="F145" s="33">
        <v>2</v>
      </c>
      <c r="G145" s="32">
        <v>2</v>
      </c>
      <c r="H145" s="28"/>
      <c r="I145" s="27"/>
      <c r="J145" s="27"/>
      <c r="K145" s="25"/>
      <c r="L145" s="28"/>
      <c r="M145" s="27">
        <v>1</v>
      </c>
      <c r="N145" s="28"/>
      <c r="O145" s="25"/>
      <c r="P145" s="36">
        <v>1</v>
      </c>
      <c r="Q145" s="27"/>
      <c r="R145" s="25">
        <v>2</v>
      </c>
      <c r="S145" s="27"/>
      <c r="T145" s="62">
        <v>1</v>
      </c>
      <c r="U145" s="25"/>
      <c r="V145" s="61"/>
      <c r="W145" s="17"/>
      <c r="X145" s="3"/>
    </row>
    <row r="146" spans="1:30" s="1" customFormat="1" ht="15" hidden="1" customHeight="1" outlineLevel="1" x14ac:dyDescent="0.25">
      <c r="C146" s="21" t="s">
        <v>28</v>
      </c>
      <c r="D146" s="27">
        <v>3</v>
      </c>
      <c r="E146" s="27">
        <v>1</v>
      </c>
      <c r="F146" s="33">
        <v>2</v>
      </c>
      <c r="G146" s="32">
        <v>1</v>
      </c>
      <c r="H146" s="28"/>
      <c r="I146" s="27"/>
      <c r="J146" s="27"/>
      <c r="K146" s="25"/>
      <c r="L146" s="28"/>
      <c r="M146" s="27">
        <v>2</v>
      </c>
      <c r="N146" s="28"/>
      <c r="O146" s="25"/>
      <c r="P146" s="36">
        <v>1</v>
      </c>
      <c r="Q146" s="27"/>
      <c r="R146" s="25">
        <v>1</v>
      </c>
      <c r="S146" s="27"/>
      <c r="T146" s="62">
        <v>1</v>
      </c>
      <c r="U146" s="25"/>
      <c r="V146" s="61"/>
      <c r="W146" s="17"/>
      <c r="X146" s="3"/>
    </row>
    <row r="147" spans="1:30" s="1" customFormat="1" ht="15" hidden="1" customHeight="1" outlineLevel="1" x14ac:dyDescent="0.25">
      <c r="B147" s="1">
        <v>2</v>
      </c>
      <c r="C147" s="63" t="s">
        <v>81</v>
      </c>
      <c r="D147" s="64">
        <f t="shared" ref="D147:U147" si="57">+D148*D149</f>
        <v>2</v>
      </c>
      <c r="E147" s="65">
        <f t="shared" si="57"/>
        <v>0</v>
      </c>
      <c r="F147" s="66">
        <f t="shared" si="57"/>
        <v>1</v>
      </c>
      <c r="G147" s="67">
        <f t="shared" si="57"/>
        <v>2</v>
      </c>
      <c r="H147" s="65">
        <f t="shared" si="57"/>
        <v>1</v>
      </c>
      <c r="I147" s="64">
        <f t="shared" si="57"/>
        <v>2</v>
      </c>
      <c r="J147" s="64">
        <f t="shared" si="57"/>
        <v>1</v>
      </c>
      <c r="K147" s="67">
        <f t="shared" si="57"/>
        <v>1</v>
      </c>
      <c r="L147" s="65">
        <f t="shared" si="57"/>
        <v>0</v>
      </c>
      <c r="M147" s="64">
        <f t="shared" si="57"/>
        <v>4</v>
      </c>
      <c r="N147" s="65">
        <f t="shared" si="57"/>
        <v>2</v>
      </c>
      <c r="O147" s="67">
        <f t="shared" si="57"/>
        <v>4</v>
      </c>
      <c r="P147" s="68">
        <f t="shared" si="57"/>
        <v>1</v>
      </c>
      <c r="Q147" s="64">
        <f t="shared" si="57"/>
        <v>0</v>
      </c>
      <c r="R147" s="67">
        <f t="shared" si="57"/>
        <v>0</v>
      </c>
      <c r="S147" s="64">
        <f t="shared" si="57"/>
        <v>1</v>
      </c>
      <c r="T147" s="64">
        <f t="shared" si="57"/>
        <v>0</v>
      </c>
      <c r="U147" s="67">
        <f t="shared" si="57"/>
        <v>0</v>
      </c>
      <c r="V147" s="61">
        <f>+AVERAGE(H147:U147)</f>
        <v>1.2142857142857142</v>
      </c>
      <c r="W147" s="67"/>
      <c r="X147" s="3"/>
    </row>
    <row r="148" spans="1:30" s="1" customFormat="1" ht="15" hidden="1" customHeight="1" outlineLevel="1" x14ac:dyDescent="0.25">
      <c r="C148" s="21" t="s">
        <v>27</v>
      </c>
      <c r="D148" s="27">
        <v>1</v>
      </c>
      <c r="E148" s="27"/>
      <c r="F148" s="27">
        <v>1</v>
      </c>
      <c r="G148" s="32">
        <v>2</v>
      </c>
      <c r="H148" s="28">
        <v>1</v>
      </c>
      <c r="I148" s="62">
        <v>2</v>
      </c>
      <c r="J148" s="62">
        <v>1</v>
      </c>
      <c r="K148" s="69">
        <v>1</v>
      </c>
      <c r="L148" s="28"/>
      <c r="M148" s="27">
        <v>2</v>
      </c>
      <c r="N148" s="28">
        <v>2</v>
      </c>
      <c r="O148" s="25">
        <v>2</v>
      </c>
      <c r="P148" s="36">
        <v>1</v>
      </c>
      <c r="Q148" s="27"/>
      <c r="R148" s="25"/>
      <c r="S148" s="27">
        <v>1</v>
      </c>
      <c r="T148" s="27"/>
      <c r="U148" s="25"/>
      <c r="V148" s="70"/>
      <c r="W148" s="57"/>
      <c r="X148" s="3"/>
    </row>
    <row r="149" spans="1:30" s="1" customFormat="1" ht="15" hidden="1" customHeight="1" outlineLevel="1" x14ac:dyDescent="0.25">
      <c r="C149" s="21" t="s">
        <v>28</v>
      </c>
      <c r="D149" s="27">
        <v>2</v>
      </c>
      <c r="E149" s="27"/>
      <c r="F149" s="27">
        <v>1</v>
      </c>
      <c r="G149" s="32">
        <v>1</v>
      </c>
      <c r="H149" s="28">
        <v>1</v>
      </c>
      <c r="I149" s="62">
        <v>1</v>
      </c>
      <c r="J149" s="62">
        <v>1</v>
      </c>
      <c r="K149" s="69">
        <v>1</v>
      </c>
      <c r="L149" s="28"/>
      <c r="M149" s="27">
        <v>2</v>
      </c>
      <c r="N149" s="28">
        <v>1</v>
      </c>
      <c r="O149" s="25">
        <v>2</v>
      </c>
      <c r="P149" s="36">
        <v>1</v>
      </c>
      <c r="Q149" s="27"/>
      <c r="R149" s="25"/>
      <c r="S149" s="27">
        <v>1</v>
      </c>
      <c r="T149" s="27"/>
      <c r="U149" s="25"/>
      <c r="V149" s="70"/>
      <c r="W149" s="57"/>
      <c r="X149" s="3"/>
    </row>
    <row r="150" spans="1:30" collapsed="1" x14ac:dyDescent="0.25">
      <c r="A150" s="3"/>
      <c r="D150" s="3">
        <f t="shared" ref="D150:U150" si="58">+SUM(D143,D130,D117,D110,D103,D90,D77,D67,D54,D5)</f>
        <v>23.625</v>
      </c>
      <c r="E150" s="3">
        <f t="shared" si="58"/>
        <v>10.5625</v>
      </c>
      <c r="F150" s="3">
        <f t="shared" si="58"/>
        <v>20.5625</v>
      </c>
      <c r="G150" s="3">
        <f t="shared" si="58"/>
        <v>15</v>
      </c>
      <c r="H150" s="3">
        <f t="shared" si="58"/>
        <v>6.375</v>
      </c>
      <c r="I150" s="3">
        <f t="shared" si="58"/>
        <v>11.4375</v>
      </c>
      <c r="J150" s="3">
        <f t="shared" si="58"/>
        <v>11</v>
      </c>
      <c r="K150" s="3">
        <f t="shared" si="58"/>
        <v>9.125</v>
      </c>
      <c r="L150" s="3">
        <f t="shared" si="58"/>
        <v>10.6875</v>
      </c>
      <c r="M150" s="3">
        <f t="shared" si="58"/>
        <v>27.375</v>
      </c>
      <c r="N150" s="3">
        <f t="shared" si="58"/>
        <v>8.8125</v>
      </c>
      <c r="O150" s="3">
        <f t="shared" si="58"/>
        <v>14.8125</v>
      </c>
      <c r="P150" s="3">
        <f t="shared" si="58"/>
        <v>19.125</v>
      </c>
      <c r="Q150" s="3">
        <f t="shared" si="58"/>
        <v>10.3125</v>
      </c>
      <c r="R150" s="3">
        <f t="shared" si="58"/>
        <v>9.3125</v>
      </c>
      <c r="S150" s="3">
        <f t="shared" si="58"/>
        <v>24.8125</v>
      </c>
      <c r="T150" s="3">
        <f t="shared" si="58"/>
        <v>19.1875</v>
      </c>
      <c r="U150" s="3">
        <f t="shared" si="58"/>
        <v>17.25</v>
      </c>
      <c r="V150" s="71">
        <f>+AVERAGE(V143,V130,V117,V110,V103,V90,V77,V67,V54,V5)</f>
        <v>26.9375</v>
      </c>
      <c r="W150" s="3">
        <v>1</v>
      </c>
      <c r="X150" s="3">
        <f>_xlfn.STDEV.P(W54:W143)</f>
        <v>0.44509407933720024</v>
      </c>
    </row>
    <row r="151" spans="1:30" x14ac:dyDescent="0.25">
      <c r="A151" s="3"/>
    </row>
    <row r="152" spans="1:30" ht="26.25" customHeight="1" x14ac:dyDescent="0.25">
      <c r="A152" s="3"/>
      <c r="C152" s="72" t="s">
        <v>175</v>
      </c>
      <c r="V152" s="71"/>
      <c r="Z152" s="3" t="s">
        <v>178</v>
      </c>
    </row>
    <row r="153" spans="1:30" x14ac:dyDescent="0.25">
      <c r="A153" s="3"/>
      <c r="C153" s="73" t="s">
        <v>25</v>
      </c>
      <c r="D153" s="87">
        <v>1.3910010940919033</v>
      </c>
      <c r="E153" s="87">
        <v>9.9357221006564522E-2</v>
      </c>
      <c r="F153" s="87">
        <v>0.8942149890590807</v>
      </c>
      <c r="G153" s="87">
        <v>0.79485776805251618</v>
      </c>
      <c r="H153" s="87">
        <v>0.19871444201312904</v>
      </c>
      <c r="I153" s="87">
        <v>0.69550054704595166</v>
      </c>
      <c r="J153" s="87">
        <v>0.79485776805251618</v>
      </c>
      <c r="K153" s="87">
        <v>0.99357221006564522</v>
      </c>
      <c r="L153" s="87">
        <v>1.8877871991247259</v>
      </c>
      <c r="M153" s="87">
        <v>2.5832877461706776</v>
      </c>
      <c r="N153" s="87">
        <v>3.2787882932166292</v>
      </c>
      <c r="O153" s="87">
        <v>4.4710749452954035</v>
      </c>
      <c r="P153" s="87">
        <v>0.99357221006564522</v>
      </c>
      <c r="Q153" s="87">
        <v>1.6890727571115969</v>
      </c>
      <c r="R153" s="87">
        <v>0.49678610503282261</v>
      </c>
      <c r="S153" s="87">
        <v>2.8813594091903711</v>
      </c>
      <c r="T153" s="87">
        <v>1.8877871991247259</v>
      </c>
      <c r="U153" s="87">
        <v>1.1922866520787743</v>
      </c>
      <c r="V153" s="74">
        <f>SUM(D153:U153)/18</f>
        <v>1.512437697544371</v>
      </c>
      <c r="W153" s="75"/>
      <c r="Z153" s="102">
        <f>+SUM(D153:G153)</f>
        <v>3.1794310722100647</v>
      </c>
      <c r="AA153" s="102">
        <f>+SUM(H153:K153)</f>
        <v>2.6826449671772421</v>
      </c>
      <c r="AB153" s="102">
        <f>+SUM(L153:O153)</f>
        <v>12.220938183807437</v>
      </c>
      <c r="AC153" s="102">
        <f>+SUM(P153:R153)</f>
        <v>3.1794310722100647</v>
      </c>
      <c r="AD153" s="102">
        <f>+SUM(S153:U153)</f>
        <v>5.9614332603938713</v>
      </c>
    </row>
    <row r="154" spans="1:30" x14ac:dyDescent="0.25">
      <c r="A154" s="3"/>
      <c r="C154" s="76" t="s">
        <v>44</v>
      </c>
      <c r="D154" s="87">
        <v>1.8208020050125306</v>
      </c>
      <c r="E154" s="87">
        <v>0.45520050125313266</v>
      </c>
      <c r="F154" s="87">
        <v>1.8208020050125306</v>
      </c>
      <c r="G154" s="87">
        <v>0.45520050125313266</v>
      </c>
      <c r="H154" s="87" t="s">
        <v>174</v>
      </c>
      <c r="I154" s="87">
        <v>0.45520050125313266</v>
      </c>
      <c r="J154" s="87">
        <v>0.45520050125313266</v>
      </c>
      <c r="K154" s="87" t="s">
        <v>174</v>
      </c>
      <c r="L154" s="87" t="s">
        <v>174</v>
      </c>
      <c r="M154" s="87">
        <v>4.5520050125313265</v>
      </c>
      <c r="N154" s="87">
        <v>0.45520050125313266</v>
      </c>
      <c r="O154" s="87">
        <v>0.68280075187969902</v>
      </c>
      <c r="P154" s="87">
        <v>1.5932017543859642</v>
      </c>
      <c r="Q154" s="87">
        <v>0.68280075187969902</v>
      </c>
      <c r="R154" s="87">
        <v>0.68280075187969902</v>
      </c>
      <c r="S154" s="87">
        <v>2.2760025062656632</v>
      </c>
      <c r="T154" s="87">
        <v>5.0072055137844593</v>
      </c>
      <c r="U154" s="87">
        <v>4.0968045112781937</v>
      </c>
      <c r="V154" s="74">
        <f t="shared" ref="V154:V162" si="59">SUM(D154:U154)/18</f>
        <v>1.4161793372319682</v>
      </c>
      <c r="W154" s="75"/>
      <c r="Z154" s="102">
        <f t="shared" ref="Z154:Z162" si="60">+SUM(D154:G154)</f>
        <v>4.5520050125313265</v>
      </c>
      <c r="AA154" s="102">
        <f t="shared" ref="AA154:AA162" si="61">+SUM(H154:K154)</f>
        <v>0.91040100250626532</v>
      </c>
      <c r="AB154" s="102">
        <f t="shared" ref="AB154:AB162" si="62">+SUM(L154:O154)</f>
        <v>5.6900062656641586</v>
      </c>
      <c r="AC154" s="102">
        <f t="shared" ref="AC154:AC162" si="63">+SUM(P154:R154)</f>
        <v>2.9588032581453625</v>
      </c>
      <c r="AD154" s="102">
        <f t="shared" ref="AD154:AD162" si="64">+SUM(S154:U154)</f>
        <v>11.380012531328315</v>
      </c>
    </row>
    <row r="155" spans="1:30" x14ac:dyDescent="0.25">
      <c r="A155" s="3"/>
      <c r="C155" s="77" t="s">
        <v>49</v>
      </c>
      <c r="D155" s="87">
        <v>1.8407939189189184</v>
      </c>
      <c r="E155" s="87" t="s">
        <v>174</v>
      </c>
      <c r="F155" s="87">
        <v>1.8407939189189184</v>
      </c>
      <c r="G155" s="87">
        <v>0.6135979729729728</v>
      </c>
      <c r="H155" s="87" t="s">
        <v>174</v>
      </c>
      <c r="I155" s="87">
        <v>0.6135979729729728</v>
      </c>
      <c r="J155" s="87">
        <v>0.6135979729729728</v>
      </c>
      <c r="K155" s="87">
        <v>0.3067989864864864</v>
      </c>
      <c r="L155" s="87">
        <v>2.4543918918918912</v>
      </c>
      <c r="M155" s="87">
        <v>1.2271959459459456</v>
      </c>
      <c r="N155" s="87" t="s">
        <v>174</v>
      </c>
      <c r="O155" s="87">
        <v>0.3067989864864864</v>
      </c>
      <c r="P155" s="87">
        <v>3.067989864864864</v>
      </c>
      <c r="Q155" s="87">
        <v>3.067989864864864</v>
      </c>
      <c r="R155" s="87">
        <v>1.2271959459459456</v>
      </c>
      <c r="S155" s="87">
        <v>3.067989864864864</v>
      </c>
      <c r="T155" s="87">
        <v>3.067989864864864</v>
      </c>
      <c r="U155" s="87">
        <v>1.8407939189189184</v>
      </c>
      <c r="V155" s="74">
        <f t="shared" si="59"/>
        <v>1.3976398273273267</v>
      </c>
      <c r="W155" s="75"/>
      <c r="Z155" s="102">
        <f>+SUM(D155:G155)</f>
        <v>4.2951858108108096</v>
      </c>
      <c r="AA155" s="102">
        <f t="shared" si="61"/>
        <v>1.533994932432432</v>
      </c>
      <c r="AB155" s="102">
        <f t="shared" si="62"/>
        <v>3.9883868243243232</v>
      </c>
      <c r="AC155" s="102">
        <f t="shared" si="63"/>
        <v>7.3631756756756737</v>
      </c>
      <c r="AD155" s="102">
        <f t="shared" si="64"/>
        <v>7.9767736486486465</v>
      </c>
    </row>
    <row r="156" spans="1:30" x14ac:dyDescent="0.25">
      <c r="A156" s="3"/>
      <c r="C156" s="78" t="s">
        <v>53</v>
      </c>
      <c r="D156" s="87">
        <v>1.1642628205128198</v>
      </c>
      <c r="E156" s="87">
        <v>0.77617521367521325</v>
      </c>
      <c r="F156" s="87">
        <v>0.58213141025640991</v>
      </c>
      <c r="G156" s="87">
        <v>0.58213141025640991</v>
      </c>
      <c r="H156" s="87">
        <v>0.77617521367521325</v>
      </c>
      <c r="I156" s="87" t="s">
        <v>174</v>
      </c>
      <c r="J156" s="87">
        <v>0.19404380341880331</v>
      </c>
      <c r="K156" s="87">
        <v>0.58213141025640991</v>
      </c>
      <c r="L156" s="87">
        <v>1.9404380341880332</v>
      </c>
      <c r="M156" s="87">
        <v>0.77617521367521325</v>
      </c>
      <c r="N156" s="87">
        <v>1.9404380341880332</v>
      </c>
      <c r="O156" s="87">
        <v>1.5523504273504265</v>
      </c>
      <c r="P156" s="87">
        <v>3.4927884615384595</v>
      </c>
      <c r="Q156" s="87">
        <v>3.4927884615384595</v>
      </c>
      <c r="R156" s="87">
        <v>0.97021901709401659</v>
      </c>
      <c r="S156" s="87">
        <v>3.4927884615384595</v>
      </c>
      <c r="T156" s="87">
        <v>1.9404380341880332</v>
      </c>
      <c r="U156" s="87">
        <v>1.1642628205128198</v>
      </c>
      <c r="V156" s="74">
        <f t="shared" si="59"/>
        <v>1.4122076804368464</v>
      </c>
      <c r="W156" s="75"/>
      <c r="Z156" s="102">
        <f t="shared" si="60"/>
        <v>3.1047008547008526</v>
      </c>
      <c r="AA156" s="102">
        <f t="shared" si="61"/>
        <v>1.5523504273504265</v>
      </c>
      <c r="AB156" s="102">
        <f t="shared" si="62"/>
        <v>6.209401709401706</v>
      </c>
      <c r="AC156" s="102">
        <f>+SUM(P156:R156)</f>
        <v>7.9557959401709351</v>
      </c>
      <c r="AD156" s="102">
        <f>+SUM(S156:U156)</f>
        <v>6.5974893162393116</v>
      </c>
    </row>
    <row r="157" spans="1:30" x14ac:dyDescent="0.25">
      <c r="A157" s="3"/>
      <c r="C157" s="78" t="s">
        <v>58</v>
      </c>
      <c r="D157" s="87" t="s">
        <v>174</v>
      </c>
      <c r="E157" s="87" t="s">
        <v>174</v>
      </c>
      <c r="F157" s="87">
        <v>0.49354619565217378</v>
      </c>
      <c r="G157" s="87">
        <v>0.24677309782608689</v>
      </c>
      <c r="H157" s="87">
        <v>0.24677309782608689</v>
      </c>
      <c r="I157" s="87">
        <v>1.4806385869565213</v>
      </c>
      <c r="J157" s="87">
        <v>2.2209578804347818</v>
      </c>
      <c r="K157" s="87">
        <v>1.2338654891304344</v>
      </c>
      <c r="L157" s="87">
        <v>0.98709239130434756</v>
      </c>
      <c r="M157" s="87">
        <v>3.2080502717391295</v>
      </c>
      <c r="N157" s="87">
        <v>0.24677309782608689</v>
      </c>
      <c r="O157" s="87">
        <v>2.4677309782608687</v>
      </c>
      <c r="P157" s="87">
        <v>3.2080502717391295</v>
      </c>
      <c r="Q157" s="87">
        <v>1.4806385869565213</v>
      </c>
      <c r="R157" s="87">
        <v>0.74031929347826064</v>
      </c>
      <c r="S157" s="87">
        <v>4.4419157608695636</v>
      </c>
      <c r="T157" s="87">
        <v>0.98709239130434756</v>
      </c>
      <c r="U157" s="87">
        <v>2.2209578804347818</v>
      </c>
      <c r="V157" s="74">
        <f t="shared" si="59"/>
        <v>1.4395097373188401</v>
      </c>
      <c r="W157" s="75"/>
      <c r="Z157" s="102">
        <f t="shared" si="60"/>
        <v>0.74031929347826064</v>
      </c>
      <c r="AA157" s="102">
        <f t="shared" si="61"/>
        <v>5.1822350543478244</v>
      </c>
      <c r="AB157" s="102">
        <f t="shared" si="62"/>
        <v>6.9096467391304319</v>
      </c>
      <c r="AC157" s="102">
        <f t="shared" si="63"/>
        <v>5.4290081521739113</v>
      </c>
      <c r="AD157" s="102">
        <f t="shared" si="64"/>
        <v>7.6499660326086936</v>
      </c>
    </row>
    <row r="158" spans="1:30" x14ac:dyDescent="0.25">
      <c r="A158" s="3"/>
      <c r="C158" s="79" t="s">
        <v>63</v>
      </c>
      <c r="D158" s="87">
        <v>2.2608921161825717</v>
      </c>
      <c r="E158" s="87" t="s">
        <v>174</v>
      </c>
      <c r="F158" s="87">
        <v>1.1304460580912858</v>
      </c>
      <c r="G158" s="87">
        <v>0.37681535269709526</v>
      </c>
      <c r="H158" s="87">
        <v>2.2608921161825717</v>
      </c>
      <c r="I158" s="87">
        <v>2.2608921161825717</v>
      </c>
      <c r="J158" s="87">
        <v>2.2608921161825717</v>
      </c>
      <c r="K158" s="87">
        <v>2.2608921161825717</v>
      </c>
      <c r="L158" s="87">
        <v>0.75363070539419053</v>
      </c>
      <c r="M158" s="87">
        <v>4.5217842323651434</v>
      </c>
      <c r="N158" s="87" t="s">
        <v>174</v>
      </c>
      <c r="O158" s="87">
        <v>1.1304460580912858</v>
      </c>
      <c r="P158" s="87">
        <v>1.1304460580912858</v>
      </c>
      <c r="Q158" s="87" t="s">
        <v>174</v>
      </c>
      <c r="R158" s="87" t="s">
        <v>174</v>
      </c>
      <c r="S158" s="87">
        <v>3.0145228215767621</v>
      </c>
      <c r="T158" s="87">
        <v>1.1304460580912858</v>
      </c>
      <c r="U158" s="87">
        <v>3.0145228215767621</v>
      </c>
      <c r="V158" s="74">
        <f t="shared" si="59"/>
        <v>1.5281955970493311</v>
      </c>
      <c r="W158" s="75"/>
      <c r="Z158" s="102">
        <f t="shared" si="60"/>
        <v>3.768153526970953</v>
      </c>
      <c r="AA158" s="102">
        <f t="shared" si="61"/>
        <v>9.0435684647302867</v>
      </c>
      <c r="AB158" s="102">
        <f t="shared" si="62"/>
        <v>6.4058609958506194</v>
      </c>
      <c r="AC158" s="102">
        <f t="shared" si="63"/>
        <v>1.1304460580912858</v>
      </c>
      <c r="AD158" s="102">
        <f t="shared" si="64"/>
        <v>7.1594917012448107</v>
      </c>
    </row>
    <row r="159" spans="1:30" x14ac:dyDescent="0.25">
      <c r="A159" s="3"/>
      <c r="C159" s="78" t="s">
        <v>66</v>
      </c>
      <c r="D159" s="87">
        <v>0.990681818181818</v>
      </c>
      <c r="E159" s="87">
        <v>1.3209090909090906</v>
      </c>
      <c r="F159" s="87">
        <v>1.981363636363636</v>
      </c>
      <c r="G159" s="87">
        <v>1.981363636363636</v>
      </c>
      <c r="H159" s="87">
        <v>0.33022727272727265</v>
      </c>
      <c r="I159" s="87">
        <v>2.9720454545454538</v>
      </c>
      <c r="J159" s="87">
        <v>2.3115909090909086</v>
      </c>
      <c r="K159" s="87">
        <v>0.990681818181818</v>
      </c>
      <c r="L159" s="87">
        <v>0.990681818181818</v>
      </c>
      <c r="M159" s="87">
        <v>2.9720454545454538</v>
      </c>
      <c r="N159" s="87">
        <v>1.3209090909090906</v>
      </c>
      <c r="O159" s="87">
        <v>1.981363636363636</v>
      </c>
      <c r="P159" s="87">
        <v>0.66045454545454529</v>
      </c>
      <c r="Q159" s="87" t="s">
        <v>174</v>
      </c>
      <c r="R159" s="87" t="s">
        <v>174</v>
      </c>
      <c r="S159" s="87">
        <v>2.9720454545454538</v>
      </c>
      <c r="T159" s="87">
        <v>2.9720454545454538</v>
      </c>
      <c r="U159" s="87">
        <v>0.990681818181818</v>
      </c>
      <c r="V159" s="74">
        <f t="shared" si="59"/>
        <v>1.5410606060606058</v>
      </c>
      <c r="W159" s="75"/>
      <c r="Z159" s="102">
        <f t="shared" si="60"/>
        <v>6.274318181818181</v>
      </c>
      <c r="AA159" s="102">
        <f t="shared" si="61"/>
        <v>6.6045454545454527</v>
      </c>
      <c r="AB159" s="102">
        <f t="shared" si="62"/>
        <v>7.2649999999999988</v>
      </c>
      <c r="AC159" s="102">
        <f t="shared" si="63"/>
        <v>0.66045454545454529</v>
      </c>
      <c r="AD159" s="102">
        <f t="shared" si="64"/>
        <v>6.9347727272727253</v>
      </c>
    </row>
    <row r="160" spans="1:30" ht="18.75" customHeight="1" x14ac:dyDescent="0.25">
      <c r="A160" s="3"/>
      <c r="C160" s="78" t="s">
        <v>69</v>
      </c>
      <c r="D160" s="87">
        <v>5.1306497175141228</v>
      </c>
      <c r="E160" s="87">
        <v>5.1306497175141228</v>
      </c>
      <c r="F160" s="87">
        <v>4.1045197740112984</v>
      </c>
      <c r="G160" s="87">
        <v>3.078389830508474</v>
      </c>
      <c r="H160" s="87">
        <v>1.0261299435028246</v>
      </c>
      <c r="I160" s="87" t="s">
        <v>174</v>
      </c>
      <c r="J160" s="87" t="s">
        <v>174</v>
      </c>
      <c r="K160" s="87">
        <v>1.0261299435028246</v>
      </c>
      <c r="L160" s="87">
        <v>0.5130649717514123</v>
      </c>
      <c r="M160" s="87">
        <v>0.5130649717514123</v>
      </c>
      <c r="N160" s="87">
        <v>0.5130649717514123</v>
      </c>
      <c r="O160" s="87" t="s">
        <v>174</v>
      </c>
      <c r="P160" s="87">
        <v>2.5653248587570614</v>
      </c>
      <c r="Q160" s="87" t="s">
        <v>174</v>
      </c>
      <c r="R160" s="87">
        <v>3.3349223163841799</v>
      </c>
      <c r="S160" s="87" t="s">
        <v>174</v>
      </c>
      <c r="T160" s="87" t="s">
        <v>174</v>
      </c>
      <c r="U160" s="87">
        <v>1.0261299435028246</v>
      </c>
      <c r="V160" s="74">
        <f t="shared" si="59"/>
        <v>1.5534467200251092</v>
      </c>
      <c r="W160" s="75"/>
      <c r="Z160" s="102">
        <f t="shared" si="60"/>
        <v>17.444209039548017</v>
      </c>
      <c r="AA160" s="102">
        <f t="shared" si="61"/>
        <v>2.0522598870056492</v>
      </c>
      <c r="AB160" s="102">
        <f t="shared" si="62"/>
        <v>1.539194915254237</v>
      </c>
      <c r="AC160" s="102">
        <f t="shared" si="63"/>
        <v>5.9002471751412413</v>
      </c>
      <c r="AD160" s="102">
        <f t="shared" si="64"/>
        <v>1.0261299435028246</v>
      </c>
    </row>
    <row r="161" spans="1:36" ht="18.75" customHeight="1" x14ac:dyDescent="0.25">
      <c r="A161" s="3"/>
      <c r="C161" s="78" t="s">
        <v>74</v>
      </c>
      <c r="D161" s="87">
        <v>6.7415393013100422</v>
      </c>
      <c r="E161" s="87">
        <v>2.3793668122270737</v>
      </c>
      <c r="F161" s="87">
        <v>6.7415393013100422</v>
      </c>
      <c r="G161" s="87">
        <v>6.3449781659388629</v>
      </c>
      <c r="H161" s="87" t="s">
        <v>174</v>
      </c>
      <c r="I161" s="87" t="s">
        <v>174</v>
      </c>
      <c r="J161" s="87" t="s">
        <v>174</v>
      </c>
      <c r="K161" s="87">
        <v>0.39656113537117893</v>
      </c>
      <c r="L161" s="87">
        <v>1.5862445414847157</v>
      </c>
      <c r="M161" s="87">
        <v>2.3793668122270737</v>
      </c>
      <c r="N161" s="87" t="s">
        <v>174</v>
      </c>
      <c r="O161" s="87" t="s">
        <v>174</v>
      </c>
      <c r="P161" s="87">
        <v>0.79312227074235786</v>
      </c>
      <c r="Q161" s="87" t="s">
        <v>174</v>
      </c>
      <c r="R161" s="87">
        <v>1.5862445414847157</v>
      </c>
      <c r="S161" s="87" t="s">
        <v>174</v>
      </c>
      <c r="T161" s="87" t="s">
        <v>174</v>
      </c>
      <c r="U161" s="87">
        <v>0.39656113537117893</v>
      </c>
      <c r="V161" s="74">
        <f t="shared" si="59"/>
        <v>1.6303068898592914</v>
      </c>
      <c r="W161" s="75"/>
      <c r="Z161" s="102">
        <f t="shared" si="60"/>
        <v>22.207423580786021</v>
      </c>
      <c r="AA161" s="102">
        <f t="shared" si="61"/>
        <v>0.39656113537117893</v>
      </c>
      <c r="AB161" s="102">
        <f t="shared" si="62"/>
        <v>3.9656113537117896</v>
      </c>
      <c r="AC161" s="102">
        <f t="shared" si="63"/>
        <v>2.3793668122270737</v>
      </c>
      <c r="AD161" s="102">
        <f t="shared" si="64"/>
        <v>0.39656113537117893</v>
      </c>
    </row>
    <row r="162" spans="1:36" ht="18.75" customHeight="1" x14ac:dyDescent="0.25">
      <c r="A162" s="3"/>
      <c r="B162" s="3"/>
      <c r="C162" s="80" t="s">
        <v>79</v>
      </c>
      <c r="D162" s="87">
        <v>5.6317829457364317</v>
      </c>
      <c r="E162" s="87">
        <v>0.70397286821705396</v>
      </c>
      <c r="F162" s="87">
        <v>3.5198643410852699</v>
      </c>
      <c r="G162" s="87">
        <v>2.8158914728682158</v>
      </c>
      <c r="H162" s="87">
        <v>0.70397286821705396</v>
      </c>
      <c r="I162" s="87">
        <v>1.4079457364341079</v>
      </c>
      <c r="J162" s="87">
        <v>0.70397286821705396</v>
      </c>
      <c r="K162" s="87">
        <v>0.70397286821705396</v>
      </c>
      <c r="L162" s="87" t="s">
        <v>174</v>
      </c>
      <c r="M162" s="87">
        <v>4.2238372093023235</v>
      </c>
      <c r="N162" s="87">
        <v>1.4079457364341079</v>
      </c>
      <c r="O162" s="87">
        <v>2.8158914728682158</v>
      </c>
      <c r="P162" s="87">
        <v>1.4079457364341079</v>
      </c>
      <c r="Q162" s="87" t="s">
        <v>174</v>
      </c>
      <c r="R162" s="87">
        <v>1.4079457364341079</v>
      </c>
      <c r="S162" s="87">
        <v>0.70397286821705396</v>
      </c>
      <c r="T162" s="87">
        <v>0.70397286821705396</v>
      </c>
      <c r="U162" s="87" t="s">
        <v>174</v>
      </c>
      <c r="V162" s="74">
        <f t="shared" si="59"/>
        <v>1.6034937553832895</v>
      </c>
      <c r="W162" s="75"/>
      <c r="Z162" s="102">
        <f t="shared" si="60"/>
        <v>12.671511627906971</v>
      </c>
      <c r="AA162" s="102">
        <f t="shared" si="61"/>
        <v>3.5198643410852699</v>
      </c>
      <c r="AB162" s="102">
        <f t="shared" si="62"/>
        <v>8.4476744186046471</v>
      </c>
      <c r="AC162" s="102">
        <f t="shared" si="63"/>
        <v>2.8158914728682158</v>
      </c>
      <c r="AD162" s="102">
        <f t="shared" si="64"/>
        <v>1.4079457364341079</v>
      </c>
    </row>
    <row r="163" spans="1:36" x14ac:dyDescent="0.25">
      <c r="A163" s="3"/>
      <c r="B163" s="3"/>
      <c r="C163" s="8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74"/>
      <c r="W163" s="75"/>
    </row>
    <row r="164" spans="1:36" ht="30" x14ac:dyDescent="0.25">
      <c r="A164" s="3"/>
      <c r="B164" s="3"/>
      <c r="C164" s="105" t="s">
        <v>96</v>
      </c>
      <c r="D164" s="83"/>
      <c r="E164" s="83"/>
      <c r="F164" s="83"/>
      <c r="G164" s="83"/>
      <c r="H164" s="83"/>
      <c r="I164" s="83" t="s">
        <v>176</v>
      </c>
      <c r="J164" s="88">
        <v>0.2</v>
      </c>
      <c r="K164" s="89">
        <v>0.2</v>
      </c>
      <c r="L164" s="90">
        <v>0.2</v>
      </c>
      <c r="M164" s="91">
        <v>0.2</v>
      </c>
      <c r="N164" s="91">
        <v>0.2</v>
      </c>
      <c r="O164" s="83"/>
      <c r="P164" s="83"/>
      <c r="Q164" s="83"/>
      <c r="R164" s="83"/>
      <c r="S164" s="83"/>
      <c r="T164" s="83"/>
      <c r="U164" s="83"/>
      <c r="V164" s="84"/>
      <c r="W164" s="85"/>
    </row>
    <row r="165" spans="1:36" x14ac:dyDescent="0.25">
      <c r="A165" s="3"/>
      <c r="B165" s="3"/>
      <c r="C165" s="86" t="s">
        <v>83</v>
      </c>
      <c r="D165" s="88">
        <v>0.2112</v>
      </c>
      <c r="E165" s="89">
        <v>0.19639999999999999</v>
      </c>
      <c r="F165" s="90">
        <v>0.17449999999999999</v>
      </c>
      <c r="G165" s="91">
        <v>0.20669999999999999</v>
      </c>
      <c r="H165" s="91">
        <v>0.2112</v>
      </c>
      <c r="I165" s="87"/>
      <c r="J165" s="87"/>
      <c r="K165" s="87"/>
      <c r="M165" s="87"/>
      <c r="N165" s="87"/>
      <c r="O165" s="87"/>
      <c r="Q165" s="87"/>
      <c r="R165" s="87"/>
      <c r="T165" s="87"/>
      <c r="U165" s="87"/>
      <c r="Z165" t="s">
        <v>84</v>
      </c>
    </row>
    <row r="166" spans="1:36" ht="18" customHeight="1" x14ac:dyDescent="0.25">
      <c r="A166" s="3"/>
      <c r="B166" s="3"/>
      <c r="C166" s="86"/>
      <c r="D166" s="88"/>
      <c r="E166" s="88"/>
      <c r="F166" s="88"/>
      <c r="G166" s="88"/>
      <c r="H166" s="89"/>
      <c r="I166" s="89"/>
      <c r="J166" s="89"/>
      <c r="K166" s="89"/>
      <c r="L166" s="90"/>
      <c r="M166" s="90"/>
      <c r="N166" s="90"/>
      <c r="O166" s="90"/>
      <c r="P166" s="91"/>
      <c r="Q166" s="91"/>
      <c r="R166" s="91"/>
      <c r="S166" s="91"/>
      <c r="T166" s="91"/>
      <c r="U166" s="91"/>
      <c r="X166" t="s">
        <v>177</v>
      </c>
      <c r="Z166" s="93" t="s">
        <v>85</v>
      </c>
      <c r="AE166" t="s">
        <v>86</v>
      </c>
      <c r="AF166"/>
      <c r="AG166"/>
      <c r="AH166"/>
      <c r="AI166"/>
      <c r="AJ166"/>
    </row>
    <row r="167" spans="1:36" x14ac:dyDescent="0.25">
      <c r="A167" s="3"/>
      <c r="B167" s="3"/>
      <c r="C167" s="54" t="s">
        <v>25</v>
      </c>
      <c r="D167" s="87">
        <f>IF(Z153="","",Z153*$J$164)</f>
        <v>0.63588621444201299</v>
      </c>
      <c r="E167" s="87">
        <f>IF(AA153="","",AA153*$K$164)</f>
        <v>0.53652899343544846</v>
      </c>
      <c r="F167" s="87">
        <f>IF(AB153="","",AB153*$L$164)</f>
        <v>2.4441876367614874</v>
      </c>
      <c r="G167" s="87">
        <f>IF(AC153="","",AC153*$M$164)</f>
        <v>0.63588621444201299</v>
      </c>
      <c r="H167" s="87">
        <f>IF(AD153="","",AD153*$N$164)</f>
        <v>1.1922866520787743</v>
      </c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94"/>
      <c r="W167" s="87">
        <f>+SUM(D167:U167)</f>
        <v>5.4447757111597364</v>
      </c>
      <c r="X167" s="95">
        <f>+W167</f>
        <v>5.4447757111597364</v>
      </c>
      <c r="Z167" s="95">
        <f>$X$177/X167</f>
        <v>0.99405601120940756</v>
      </c>
      <c r="AA167" s="95"/>
      <c r="AB167" s="87"/>
      <c r="AE167"/>
      <c r="AF167">
        <v>0.2112</v>
      </c>
      <c r="AG167">
        <v>0.19639999999999999</v>
      </c>
      <c r="AH167">
        <v>0.17449999999999999</v>
      </c>
      <c r="AI167">
        <v>0.20669999999999999</v>
      </c>
      <c r="AJ167">
        <v>0.2112</v>
      </c>
    </row>
    <row r="168" spans="1:36" x14ac:dyDescent="0.25">
      <c r="A168" s="3"/>
      <c r="B168" s="3"/>
      <c r="C168" s="54" t="s">
        <v>44</v>
      </c>
      <c r="D168" s="87">
        <f t="shared" ref="D168:D176" si="65">IF(Z154="","",Z154*$J$164)</f>
        <v>0.91040100250626532</v>
      </c>
      <c r="E168" s="87">
        <f t="shared" ref="E168:E176" si="66">IF(AA154="","",AA154*$K$164)</f>
        <v>0.18208020050125306</v>
      </c>
      <c r="F168" s="87">
        <f t="shared" ref="F168:F176" si="67">IF(AB154="","",AB154*$L$164)</f>
        <v>1.1380012531328318</v>
      </c>
      <c r="G168" s="87">
        <f t="shared" ref="G168:G176" si="68">IF(AC154="","",AC154*$M$164)</f>
        <v>0.59176065162907254</v>
      </c>
      <c r="H168" s="87">
        <f>IF(AD154="","",AD154*$N$164)</f>
        <v>2.2760025062656632</v>
      </c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94"/>
      <c r="W168" s="87">
        <f t="shared" ref="W168:W176" si="69">+SUM(D168:U168)</f>
        <v>5.0982456140350862</v>
      </c>
      <c r="X168" s="95">
        <f t="shared" ref="X168:X176" si="70">+W168</f>
        <v>5.0982456140350862</v>
      </c>
      <c r="Y168" s="95"/>
      <c r="Z168" s="95">
        <f t="shared" ref="Z168:Z176" si="71">$X$177/X168</f>
        <v>1.0616224550785374</v>
      </c>
      <c r="AA168" s="95"/>
      <c r="AB168" s="87"/>
      <c r="AE168"/>
      <c r="AF168">
        <v>0.28399999999999997</v>
      </c>
      <c r="AG168">
        <v>0.2172</v>
      </c>
      <c r="AH168">
        <v>0.22220000000000001</v>
      </c>
      <c r="AI168">
        <v>0.27660000000000001</v>
      </c>
      <c r="AJ168"/>
    </row>
    <row r="169" spans="1:36" x14ac:dyDescent="0.25">
      <c r="A169" s="3"/>
      <c r="B169" s="3"/>
      <c r="C169" s="54" t="s">
        <v>49</v>
      </c>
      <c r="D169" s="87">
        <f t="shared" si="65"/>
        <v>0.85903716216216197</v>
      </c>
      <c r="E169" s="87">
        <f t="shared" si="66"/>
        <v>0.3067989864864864</v>
      </c>
      <c r="F169" s="87">
        <f t="shared" si="67"/>
        <v>0.79767736486486474</v>
      </c>
      <c r="G169" s="87">
        <f t="shared" si="68"/>
        <v>1.4726351351351348</v>
      </c>
      <c r="H169" s="87">
        <f t="shared" ref="H169:H176" si="72">IF(AD155="","",AD155*$N$164)</f>
        <v>1.5953547297297295</v>
      </c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94"/>
      <c r="W169" s="87">
        <f t="shared" si="69"/>
        <v>5.0315033783783774</v>
      </c>
      <c r="X169" s="95">
        <f t="shared" si="70"/>
        <v>5.0315033783783774</v>
      </c>
      <c r="Y169" s="95"/>
      <c r="Z169" s="95">
        <f t="shared" si="71"/>
        <v>1.0757047383936569</v>
      </c>
      <c r="AA169" s="95"/>
      <c r="AE169"/>
      <c r="AF169">
        <v>0.26779999999999998</v>
      </c>
      <c r="AG169">
        <v>0.23799999999999999</v>
      </c>
      <c r="AH169">
        <v>0.2253</v>
      </c>
      <c r="AI169">
        <v>0.26889999999999997</v>
      </c>
      <c r="AJ169"/>
    </row>
    <row r="170" spans="1:36" x14ac:dyDescent="0.25">
      <c r="A170" s="3"/>
      <c r="B170" s="3"/>
      <c r="C170" s="54" t="s">
        <v>53</v>
      </c>
      <c r="D170" s="87">
        <f t="shared" si="65"/>
        <v>0.62094017094017051</v>
      </c>
      <c r="E170" s="87">
        <f t="shared" si="66"/>
        <v>0.31047008547008531</v>
      </c>
      <c r="F170" s="87">
        <f t="shared" si="67"/>
        <v>1.2418803418803412</v>
      </c>
      <c r="G170" s="87">
        <f t="shared" si="68"/>
        <v>1.5911591880341871</v>
      </c>
      <c r="H170" s="87">
        <f t="shared" si="72"/>
        <v>1.3194978632478624</v>
      </c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94"/>
      <c r="W170" s="87">
        <f t="shared" si="69"/>
        <v>5.0839476495726466</v>
      </c>
      <c r="X170" s="95">
        <f t="shared" si="70"/>
        <v>5.0839476495726466</v>
      </c>
      <c r="Y170" s="95"/>
      <c r="Z170" s="95">
        <f t="shared" si="71"/>
        <v>1.0646081349441663</v>
      </c>
      <c r="AA170" s="95"/>
      <c r="AE170"/>
      <c r="AF170">
        <v>0.31130000000000002</v>
      </c>
      <c r="AG170">
        <v>0.23130000000000001</v>
      </c>
      <c r="AH170">
        <v>0.2354</v>
      </c>
      <c r="AI170">
        <v>0.22209999999999999</v>
      </c>
      <c r="AJ170"/>
    </row>
    <row r="171" spans="1:36" x14ac:dyDescent="0.25">
      <c r="A171" s="3"/>
      <c r="B171" s="3"/>
      <c r="C171" s="54" t="s">
        <v>58</v>
      </c>
      <c r="D171" s="87">
        <f t="shared" si="65"/>
        <v>0.14806385869565214</v>
      </c>
      <c r="E171" s="87">
        <f t="shared" si="66"/>
        <v>1.0364470108695649</v>
      </c>
      <c r="F171" s="87">
        <f t="shared" si="67"/>
        <v>1.3819293478260866</v>
      </c>
      <c r="G171" s="87">
        <f t="shared" si="68"/>
        <v>1.0858016304347824</v>
      </c>
      <c r="H171" s="87">
        <f>IF(AD157="","",AD157*$N$164)</f>
        <v>1.5299932065217388</v>
      </c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94"/>
      <c r="W171" s="87">
        <f t="shared" si="69"/>
        <v>5.1822350543478244</v>
      </c>
      <c r="X171" s="95">
        <f t="shared" si="70"/>
        <v>5.1822350543478244</v>
      </c>
      <c r="Y171" s="95"/>
      <c r="Z171" s="95">
        <f t="shared" si="71"/>
        <v>1.0444165439435971</v>
      </c>
      <c r="AA171" s="95"/>
      <c r="AE171"/>
      <c r="AF171">
        <v>0.39369999999999999</v>
      </c>
      <c r="AG171">
        <v>0.3054</v>
      </c>
      <c r="AH171">
        <v>0.3009</v>
      </c>
      <c r="AI171"/>
      <c r="AJ171"/>
    </row>
    <row r="172" spans="1:36" x14ac:dyDescent="0.25">
      <c r="A172" s="3"/>
      <c r="B172" s="3"/>
      <c r="C172" s="54" t="s">
        <v>63</v>
      </c>
      <c r="D172" s="87">
        <f t="shared" si="65"/>
        <v>0.75363070539419064</v>
      </c>
      <c r="E172" s="87">
        <f t="shared" si="66"/>
        <v>1.8087136929460574</v>
      </c>
      <c r="F172" s="87">
        <f t="shared" si="67"/>
        <v>1.2811721991701239</v>
      </c>
      <c r="G172" s="87">
        <f t="shared" si="68"/>
        <v>0.22608921161825718</v>
      </c>
      <c r="H172" s="87">
        <f t="shared" si="72"/>
        <v>1.4318983402489622</v>
      </c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94"/>
      <c r="W172" s="87">
        <f t="shared" si="69"/>
        <v>5.5015041493775918</v>
      </c>
      <c r="X172" s="95">
        <f t="shared" si="70"/>
        <v>5.5015041493775918</v>
      </c>
      <c r="Y172" s="95"/>
      <c r="Z172" s="95">
        <f t="shared" si="71"/>
        <v>0.98380586079856758</v>
      </c>
      <c r="AA172" s="95"/>
      <c r="AE172"/>
      <c r="AF172">
        <v>0.29830000000000001</v>
      </c>
      <c r="AG172">
        <v>0.33110000000000001</v>
      </c>
      <c r="AH172">
        <v>0.37059999999999998</v>
      </c>
      <c r="AI172"/>
      <c r="AJ172"/>
    </row>
    <row r="173" spans="1:36" x14ac:dyDescent="0.25">
      <c r="A173" s="3"/>
      <c r="B173" s="3"/>
      <c r="C173" s="54" t="s">
        <v>66</v>
      </c>
      <c r="D173" s="87">
        <f t="shared" si="65"/>
        <v>1.2548636363636363</v>
      </c>
      <c r="E173" s="87">
        <f t="shared" si="66"/>
        <v>1.3209090909090906</v>
      </c>
      <c r="F173" s="87">
        <f t="shared" si="67"/>
        <v>1.4529999999999998</v>
      </c>
      <c r="G173" s="87">
        <f t="shared" si="68"/>
        <v>0.13209090909090906</v>
      </c>
      <c r="H173" s="87">
        <f t="shared" si="72"/>
        <v>1.3869545454545451</v>
      </c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94"/>
      <c r="W173" s="87">
        <f t="shared" si="69"/>
        <v>5.5478181818181813</v>
      </c>
      <c r="X173" s="95">
        <f t="shared" si="70"/>
        <v>5.5478181818181813</v>
      </c>
      <c r="Y173" s="95"/>
      <c r="Z173" s="95">
        <f t="shared" si="71"/>
        <v>0.97559289940383531</v>
      </c>
      <c r="AA173" s="95"/>
    </row>
    <row r="174" spans="1:36" ht="13.5" customHeight="1" x14ac:dyDescent="0.25">
      <c r="A174" s="3"/>
      <c r="B174" s="3"/>
      <c r="C174" s="54" t="s">
        <v>69</v>
      </c>
      <c r="D174" s="87">
        <f t="shared" si="65"/>
        <v>3.4888418079096035</v>
      </c>
      <c r="E174" s="87">
        <f t="shared" si="66"/>
        <v>0.41045197740112987</v>
      </c>
      <c r="F174" s="87">
        <f t="shared" si="67"/>
        <v>0.30783898305084745</v>
      </c>
      <c r="G174" s="87">
        <f t="shared" si="68"/>
        <v>1.1800494350282482</v>
      </c>
      <c r="H174" s="87">
        <f t="shared" si="72"/>
        <v>0.20522598870056494</v>
      </c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94"/>
      <c r="W174" s="87">
        <f t="shared" si="69"/>
        <v>5.5924081920903941</v>
      </c>
      <c r="X174" s="95">
        <f t="shared" si="70"/>
        <v>5.5924081920903941</v>
      </c>
      <c r="Y174" s="95"/>
      <c r="Z174" s="95">
        <f t="shared" si="71"/>
        <v>0.96781419371717936</v>
      </c>
      <c r="AA174" s="95"/>
    </row>
    <row r="175" spans="1:36" x14ac:dyDescent="0.25">
      <c r="A175" s="3"/>
      <c r="B175" s="3"/>
      <c r="C175" s="54" t="s">
        <v>74</v>
      </c>
      <c r="D175" s="87">
        <f>IF(Z161="","",Z161*$J$164)</f>
        <v>4.4414847161572046</v>
      </c>
      <c r="E175" s="87">
        <f t="shared" si="66"/>
        <v>7.9312227074235797E-2</v>
      </c>
      <c r="F175" s="87">
        <f t="shared" si="67"/>
        <v>0.79312227074235797</v>
      </c>
      <c r="G175" s="87">
        <f t="shared" si="68"/>
        <v>0.47587336244541478</v>
      </c>
      <c r="H175" s="87">
        <f t="shared" si="72"/>
        <v>7.9312227074235797E-2</v>
      </c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94"/>
      <c r="W175" s="87">
        <f t="shared" si="69"/>
        <v>5.8691048034934488</v>
      </c>
      <c r="X175" s="95">
        <f t="shared" si="70"/>
        <v>5.8691048034934488</v>
      </c>
      <c r="Y175" s="95"/>
      <c r="Z175" s="95">
        <f t="shared" si="71"/>
        <v>0.92218697852246567</v>
      </c>
      <c r="AA175" s="95"/>
    </row>
    <row r="176" spans="1:36" ht="16.5" customHeight="1" x14ac:dyDescent="0.25">
      <c r="A176" s="3"/>
      <c r="B176" s="3"/>
      <c r="C176" s="54" t="s">
        <v>79</v>
      </c>
      <c r="D176" s="87">
        <f t="shared" si="65"/>
        <v>2.5343023255813946</v>
      </c>
      <c r="E176" s="87">
        <f t="shared" si="66"/>
        <v>0.70397286821705407</v>
      </c>
      <c r="F176" s="87">
        <f t="shared" si="67"/>
        <v>1.6895348837209294</v>
      </c>
      <c r="G176" s="87">
        <f t="shared" si="68"/>
        <v>0.56317829457364321</v>
      </c>
      <c r="H176" s="87">
        <f t="shared" si="72"/>
        <v>0.28158914728682161</v>
      </c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94"/>
      <c r="W176" s="87">
        <f t="shared" si="69"/>
        <v>5.7725775193798432</v>
      </c>
      <c r="X176" s="95">
        <f t="shared" si="70"/>
        <v>5.7725775193798432</v>
      </c>
      <c r="Y176" s="95"/>
      <c r="Z176" s="95">
        <f t="shared" si="71"/>
        <v>0.93760750846474161</v>
      </c>
      <c r="AA176" s="95"/>
    </row>
    <row r="177" spans="3:53" s="3" customFormat="1" x14ac:dyDescent="0.25">
      <c r="C177" s="96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95"/>
      <c r="W177" s="95">
        <f>AVERAGE(W167:W176)</f>
        <v>5.4124120253653132</v>
      </c>
      <c r="X177" s="95">
        <f>AVERAGE(X167:X176)</f>
        <v>5.4124120253653132</v>
      </c>
      <c r="Y177" s="95"/>
      <c r="Z177" s="95">
        <f>AVERAGE(Z167:Z176)</f>
        <v>1.0027415324476157</v>
      </c>
      <c r="AA177" s="95"/>
    </row>
    <row r="178" spans="3:53" s="3" customFormat="1" ht="30" x14ac:dyDescent="0.25">
      <c r="C178" s="156" t="s">
        <v>180</v>
      </c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71"/>
      <c r="W178" s="97"/>
      <c r="X178" s="85"/>
      <c r="Y178" s="95"/>
      <c r="Z178" s="85"/>
      <c r="AA178" s="87"/>
    </row>
    <row r="179" spans="3:53" x14ac:dyDescent="0.25">
      <c r="C179" s="54" t="s">
        <v>25</v>
      </c>
      <c r="D179" s="87">
        <f>IF(D167="","",D167*$Z167)</f>
        <v>0.63210651391127737</v>
      </c>
      <c r="E179" s="87">
        <f>IF(E167="","",E167*$Z167)</f>
        <v>0.53333987111264036</v>
      </c>
      <c r="F179" s="87">
        <f>IF(F167="","",F167*$Z167)</f>
        <v>2.4296594128464726</v>
      </c>
      <c r="G179" s="87">
        <f>IF(G167="","",G167*$Z167)</f>
        <v>0.63210651391127737</v>
      </c>
      <c r="H179" s="87">
        <f>IF(H167="","",H167*$Z167)</f>
        <v>1.185199713583645</v>
      </c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71"/>
      <c r="W179" s="98">
        <f>+SUM(D179:U179)</f>
        <v>5.4124120253653132</v>
      </c>
      <c r="X179" s="99">
        <f>+AVERAGE(D179:U179)</f>
        <v>1.0824824050730626</v>
      </c>
      <c r="Y179" s="83"/>
      <c r="Z179" s="95"/>
      <c r="AA179" s="100"/>
    </row>
    <row r="180" spans="3:53" x14ac:dyDescent="0.25">
      <c r="C180" s="54" t="s">
        <v>44</v>
      </c>
      <c r="D180" s="87">
        <f t="shared" ref="D180:H180" si="73">IF(D168="","",D168*$Z168)</f>
        <v>0.96650214738666307</v>
      </c>
      <c r="E180" s="87">
        <f>IF(E168="","",E168*$Z168)</f>
        <v>0.19330042947733261</v>
      </c>
      <c r="F180" s="87">
        <f t="shared" si="73"/>
        <v>1.2081276842333291</v>
      </c>
      <c r="G180" s="87">
        <f t="shared" si="73"/>
        <v>0.62822639580133111</v>
      </c>
      <c r="H180" s="87">
        <f t="shared" si="73"/>
        <v>2.4162553684666577</v>
      </c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71"/>
      <c r="W180" s="98">
        <f t="shared" ref="W180:W188" si="74">+SUM(D180:U180)</f>
        <v>5.4124120253653132</v>
      </c>
      <c r="X180" s="99">
        <f t="shared" ref="X180:X188" si="75">+AVERAGE(D180:U180)</f>
        <v>1.0824824050730626</v>
      </c>
      <c r="Y180" s="101"/>
      <c r="Z180" s="95"/>
      <c r="AA180" s="100"/>
    </row>
    <row r="181" spans="3:53" x14ac:dyDescent="0.25">
      <c r="C181" s="54" t="s">
        <v>49</v>
      </c>
      <c r="D181" s="87">
        <f t="shared" ref="D181:H181" si="76">IF(D169="","",D169*$Z169)</f>
        <v>0.92407034579407787</v>
      </c>
      <c r="E181" s="87">
        <f t="shared" si="76"/>
        <v>0.33002512349788493</v>
      </c>
      <c r="F181" s="87">
        <f t="shared" si="76"/>
        <v>0.85806532109450095</v>
      </c>
      <c r="G181" s="87">
        <f t="shared" si="76"/>
        <v>1.5841205927898476</v>
      </c>
      <c r="H181" s="87">
        <f t="shared" si="76"/>
        <v>1.7161306421890019</v>
      </c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71"/>
      <c r="W181" s="98">
        <f t="shared" si="74"/>
        <v>5.4124120253653132</v>
      </c>
      <c r="X181" s="99">
        <f t="shared" si="75"/>
        <v>1.0824824050730626</v>
      </c>
      <c r="Y181" s="101"/>
      <c r="Z181" s="95"/>
      <c r="AA181" s="100"/>
    </row>
    <row r="182" spans="3:53" x14ac:dyDescent="0.25">
      <c r="C182" s="54" t="s">
        <v>53</v>
      </c>
      <c r="D182" s="87">
        <f t="shared" ref="D182:H182" si="77">IF(D170="","",D170*$Z170)</f>
        <v>0.66105795729652672</v>
      </c>
      <c r="E182" s="87">
        <f t="shared" si="77"/>
        <v>0.33052897864826342</v>
      </c>
      <c r="F182" s="87">
        <f t="shared" si="77"/>
        <v>1.3221159145930537</v>
      </c>
      <c r="G182" s="87">
        <f t="shared" si="77"/>
        <v>1.6939610155723499</v>
      </c>
      <c r="H182" s="87">
        <f t="shared" si="77"/>
        <v>1.4047481592551194</v>
      </c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71"/>
      <c r="W182" s="98">
        <f t="shared" si="74"/>
        <v>5.4124120253653132</v>
      </c>
      <c r="X182" s="99">
        <f t="shared" si="75"/>
        <v>1.0824824050730626</v>
      </c>
      <c r="Y182" s="101"/>
      <c r="Z182" s="95"/>
      <c r="AA182" s="100"/>
    </row>
    <row r="183" spans="3:53" x14ac:dyDescent="0.25">
      <c r="C183" s="54" t="s">
        <v>58</v>
      </c>
      <c r="D183" s="87">
        <f t="shared" ref="D183:H183" si="78">IF(D171="","",D171*$Z171)</f>
        <v>0.15464034358186612</v>
      </c>
      <c r="E183" s="87">
        <f t="shared" si="78"/>
        <v>1.0824824050730628</v>
      </c>
      <c r="F183" s="87">
        <f t="shared" si="78"/>
        <v>1.4433098734307503</v>
      </c>
      <c r="G183" s="87">
        <f t="shared" si="78"/>
        <v>1.1340291862670182</v>
      </c>
      <c r="H183" s="87">
        <f t="shared" si="78"/>
        <v>1.5979502170126165</v>
      </c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71"/>
      <c r="W183" s="98">
        <f t="shared" si="74"/>
        <v>5.4124120253653141</v>
      </c>
      <c r="X183" s="99">
        <f t="shared" si="75"/>
        <v>1.0824824050730628</v>
      </c>
      <c r="Y183" s="101"/>
      <c r="Z183" s="95"/>
      <c r="AA183" s="100"/>
    </row>
    <row r="184" spans="3:53" x14ac:dyDescent="0.25">
      <c r="C184" s="54" t="s">
        <v>63</v>
      </c>
      <c r="D184" s="87">
        <f t="shared" ref="D184:H184" si="79">IF(D172="","",D172*$Z172)</f>
        <v>0.7414263048445634</v>
      </c>
      <c r="E184" s="87">
        <f t="shared" si="79"/>
        <v>1.779423131626952</v>
      </c>
      <c r="F184" s="87">
        <f t="shared" si="79"/>
        <v>1.2604247182357575</v>
      </c>
      <c r="G184" s="87">
        <f t="shared" si="79"/>
        <v>0.222427891453369</v>
      </c>
      <c r="H184" s="87">
        <f t="shared" si="79"/>
        <v>1.4087099792046704</v>
      </c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71"/>
      <c r="W184" s="98">
        <f t="shared" si="74"/>
        <v>5.4124120253653123</v>
      </c>
      <c r="X184" s="99">
        <f t="shared" si="75"/>
        <v>1.0824824050730624</v>
      </c>
      <c r="Y184" s="101"/>
      <c r="Z184" s="95"/>
      <c r="AA184" s="100"/>
    </row>
    <row r="185" spans="3:53" x14ac:dyDescent="0.25">
      <c r="C185" s="54" t="s">
        <v>66</v>
      </c>
      <c r="D185" s="87">
        <f t="shared" ref="D185:H185" si="80">IF(D173="","",D173*$Z173)</f>
        <v>1.22423605335644</v>
      </c>
      <c r="E185" s="87">
        <f t="shared" si="80"/>
        <v>1.2886695298488839</v>
      </c>
      <c r="F185" s="87">
        <f t="shared" si="80"/>
        <v>1.4175364828337726</v>
      </c>
      <c r="G185" s="87">
        <f t="shared" si="80"/>
        <v>0.1288669529848884</v>
      </c>
      <c r="H185" s="87">
        <f t="shared" si="80"/>
        <v>1.3531030063413281</v>
      </c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71"/>
      <c r="W185" s="98">
        <f t="shared" si="74"/>
        <v>5.4124120253653132</v>
      </c>
      <c r="X185" s="99">
        <f t="shared" si="75"/>
        <v>1.0824824050730626</v>
      </c>
      <c r="Y185" s="101"/>
      <c r="Z185" s="95"/>
      <c r="AA185" s="100"/>
    </row>
    <row r="186" spans="3:53" ht="14.25" customHeight="1" x14ac:dyDescent="0.25">
      <c r="C186" s="54" t="s">
        <v>69</v>
      </c>
      <c r="D186" s="87">
        <f t="shared" ref="D186:H186" si="81">IF(D174="","",D174*$Z174)</f>
        <v>3.3765506213288194</v>
      </c>
      <c r="E186" s="87">
        <f t="shared" si="81"/>
        <v>0.39724124956809642</v>
      </c>
      <c r="F186" s="87">
        <f t="shared" si="81"/>
        <v>0.29793093717607239</v>
      </c>
      <c r="G186" s="87">
        <f t="shared" si="81"/>
        <v>1.142068592508277</v>
      </c>
      <c r="H186" s="87">
        <f t="shared" si="81"/>
        <v>0.19862062478404821</v>
      </c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71"/>
      <c r="W186" s="98">
        <f t="shared" si="74"/>
        <v>5.4124120253653141</v>
      </c>
      <c r="X186" s="99">
        <f t="shared" si="75"/>
        <v>1.0824824050730628</v>
      </c>
      <c r="Y186" s="101"/>
      <c r="Z186" s="95"/>
      <c r="AA186" s="100"/>
    </row>
    <row r="187" spans="3:53" x14ac:dyDescent="0.25">
      <c r="C187" s="54" t="s">
        <v>74</v>
      </c>
      <c r="D187" s="87">
        <f t="shared" ref="D187:H187" si="82">IF(D175="","",D175*$Z175)</f>
        <v>4.095879370546724</v>
      </c>
      <c r="E187" s="87">
        <f t="shared" si="82"/>
        <v>7.3140703045477207E-2</v>
      </c>
      <c r="F187" s="87">
        <f t="shared" si="82"/>
        <v>0.73140703045477207</v>
      </c>
      <c r="G187" s="87">
        <f t="shared" si="82"/>
        <v>0.43884421827286324</v>
      </c>
      <c r="H187" s="87">
        <f t="shared" si="82"/>
        <v>7.3140703045477207E-2</v>
      </c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71"/>
      <c r="W187" s="98">
        <f t="shared" si="74"/>
        <v>5.4124120253653141</v>
      </c>
      <c r="X187" s="99">
        <f t="shared" si="75"/>
        <v>1.0824824050730628</v>
      </c>
      <c r="Y187" s="101"/>
      <c r="Z187" s="95"/>
      <c r="AA187" s="106"/>
      <c r="AB187" s="103"/>
      <c r="AC187" s="103"/>
      <c r="AD187" s="103"/>
      <c r="AE187" s="103"/>
      <c r="AF187" s="103"/>
    </row>
    <row r="188" spans="3:53" x14ac:dyDescent="0.25">
      <c r="C188" s="54" t="s">
        <v>79</v>
      </c>
      <c r="D188" s="87">
        <f t="shared" ref="D188:H188" si="83">IF(D176="","",D176*$Z176)</f>
        <v>2.3761808891847718</v>
      </c>
      <c r="E188" s="87">
        <f t="shared" si="83"/>
        <v>0.66005024699576997</v>
      </c>
      <c r="F188" s="87">
        <f t="shared" si="83"/>
        <v>1.5841205927898476</v>
      </c>
      <c r="G188" s="87">
        <f t="shared" si="83"/>
        <v>0.52804019759661591</v>
      </c>
      <c r="H188" s="87">
        <f t="shared" si="83"/>
        <v>0.26402009879830796</v>
      </c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71"/>
      <c r="W188" s="98">
        <f t="shared" si="74"/>
        <v>5.4124120253653132</v>
      </c>
      <c r="X188" s="99">
        <f t="shared" si="75"/>
        <v>1.0824824050730626</v>
      </c>
      <c r="Y188" s="101"/>
      <c r="Z188" s="95"/>
      <c r="AA188" s="106"/>
      <c r="AB188" s="103"/>
      <c r="AC188" s="103"/>
      <c r="AD188" s="103"/>
      <c r="AE188" s="103"/>
      <c r="AF188" s="103"/>
    </row>
    <row r="189" spans="3:53" x14ac:dyDescent="0.25">
      <c r="V189" s="71"/>
      <c r="W189" s="71"/>
      <c r="Y189" s="101"/>
      <c r="AA189" s="103"/>
      <c r="AB189" s="103"/>
      <c r="AC189" s="103"/>
      <c r="AD189" s="103"/>
      <c r="AE189" s="103"/>
      <c r="AF189" s="103"/>
    </row>
    <row r="190" spans="3:53" x14ac:dyDescent="0.25">
      <c r="F190" s="102"/>
      <c r="G190" s="102"/>
      <c r="H190" s="102"/>
      <c r="I190" s="102"/>
      <c r="J190" s="102"/>
      <c r="K190" s="102"/>
      <c r="L190" s="102"/>
      <c r="P190" s="102"/>
      <c r="S190" s="102"/>
      <c r="Y190" s="3" t="s">
        <v>88</v>
      </c>
      <c r="Z190" s="3" t="s">
        <v>89</v>
      </c>
      <c r="AA190" s="103"/>
      <c r="AB190" s="103"/>
      <c r="AC190" s="103"/>
      <c r="AD190" s="103"/>
      <c r="AE190" s="103"/>
      <c r="AF190" s="103"/>
    </row>
    <row r="191" spans="3:53" x14ac:dyDescent="0.25">
      <c r="C191" s="54" t="s">
        <v>25</v>
      </c>
      <c r="D191" s="87">
        <f>IF(D179="","",D$165*D179)</f>
        <v>0.13350089573806179</v>
      </c>
      <c r="E191" s="87">
        <f>IF(E179="","",E$165*E179)</f>
        <v>0.10474795068652257</v>
      </c>
      <c r="F191" s="87">
        <f>IF(F179="","",F$165*F179)</f>
        <v>0.42397556754170945</v>
      </c>
      <c r="G191" s="87">
        <f>IF(G179="","",G$165*G179)</f>
        <v>0.13065641642546102</v>
      </c>
      <c r="H191" s="87">
        <f>IF(H179="","",H$165*H179)</f>
        <v>0.25031417950886581</v>
      </c>
      <c r="I191" s="87" t="str">
        <f t="shared" ref="I191:U191" si="84">IF(I179="","",I$166*I179)</f>
        <v/>
      </c>
      <c r="J191" s="87" t="str">
        <f t="shared" si="84"/>
        <v/>
      </c>
      <c r="K191" s="87" t="str">
        <f t="shared" si="84"/>
        <v/>
      </c>
      <c r="L191" s="87" t="str">
        <f t="shared" si="84"/>
        <v/>
      </c>
      <c r="M191" s="87" t="str">
        <f t="shared" si="84"/>
        <v/>
      </c>
      <c r="N191" s="87" t="str">
        <f t="shared" si="84"/>
        <v/>
      </c>
      <c r="O191" s="87" t="str">
        <f t="shared" si="84"/>
        <v/>
      </c>
      <c r="P191" s="87" t="str">
        <f t="shared" si="84"/>
        <v/>
      </c>
      <c r="Q191" s="87" t="str">
        <f t="shared" si="84"/>
        <v/>
      </c>
      <c r="R191" s="87" t="str">
        <f t="shared" si="84"/>
        <v/>
      </c>
      <c r="S191" s="87" t="str">
        <f t="shared" si="84"/>
        <v/>
      </c>
      <c r="T191" s="87" t="str">
        <f t="shared" si="84"/>
        <v/>
      </c>
      <c r="U191" s="87" t="str">
        <f t="shared" si="84"/>
        <v/>
      </c>
      <c r="V191" s="94">
        <f>+SUM(D191:H191)</f>
        <v>1.0431950099006206</v>
      </c>
      <c r="W191" s="104"/>
      <c r="Y191" s="101">
        <f>V191/MAX($V$191:$V$200)*100</f>
        <v>93.046965748579183</v>
      </c>
      <c r="Z191" s="3">
        <f>_xlfn.RANK.EQ(Y191,$Y$191:$Y$200,0)</f>
        <v>10</v>
      </c>
      <c r="AA191" s="107"/>
      <c r="AB191" s="111"/>
      <c r="AC191"/>
      <c r="AD191" s="103"/>
      <c r="AE191" s="143"/>
      <c r="AF191" s="143"/>
      <c r="BA191" s="3">
        <v>9</v>
      </c>
    </row>
    <row r="192" spans="3:53" x14ac:dyDescent="0.25">
      <c r="C192" s="54" t="s">
        <v>44</v>
      </c>
      <c r="D192" s="87">
        <f t="shared" ref="D192:H200" si="85">IF(D180="","",D$165*D180)</f>
        <v>0.20412525352806324</v>
      </c>
      <c r="E192" s="87">
        <f t="shared" si="85"/>
        <v>3.7964204349348121E-2</v>
      </c>
      <c r="F192" s="87">
        <f t="shared" si="85"/>
        <v>0.2108182808987159</v>
      </c>
      <c r="G192" s="87">
        <f t="shared" si="85"/>
        <v>0.12985439601213514</v>
      </c>
      <c r="H192" s="87">
        <f t="shared" si="85"/>
        <v>0.51031313382015808</v>
      </c>
      <c r="I192" s="87" t="str">
        <f t="shared" ref="I192:U200" si="86">IF(I180="","",I$166*I180)</f>
        <v/>
      </c>
      <c r="J192" s="87" t="str">
        <f t="shared" si="86"/>
        <v/>
      </c>
      <c r="K192" s="87" t="str">
        <f t="shared" si="86"/>
        <v/>
      </c>
      <c r="L192" s="87" t="str">
        <f t="shared" si="86"/>
        <v/>
      </c>
      <c r="M192" s="87" t="str">
        <f t="shared" si="86"/>
        <v/>
      </c>
      <c r="N192" s="87" t="str">
        <f t="shared" si="86"/>
        <v/>
      </c>
      <c r="O192" s="87" t="str">
        <f t="shared" si="86"/>
        <v/>
      </c>
      <c r="P192" s="87" t="str">
        <f t="shared" si="86"/>
        <v/>
      </c>
      <c r="Q192" s="87" t="str">
        <f t="shared" si="86"/>
        <v/>
      </c>
      <c r="R192" s="87" t="str">
        <f t="shared" si="86"/>
        <v/>
      </c>
      <c r="S192" s="87" t="str">
        <f t="shared" si="86"/>
        <v/>
      </c>
      <c r="T192" s="87" t="str">
        <f t="shared" si="86"/>
        <v/>
      </c>
      <c r="U192" s="87" t="str">
        <f t="shared" si="86"/>
        <v/>
      </c>
      <c r="V192" s="94">
        <f t="shared" ref="V192:V200" si="87">+SUM(D192:H192)</f>
        <v>1.0930752686084206</v>
      </c>
      <c r="W192" s="104"/>
      <c r="Y192" s="101">
        <f t="shared" ref="Y192:Y200" si="88">V192/MAX($V$191:$V$200)*100</f>
        <v>97.495996542885877</v>
      </c>
      <c r="Z192" s="3">
        <f t="shared" ref="Z192:Z200" si="89">_xlfn.RANK.EQ(Y192,$Y$191:$Y$200,0)</f>
        <v>4</v>
      </c>
      <c r="AA192" s="107"/>
      <c r="AB192" s="111"/>
      <c r="AC192"/>
      <c r="AD192" s="103"/>
      <c r="AE192" s="143"/>
      <c r="AF192" s="143"/>
      <c r="BA192" s="3">
        <v>6</v>
      </c>
    </row>
    <row r="193" spans="3:53" x14ac:dyDescent="0.25">
      <c r="C193" s="54" t="s">
        <v>49</v>
      </c>
      <c r="D193" s="87">
        <f t="shared" si="85"/>
        <v>0.19516365703170924</v>
      </c>
      <c r="E193" s="87">
        <f t="shared" si="85"/>
        <v>6.4816934254984596E-2</v>
      </c>
      <c r="F193" s="87">
        <f t="shared" si="85"/>
        <v>0.14973239853099041</v>
      </c>
      <c r="G193" s="87">
        <f t="shared" si="85"/>
        <v>0.32743772652966152</v>
      </c>
      <c r="H193" s="87">
        <f t="shared" si="85"/>
        <v>0.36244679163031718</v>
      </c>
      <c r="I193" s="87" t="str">
        <f t="shared" si="86"/>
        <v/>
      </c>
      <c r="J193" s="87" t="str">
        <f t="shared" si="86"/>
        <v/>
      </c>
      <c r="K193" s="87" t="str">
        <f t="shared" si="86"/>
        <v/>
      </c>
      <c r="L193" s="87" t="str">
        <f t="shared" si="86"/>
        <v/>
      </c>
      <c r="M193" s="87" t="str">
        <f t="shared" si="86"/>
        <v/>
      </c>
      <c r="N193" s="87" t="str">
        <f t="shared" si="86"/>
        <v/>
      </c>
      <c r="O193" s="87" t="str">
        <f t="shared" si="86"/>
        <v/>
      </c>
      <c r="P193" s="87" t="str">
        <f t="shared" si="86"/>
        <v/>
      </c>
      <c r="Q193" s="87" t="str">
        <f t="shared" si="86"/>
        <v/>
      </c>
      <c r="R193" s="87" t="str">
        <f t="shared" si="86"/>
        <v/>
      </c>
      <c r="S193" s="87" t="str">
        <f t="shared" si="86"/>
        <v/>
      </c>
      <c r="T193" s="87" t="str">
        <f t="shared" si="86"/>
        <v/>
      </c>
      <c r="U193" s="87" t="str">
        <f t="shared" si="86"/>
        <v/>
      </c>
      <c r="V193" s="94">
        <f t="shared" si="87"/>
        <v>1.099597507977663</v>
      </c>
      <c r="W193" s="104"/>
      <c r="Y193" s="101">
        <f t="shared" si="88"/>
        <v>98.077742599408651</v>
      </c>
      <c r="Z193" s="3">
        <f t="shared" si="89"/>
        <v>3</v>
      </c>
      <c r="AA193" s="107"/>
      <c r="AB193" s="111"/>
      <c r="AC193"/>
      <c r="AD193" s="103"/>
      <c r="AE193" s="143"/>
      <c r="AF193" s="143"/>
      <c r="BA193" s="3">
        <v>3</v>
      </c>
    </row>
    <row r="194" spans="3:53" x14ac:dyDescent="0.25">
      <c r="C194" s="54" t="s">
        <v>53</v>
      </c>
      <c r="D194" s="87">
        <f t="shared" si="85"/>
        <v>0.13961544058102646</v>
      </c>
      <c r="E194" s="87">
        <f t="shared" si="85"/>
        <v>6.4915891406518933E-2</v>
      </c>
      <c r="F194" s="87">
        <f t="shared" si="85"/>
        <v>0.23070922709648786</v>
      </c>
      <c r="G194" s="87">
        <f t="shared" si="85"/>
        <v>0.35014174191880471</v>
      </c>
      <c r="H194" s="87">
        <f t="shared" si="85"/>
        <v>0.29668281123468121</v>
      </c>
      <c r="I194" s="87" t="str">
        <f t="shared" si="86"/>
        <v/>
      </c>
      <c r="J194" s="87" t="str">
        <f t="shared" si="86"/>
        <v/>
      </c>
      <c r="K194" s="87" t="str">
        <f t="shared" si="86"/>
        <v/>
      </c>
      <c r="L194" s="87" t="str">
        <f t="shared" si="86"/>
        <v/>
      </c>
      <c r="M194" s="87" t="str">
        <f t="shared" si="86"/>
        <v/>
      </c>
      <c r="N194" s="87" t="str">
        <f t="shared" si="86"/>
        <v/>
      </c>
      <c r="O194" s="87" t="str">
        <f t="shared" si="86"/>
        <v/>
      </c>
      <c r="P194" s="87" t="str">
        <f t="shared" si="86"/>
        <v/>
      </c>
      <c r="Q194" s="87" t="str">
        <f t="shared" si="86"/>
        <v/>
      </c>
      <c r="R194" s="87" t="str">
        <f t="shared" si="86"/>
        <v/>
      </c>
      <c r="S194" s="87" t="str">
        <f t="shared" si="86"/>
        <v/>
      </c>
      <c r="T194" s="87" t="str">
        <f t="shared" si="86"/>
        <v/>
      </c>
      <c r="U194" s="87" t="str">
        <f t="shared" si="86"/>
        <v/>
      </c>
      <c r="V194" s="94">
        <f t="shared" si="87"/>
        <v>1.0820651122375193</v>
      </c>
      <c r="W194" s="104"/>
      <c r="Y194" s="101">
        <f t="shared" si="88"/>
        <v>96.513954227684096</v>
      </c>
      <c r="Z194" s="3">
        <f t="shared" si="89"/>
        <v>5</v>
      </c>
      <c r="AA194" s="107"/>
      <c r="AB194" s="111"/>
      <c r="AC194"/>
      <c r="AD194" s="103"/>
      <c r="AE194" s="143"/>
      <c r="AF194" s="143"/>
      <c r="BA194" s="3">
        <v>5</v>
      </c>
    </row>
    <row r="195" spans="3:53" x14ac:dyDescent="0.25">
      <c r="C195" s="54" t="s">
        <v>58</v>
      </c>
      <c r="D195" s="87">
        <f t="shared" si="85"/>
        <v>3.2660040564490123E-2</v>
      </c>
      <c r="E195" s="87">
        <f t="shared" si="85"/>
        <v>0.21259954435634953</v>
      </c>
      <c r="F195" s="87">
        <f t="shared" si="85"/>
        <v>0.25185757291366589</v>
      </c>
      <c r="G195" s="87">
        <f t="shared" si="85"/>
        <v>0.23440383280139265</v>
      </c>
      <c r="H195" s="87">
        <f t="shared" si="85"/>
        <v>0.33748708583306458</v>
      </c>
      <c r="I195" s="87" t="str">
        <f t="shared" si="86"/>
        <v/>
      </c>
      <c r="J195" s="87" t="str">
        <f t="shared" si="86"/>
        <v/>
      </c>
      <c r="K195" s="87" t="str">
        <f t="shared" si="86"/>
        <v/>
      </c>
      <c r="L195" s="87" t="str">
        <f t="shared" si="86"/>
        <v/>
      </c>
      <c r="M195" s="87" t="str">
        <f t="shared" si="86"/>
        <v/>
      </c>
      <c r="N195" s="87" t="str">
        <f t="shared" si="86"/>
        <v/>
      </c>
      <c r="O195" s="87" t="str">
        <f t="shared" si="86"/>
        <v/>
      </c>
      <c r="P195" s="87" t="str">
        <f t="shared" si="86"/>
        <v/>
      </c>
      <c r="Q195" s="87" t="str">
        <f t="shared" si="86"/>
        <v/>
      </c>
      <c r="R195" s="87" t="str">
        <f t="shared" si="86"/>
        <v/>
      </c>
      <c r="S195" s="87" t="str">
        <f t="shared" si="86"/>
        <v/>
      </c>
      <c r="T195" s="87" t="str">
        <f t="shared" si="86"/>
        <v/>
      </c>
      <c r="U195" s="87" t="str">
        <f t="shared" si="86"/>
        <v/>
      </c>
      <c r="V195" s="94">
        <f t="shared" si="87"/>
        <v>1.0690080764689627</v>
      </c>
      <c r="W195" s="104"/>
      <c r="Y195" s="101">
        <f t="shared" si="88"/>
        <v>95.349342100129348</v>
      </c>
      <c r="Z195" s="3">
        <f t="shared" si="89"/>
        <v>9</v>
      </c>
      <c r="AA195" s="107"/>
      <c r="AB195" s="111"/>
      <c r="AC195"/>
      <c r="AD195" s="103"/>
      <c r="AE195" s="143"/>
      <c r="AF195" s="143"/>
      <c r="BA195" s="3">
        <v>10</v>
      </c>
    </row>
    <row r="196" spans="3:53" x14ac:dyDescent="0.25">
      <c r="C196" s="54" t="s">
        <v>63</v>
      </c>
      <c r="D196" s="87">
        <f t="shared" si="85"/>
        <v>0.15658923558317178</v>
      </c>
      <c r="E196" s="87">
        <f t="shared" si="85"/>
        <v>0.34947870305153333</v>
      </c>
      <c r="F196" s="87">
        <f t="shared" si="85"/>
        <v>0.21994411333213967</v>
      </c>
      <c r="G196" s="87">
        <f t="shared" si="85"/>
        <v>4.5975845163411369E-2</v>
      </c>
      <c r="H196" s="87">
        <f t="shared" si="85"/>
        <v>0.2975195476080264</v>
      </c>
      <c r="I196" s="87" t="str">
        <f t="shared" si="86"/>
        <v/>
      </c>
      <c r="J196" s="87" t="str">
        <f t="shared" si="86"/>
        <v/>
      </c>
      <c r="K196" s="87" t="str">
        <f t="shared" si="86"/>
        <v/>
      </c>
      <c r="L196" s="87" t="str">
        <f t="shared" si="86"/>
        <v/>
      </c>
      <c r="M196" s="87" t="str">
        <f t="shared" si="86"/>
        <v/>
      </c>
      <c r="N196" s="87" t="str">
        <f t="shared" si="86"/>
        <v/>
      </c>
      <c r="O196" s="87" t="str">
        <f t="shared" si="86"/>
        <v/>
      </c>
      <c r="P196" s="87" t="str">
        <f t="shared" si="86"/>
        <v/>
      </c>
      <c r="Q196" s="87" t="str">
        <f t="shared" si="86"/>
        <v/>
      </c>
      <c r="R196" s="87" t="str">
        <f t="shared" si="86"/>
        <v/>
      </c>
      <c r="S196" s="87" t="str">
        <f t="shared" si="86"/>
        <v/>
      </c>
      <c r="T196" s="87" t="str">
        <f t="shared" si="86"/>
        <v/>
      </c>
      <c r="U196" s="87" t="str">
        <f t="shared" si="86"/>
        <v/>
      </c>
      <c r="V196" s="94">
        <f t="shared" si="87"/>
        <v>1.0695074447382826</v>
      </c>
      <c r="W196" s="104"/>
      <c r="Y196" s="101">
        <f>V196/MAX($V$191:$V$200)*100</f>
        <v>95.39388286365903</v>
      </c>
      <c r="Z196" s="3">
        <f t="shared" si="89"/>
        <v>8</v>
      </c>
      <c r="AA196" s="107"/>
      <c r="AB196" s="111"/>
      <c r="AC196"/>
      <c r="AD196" s="103"/>
      <c r="AE196" s="143"/>
      <c r="AF196" s="143"/>
      <c r="BA196" s="3">
        <v>4</v>
      </c>
    </row>
    <row r="197" spans="3:53" x14ac:dyDescent="0.25">
      <c r="C197" s="54" t="s">
        <v>66</v>
      </c>
      <c r="D197" s="87">
        <f t="shared" si="85"/>
        <v>0.25855865446888016</v>
      </c>
      <c r="E197" s="87">
        <f t="shared" si="85"/>
        <v>0.25309469566232079</v>
      </c>
      <c r="F197" s="87">
        <f t="shared" si="85"/>
        <v>0.24736011625449331</v>
      </c>
      <c r="G197" s="87">
        <f t="shared" si="85"/>
        <v>2.6636799181976433E-2</v>
      </c>
      <c r="H197" s="87">
        <f t="shared" si="85"/>
        <v>0.28577535493928846</v>
      </c>
      <c r="I197" s="87" t="str">
        <f t="shared" si="86"/>
        <v/>
      </c>
      <c r="J197" s="87" t="str">
        <f t="shared" si="86"/>
        <v/>
      </c>
      <c r="K197" s="87" t="str">
        <f t="shared" si="86"/>
        <v/>
      </c>
      <c r="L197" s="87" t="str">
        <f t="shared" si="86"/>
        <v/>
      </c>
      <c r="M197" s="87" t="str">
        <f t="shared" si="86"/>
        <v/>
      </c>
      <c r="N197" s="87" t="str">
        <f t="shared" si="86"/>
        <v/>
      </c>
      <c r="O197" s="87" t="str">
        <f t="shared" si="86"/>
        <v/>
      </c>
      <c r="P197" s="87" t="str">
        <f t="shared" si="86"/>
        <v/>
      </c>
      <c r="Q197" s="87" t="str">
        <f t="shared" si="86"/>
        <v/>
      </c>
      <c r="R197" s="87" t="str">
        <f t="shared" si="86"/>
        <v/>
      </c>
      <c r="S197" s="87" t="str">
        <f t="shared" si="86"/>
        <v/>
      </c>
      <c r="T197" s="87" t="str">
        <f t="shared" si="86"/>
        <v/>
      </c>
      <c r="U197" s="87" t="str">
        <f t="shared" si="86"/>
        <v/>
      </c>
      <c r="V197" s="94">
        <f t="shared" si="87"/>
        <v>1.0714256205069592</v>
      </c>
      <c r="W197" s="104"/>
      <c r="Y197" s="101">
        <f t="shared" si="88"/>
        <v>95.564973056148361</v>
      </c>
      <c r="Z197" s="3">
        <f t="shared" si="89"/>
        <v>7</v>
      </c>
      <c r="AA197" s="107"/>
      <c r="AB197" s="111"/>
      <c r="AC197"/>
      <c r="AD197" s="103"/>
      <c r="AE197" s="143"/>
      <c r="AF197" s="143"/>
      <c r="BA197" s="3">
        <v>7</v>
      </c>
    </row>
    <row r="198" spans="3:53" ht="16.5" customHeight="1" x14ac:dyDescent="0.25">
      <c r="C198" s="54" t="s">
        <v>69</v>
      </c>
      <c r="D198" s="87">
        <f t="shared" si="85"/>
        <v>0.71312749122464669</v>
      </c>
      <c r="E198" s="87">
        <f t="shared" si="85"/>
        <v>7.8018181415174137E-2</v>
      </c>
      <c r="F198" s="87">
        <f t="shared" si="85"/>
        <v>5.1988948537224626E-2</v>
      </c>
      <c r="G198" s="87">
        <f t="shared" si="85"/>
        <v>0.23606557807146084</v>
      </c>
      <c r="H198" s="87">
        <f t="shared" si="85"/>
        <v>4.1948675954390981E-2</v>
      </c>
      <c r="I198" s="87" t="str">
        <f t="shared" si="86"/>
        <v/>
      </c>
      <c r="J198" s="87" t="str">
        <f t="shared" si="86"/>
        <v/>
      </c>
      <c r="K198" s="87" t="str">
        <f t="shared" si="86"/>
        <v/>
      </c>
      <c r="L198" s="87" t="str">
        <f t="shared" si="86"/>
        <v/>
      </c>
      <c r="M198" s="87" t="str">
        <f t="shared" si="86"/>
        <v/>
      </c>
      <c r="N198" s="87" t="str">
        <f t="shared" si="86"/>
        <v/>
      </c>
      <c r="O198" s="87" t="str">
        <f t="shared" si="86"/>
        <v/>
      </c>
      <c r="P198" s="87" t="str">
        <f t="shared" si="86"/>
        <v/>
      </c>
      <c r="Q198" s="87" t="str">
        <f t="shared" si="86"/>
        <v/>
      </c>
      <c r="R198" s="87" t="str">
        <f t="shared" si="86"/>
        <v/>
      </c>
      <c r="S198" s="87" t="str">
        <f t="shared" si="86"/>
        <v/>
      </c>
      <c r="T198" s="87" t="str">
        <f t="shared" si="86"/>
        <v/>
      </c>
      <c r="U198" s="87" t="str">
        <f t="shared" si="86"/>
        <v/>
      </c>
      <c r="V198" s="94">
        <f t="shared" si="87"/>
        <v>1.1211488752028973</v>
      </c>
      <c r="W198" s="104"/>
      <c r="Y198" s="101">
        <f t="shared" si="88"/>
        <v>100</v>
      </c>
      <c r="Z198" s="3">
        <f t="shared" si="89"/>
        <v>1</v>
      </c>
      <c r="AA198" s="107"/>
      <c r="AB198" s="111"/>
      <c r="AC198"/>
      <c r="AD198" s="103"/>
      <c r="AE198" s="143"/>
      <c r="AF198" s="143"/>
      <c r="BA198" s="3">
        <v>1</v>
      </c>
    </row>
    <row r="199" spans="3:53" x14ac:dyDescent="0.25">
      <c r="C199" s="54" t="s">
        <v>74</v>
      </c>
      <c r="D199" s="87">
        <f t="shared" si="85"/>
        <v>0.86504972305946815</v>
      </c>
      <c r="E199" s="87">
        <f t="shared" si="85"/>
        <v>1.4364834078131723E-2</v>
      </c>
      <c r="F199" s="87">
        <f t="shared" si="85"/>
        <v>0.12763052681435771</v>
      </c>
      <c r="G199" s="87">
        <f t="shared" si="85"/>
        <v>9.0709099917000824E-2</v>
      </c>
      <c r="H199" s="87">
        <f t="shared" si="85"/>
        <v>1.5447316483204786E-2</v>
      </c>
      <c r="I199" s="87" t="str">
        <f t="shared" si="86"/>
        <v/>
      </c>
      <c r="J199" s="87" t="str">
        <f t="shared" si="86"/>
        <v/>
      </c>
      <c r="K199" s="87" t="str">
        <f t="shared" si="86"/>
        <v/>
      </c>
      <c r="L199" s="87" t="str">
        <f t="shared" si="86"/>
        <v/>
      </c>
      <c r="M199" s="87" t="str">
        <f t="shared" si="86"/>
        <v/>
      </c>
      <c r="N199" s="87" t="str">
        <f t="shared" si="86"/>
        <v/>
      </c>
      <c r="O199" s="87" t="str">
        <f t="shared" si="86"/>
        <v/>
      </c>
      <c r="P199" s="87" t="str">
        <f t="shared" si="86"/>
        <v/>
      </c>
      <c r="Q199" s="87" t="str">
        <f t="shared" si="86"/>
        <v/>
      </c>
      <c r="R199" s="87" t="str">
        <f t="shared" si="86"/>
        <v/>
      </c>
      <c r="S199" s="87" t="str">
        <f t="shared" si="86"/>
        <v/>
      </c>
      <c r="T199" s="87" t="str">
        <f t="shared" si="86"/>
        <v/>
      </c>
      <c r="U199" s="87" t="str">
        <f t="shared" si="86"/>
        <v/>
      </c>
      <c r="V199" s="94">
        <f t="shared" si="87"/>
        <v>1.1132015003521631</v>
      </c>
      <c r="W199" s="104"/>
      <c r="Y199" s="101">
        <f t="shared" si="88"/>
        <v>99.291140095083634</v>
      </c>
      <c r="Z199" s="3">
        <f t="shared" si="89"/>
        <v>2</v>
      </c>
      <c r="AA199" s="107"/>
      <c r="AB199" s="111"/>
      <c r="AC199"/>
      <c r="AD199" s="103"/>
      <c r="AE199" s="143"/>
      <c r="AF199" s="143"/>
      <c r="BA199" s="3">
        <v>2</v>
      </c>
    </row>
    <row r="200" spans="3:53" x14ac:dyDescent="0.25">
      <c r="C200" s="54" t="s">
        <v>79</v>
      </c>
      <c r="D200" s="87">
        <f t="shared" si="85"/>
        <v>0.50184940379582377</v>
      </c>
      <c r="E200" s="87">
        <f t="shared" si="85"/>
        <v>0.12963386850996922</v>
      </c>
      <c r="F200" s="87">
        <f t="shared" si="85"/>
        <v>0.27642904344182839</v>
      </c>
      <c r="G200" s="87">
        <f t="shared" si="85"/>
        <v>0.10914590884322051</v>
      </c>
      <c r="H200" s="87">
        <f t="shared" si="85"/>
        <v>5.576104486620264E-2</v>
      </c>
      <c r="I200" s="87" t="str">
        <f t="shared" si="86"/>
        <v/>
      </c>
      <c r="J200" s="87" t="str">
        <f t="shared" si="86"/>
        <v/>
      </c>
      <c r="K200" s="87" t="str">
        <f t="shared" si="86"/>
        <v/>
      </c>
      <c r="L200" s="87" t="str">
        <f t="shared" si="86"/>
        <v/>
      </c>
      <c r="M200" s="87" t="str">
        <f t="shared" si="86"/>
        <v/>
      </c>
      <c r="N200" s="87" t="str">
        <f t="shared" si="86"/>
        <v/>
      </c>
      <c r="O200" s="87" t="str">
        <f t="shared" si="86"/>
        <v/>
      </c>
      <c r="P200" s="87" t="str">
        <f t="shared" si="86"/>
        <v/>
      </c>
      <c r="Q200" s="87" t="str">
        <f t="shared" si="86"/>
        <v/>
      </c>
      <c r="R200" s="87" t="str">
        <f t="shared" si="86"/>
        <v/>
      </c>
      <c r="S200" s="87" t="str">
        <f t="shared" si="86"/>
        <v/>
      </c>
      <c r="T200" s="87" t="str">
        <f t="shared" si="86"/>
        <v/>
      </c>
      <c r="U200" s="87" t="str">
        <f t="shared" si="86"/>
        <v/>
      </c>
      <c r="V200" s="94">
        <f t="shared" si="87"/>
        <v>1.0728192694570446</v>
      </c>
      <c r="W200" s="104"/>
      <c r="Y200" s="101">
        <f t="shared" si="88"/>
        <v>95.689278487916567</v>
      </c>
      <c r="Z200" s="3">
        <f t="shared" si="89"/>
        <v>6</v>
      </c>
      <c r="AA200" s="107"/>
      <c r="AB200" s="111"/>
      <c r="AC200"/>
      <c r="AD200" s="103"/>
      <c r="AE200" s="143"/>
      <c r="AF200" s="143"/>
      <c r="BA200" s="3">
        <v>8</v>
      </c>
    </row>
    <row r="201" spans="3:53" x14ac:dyDescent="0.25">
      <c r="V201" s="71">
        <f>AVERAGE(V191:V200)</f>
        <v>1.0835043685450532</v>
      </c>
      <c r="W201" s="71"/>
      <c r="Y201" s="87"/>
      <c r="AA201" s="103"/>
      <c r="AB201" s="103"/>
      <c r="AC201" s="103"/>
      <c r="AD201" s="103"/>
      <c r="AE201" s="103"/>
      <c r="AF201" s="103"/>
    </row>
    <row r="202" spans="3:53" x14ac:dyDescent="0.25">
      <c r="Y202" s="87"/>
      <c r="AA202" s="103"/>
      <c r="AB202" s="103"/>
      <c r="AC202" s="103"/>
      <c r="AD202" s="103"/>
      <c r="AE202" s="103"/>
      <c r="AF202" s="103"/>
    </row>
    <row r="203" spans="3:53" x14ac:dyDescent="0.25">
      <c r="C203" s="3" t="s">
        <v>179</v>
      </c>
      <c r="AA203" s="103"/>
      <c r="AB203" s="103"/>
      <c r="AC203" s="103"/>
      <c r="AD203" s="103"/>
      <c r="AE203" s="103"/>
      <c r="AF203" s="103"/>
    </row>
    <row r="204" spans="3:53" ht="15.75" customHeight="1" x14ac:dyDescent="0.25">
      <c r="C204" s="54" t="s">
        <v>25</v>
      </c>
      <c r="D204" s="3">
        <f>IF(D179="","",D179^D$165)</f>
        <v>0.90766774826324936</v>
      </c>
      <c r="E204" s="3">
        <f>IF(E179="","",E179^E$165)</f>
        <v>0.88386023576010053</v>
      </c>
      <c r="F204" s="3">
        <f t="shared" ref="F204:G204" si="90">IF(F179="","",F179^F$165)</f>
        <v>1.1675558712684693</v>
      </c>
      <c r="G204" s="3">
        <f t="shared" si="90"/>
        <v>0.90954323484635813</v>
      </c>
      <c r="H204" s="3">
        <f>IF(H179="","",H179^H$165)</f>
        <v>1.0365369131402224</v>
      </c>
      <c r="V204" s="94">
        <f>+SUM(D204:H204)</f>
        <v>4.9051640032783999</v>
      </c>
      <c r="Y204" s="101">
        <f>V204/MAX($V$204:$V$213)*100</f>
        <v>98.457200869398761</v>
      </c>
      <c r="Z204" s="3">
        <f>_xlfn.RANK.EQ(Y204,$Y$204:$Y$213,0)</f>
        <v>4</v>
      </c>
      <c r="AA204" s="103"/>
      <c r="AB204" s="103"/>
      <c r="AC204" s="103"/>
      <c r="AD204" s="103"/>
      <c r="AE204" s="103"/>
      <c r="AF204" s="103"/>
    </row>
    <row r="205" spans="3:53" x14ac:dyDescent="0.25">
      <c r="C205" s="54" t="s">
        <v>44</v>
      </c>
      <c r="D205" s="3">
        <f>IF(D180="","",D180^D$165)</f>
        <v>0.99282987349624996</v>
      </c>
      <c r="E205" s="3">
        <f t="shared" ref="E205:H205" si="91">IF(E180="","",E180^E$165)</f>
        <v>0.72412930869431547</v>
      </c>
      <c r="F205" s="3">
        <f t="shared" si="91"/>
        <v>1.0335433331896153</v>
      </c>
      <c r="G205" s="3">
        <f t="shared" si="91"/>
        <v>0.90838638092291768</v>
      </c>
      <c r="H205" s="3">
        <f t="shared" si="91"/>
        <v>1.2048133361365574</v>
      </c>
      <c r="V205" s="94">
        <f>+SUM(D205:H205)</f>
        <v>4.8637022324396559</v>
      </c>
      <c r="Y205" s="101">
        <f t="shared" ref="Y205:Y213" si="92">V205/MAX($V$204:$V$213)*100</f>
        <v>97.624973874105066</v>
      </c>
      <c r="Z205" s="3">
        <f t="shared" ref="Z205:Z213" si="93">_xlfn.RANK.EQ(Y205,$Y$204:$Y$213,0)</f>
        <v>7</v>
      </c>
    </row>
    <row r="206" spans="3:53" x14ac:dyDescent="0.25">
      <c r="C206" s="54" t="s">
        <v>49</v>
      </c>
      <c r="D206" s="3">
        <f>IF(D181="","",D181^D$165)</f>
        <v>0.98346045838011664</v>
      </c>
      <c r="E206" s="3">
        <f t="shared" ref="D206:H213" si="94">IF(E181="","",E181^E$165)</f>
        <v>0.80434549035074021</v>
      </c>
      <c r="F206" s="3">
        <f t="shared" si="94"/>
        <v>0.97364200296663905</v>
      </c>
      <c r="G206" s="3">
        <f t="shared" si="94"/>
        <v>1.0997557190931675</v>
      </c>
      <c r="H206" s="3">
        <f t="shared" si="94"/>
        <v>1.1208229965985381</v>
      </c>
      <c r="V206" s="94">
        <f t="shared" ref="V206:V213" si="95">+SUM(D206:H206)</f>
        <v>4.982026667389202</v>
      </c>
      <c r="Y206" s="101">
        <f t="shared" si="92"/>
        <v>100</v>
      </c>
      <c r="Z206" s="3">
        <f t="shared" si="93"/>
        <v>1</v>
      </c>
    </row>
    <row r="207" spans="3:53" x14ac:dyDescent="0.25">
      <c r="C207" s="54" t="s">
        <v>53</v>
      </c>
      <c r="D207" s="3">
        <f t="shared" si="94"/>
        <v>0.91629346729148986</v>
      </c>
      <c r="E207" s="3">
        <f t="shared" si="94"/>
        <v>0.80458652338385872</v>
      </c>
      <c r="F207" s="3">
        <f t="shared" si="94"/>
        <v>1.0499328729314024</v>
      </c>
      <c r="G207" s="3">
        <f t="shared" si="94"/>
        <v>1.1151013333929969</v>
      </c>
      <c r="H207" s="3">
        <f t="shared" si="94"/>
        <v>1.0744168165928503</v>
      </c>
      <c r="V207" s="94">
        <f t="shared" si="95"/>
        <v>4.9603310135925982</v>
      </c>
      <c r="Y207" s="101">
        <f t="shared" si="92"/>
        <v>99.564521524169734</v>
      </c>
      <c r="Z207" s="3">
        <f t="shared" si="93"/>
        <v>2</v>
      </c>
    </row>
    <row r="208" spans="3:53" x14ac:dyDescent="0.25">
      <c r="C208" s="54" t="s">
        <v>58</v>
      </c>
      <c r="D208" s="3">
        <f t="shared" si="94"/>
        <v>0.6741941450295007</v>
      </c>
      <c r="E208" s="3">
        <f t="shared" si="94"/>
        <v>1.0156878426088591</v>
      </c>
      <c r="F208" s="3">
        <f t="shared" si="94"/>
        <v>1.0661252939416455</v>
      </c>
      <c r="G208" s="3">
        <f t="shared" si="94"/>
        <v>1.0263389922683102</v>
      </c>
      <c r="H208" s="3">
        <f t="shared" si="94"/>
        <v>1.1040596991145122</v>
      </c>
      <c r="V208" s="94">
        <f t="shared" si="95"/>
        <v>4.8864059729628275</v>
      </c>
      <c r="Y208" s="101">
        <f t="shared" si="92"/>
        <v>98.080686820641134</v>
      </c>
      <c r="Z208" s="3">
        <f t="shared" si="93"/>
        <v>5</v>
      </c>
    </row>
    <row r="209" spans="3:26" x14ac:dyDescent="0.25">
      <c r="C209" s="54" t="s">
        <v>63</v>
      </c>
      <c r="D209" s="3">
        <f t="shared" si="94"/>
        <v>0.9387681777718021</v>
      </c>
      <c r="E209" s="3">
        <f t="shared" si="94"/>
        <v>1.1198370733053284</v>
      </c>
      <c r="F209" s="3">
        <f t="shared" si="94"/>
        <v>1.0412144846123816</v>
      </c>
      <c r="G209" s="3">
        <f t="shared" si="94"/>
        <v>0.73293256266411921</v>
      </c>
      <c r="H209" s="3">
        <f t="shared" si="94"/>
        <v>1.0750560808733511</v>
      </c>
      <c r="V209" s="94">
        <f t="shared" si="95"/>
        <v>4.9078083792269824</v>
      </c>
      <c r="Y209" s="101">
        <f t="shared" si="92"/>
        <v>98.510279187222551</v>
      </c>
      <c r="Z209" s="3">
        <f t="shared" si="93"/>
        <v>3</v>
      </c>
    </row>
    <row r="210" spans="3:26" x14ac:dyDescent="0.25">
      <c r="C210" s="54" t="s">
        <v>66</v>
      </c>
      <c r="D210" s="3">
        <f t="shared" si="94"/>
        <v>1.0436553960165853</v>
      </c>
      <c r="E210" s="3">
        <f t="shared" si="94"/>
        <v>1.0510703917806681</v>
      </c>
      <c r="F210" s="3">
        <f t="shared" si="94"/>
        <v>1.0627784160835632</v>
      </c>
      <c r="G210" s="3">
        <f t="shared" si="94"/>
        <v>0.65473605971059856</v>
      </c>
      <c r="H210" s="3">
        <f t="shared" si="94"/>
        <v>1.0659505976216701</v>
      </c>
      <c r="V210" s="94">
        <f t="shared" si="95"/>
        <v>4.8781908612130849</v>
      </c>
      <c r="Y210" s="101">
        <f t="shared" si="92"/>
        <v>97.915791843191172</v>
      </c>
      <c r="Z210" s="3">
        <f t="shared" si="93"/>
        <v>6</v>
      </c>
    </row>
    <row r="211" spans="3:26" ht="28.5" x14ac:dyDescent="0.25">
      <c r="C211" s="54" t="s">
        <v>69</v>
      </c>
      <c r="D211" s="3">
        <f t="shared" si="94"/>
        <v>1.2930447448587605</v>
      </c>
      <c r="E211" s="3">
        <f t="shared" si="94"/>
        <v>0.83416943410281852</v>
      </c>
      <c r="F211" s="3">
        <f t="shared" si="94"/>
        <v>0.80953041934737247</v>
      </c>
      <c r="G211" s="3">
        <f t="shared" si="94"/>
        <v>1.0278387229578176</v>
      </c>
      <c r="H211" s="3">
        <f t="shared" si="94"/>
        <v>0.71079234407637326</v>
      </c>
      <c r="V211" s="94">
        <f t="shared" si="95"/>
        <v>4.6753756653431431</v>
      </c>
      <c r="Y211" s="101">
        <f t="shared" si="92"/>
        <v>93.844854262758147</v>
      </c>
      <c r="Z211" s="3">
        <f t="shared" si="93"/>
        <v>9</v>
      </c>
    </row>
    <row r="212" spans="3:26" x14ac:dyDescent="0.25">
      <c r="C212" s="54" t="s">
        <v>74</v>
      </c>
      <c r="D212" s="3">
        <f t="shared" si="94"/>
        <v>1.3468763268507815</v>
      </c>
      <c r="E212" s="3">
        <f t="shared" si="94"/>
        <v>0.59830254918471659</v>
      </c>
      <c r="F212" s="3">
        <f t="shared" si="94"/>
        <v>0.94688179829531594</v>
      </c>
      <c r="G212" s="3">
        <f t="shared" si="94"/>
        <v>0.84346206679175673</v>
      </c>
      <c r="H212" s="3">
        <f t="shared" si="94"/>
        <v>0.57558624696669225</v>
      </c>
      <c r="V212" s="94">
        <f t="shared" si="95"/>
        <v>4.3111089880892628</v>
      </c>
      <c r="Y212" s="101">
        <f t="shared" si="92"/>
        <v>86.533237895100839</v>
      </c>
      <c r="Z212" s="3">
        <f t="shared" si="93"/>
        <v>10</v>
      </c>
    </row>
    <row r="213" spans="3:26" x14ac:dyDescent="0.25">
      <c r="C213" s="54" t="s">
        <v>79</v>
      </c>
      <c r="D213" s="3">
        <f t="shared" si="94"/>
        <v>1.2005651986976593</v>
      </c>
      <c r="E213" s="3">
        <f t="shared" si="94"/>
        <v>0.92164765492407119</v>
      </c>
      <c r="F213" s="3">
        <f t="shared" si="94"/>
        <v>1.0835851579930205</v>
      </c>
      <c r="G213" s="3">
        <f t="shared" si="94"/>
        <v>0.87634530802233046</v>
      </c>
      <c r="H213" s="3">
        <f t="shared" si="94"/>
        <v>0.75483100750222987</v>
      </c>
      <c r="V213" s="94">
        <f t="shared" si="95"/>
        <v>4.8369743271393117</v>
      </c>
      <c r="Y213" s="101">
        <f t="shared" si="92"/>
        <v>97.088487277690476</v>
      </c>
      <c r="Z213" s="3">
        <f t="shared" si="93"/>
        <v>8</v>
      </c>
    </row>
    <row r="214" spans="3:26" x14ac:dyDescent="0.25">
      <c r="V214" s="71">
        <f>AVERAGE(V204:V213)</f>
        <v>4.8207088110674459</v>
      </c>
    </row>
    <row r="236" spans="3:14" x14ac:dyDescent="0.25">
      <c r="C236" s="100"/>
      <c r="D236" s="100"/>
      <c r="E236" s="100"/>
      <c r="F236" s="100"/>
      <c r="G236" s="100"/>
      <c r="H236" s="100"/>
      <c r="I236" s="100"/>
      <c r="J236" s="100"/>
      <c r="K236" s="100"/>
    </row>
    <row r="237" spans="3:14" x14ac:dyDescent="0.25">
      <c r="C237" s="100"/>
      <c r="J237" s="3" t="s">
        <v>90</v>
      </c>
      <c r="K237" s="3" t="s">
        <v>91</v>
      </c>
      <c r="L237" s="3" t="s">
        <v>92</v>
      </c>
      <c r="M237" s="3" t="s">
        <v>93</v>
      </c>
      <c r="N237" s="3" t="s">
        <v>94</v>
      </c>
    </row>
    <row r="238" spans="3:14" x14ac:dyDescent="0.25">
      <c r="D238">
        <v>0.2112</v>
      </c>
      <c r="E238">
        <v>0.19639999999999999</v>
      </c>
      <c r="F238">
        <v>0.17449999999999999</v>
      </c>
      <c r="G238">
        <v>0.20669999999999999</v>
      </c>
      <c r="H238">
        <v>0.2112</v>
      </c>
      <c r="J238" s="102">
        <f>D238/MAX($D238:$H238)*100</f>
        <v>100</v>
      </c>
      <c r="K238" s="102">
        <f>E238/MAX($D238:$H238)*100</f>
        <v>92.992424242424249</v>
      </c>
      <c r="L238" s="102">
        <f>F238/MAX($D238:$H238)*100</f>
        <v>82.623106060606062</v>
      </c>
      <c r="M238" s="102">
        <f>G238/MAX($D238:$H238)*100</f>
        <v>97.869318181818173</v>
      </c>
      <c r="N238" s="102">
        <f>H238/MAX($D238:$H238)*100</f>
        <v>100</v>
      </c>
    </row>
    <row r="239" spans="3:14" x14ac:dyDescent="0.25">
      <c r="D239">
        <v>0.28399999999999997</v>
      </c>
      <c r="E239">
        <v>0.2172</v>
      </c>
      <c r="F239">
        <v>0.22220000000000001</v>
      </c>
      <c r="G239">
        <v>0.27660000000000001</v>
      </c>
      <c r="H239" s="100"/>
      <c r="J239" s="102">
        <f t="shared" ref="J239:M241" si="96">D239/MAX($D239:$H239)*100</f>
        <v>100</v>
      </c>
      <c r="K239" s="102">
        <f t="shared" si="96"/>
        <v>76.478873239436624</v>
      </c>
      <c r="L239" s="102">
        <f t="shared" si="96"/>
        <v>78.239436619718319</v>
      </c>
      <c r="M239" s="102">
        <f t="shared" si="96"/>
        <v>97.394366197183118</v>
      </c>
      <c r="N239" s="102"/>
    </row>
    <row r="240" spans="3:14" x14ac:dyDescent="0.25">
      <c r="D240">
        <v>0.26779999999999998</v>
      </c>
      <c r="E240">
        <v>0.23799999999999999</v>
      </c>
      <c r="F240">
        <v>0.2253</v>
      </c>
      <c r="G240">
        <v>0.26889999999999997</v>
      </c>
      <c r="H240" s="100"/>
      <c r="J240" s="102">
        <f t="shared" si="96"/>
        <v>99.590925994793608</v>
      </c>
      <c r="K240" s="102">
        <f t="shared" si="96"/>
        <v>88.508739308293045</v>
      </c>
      <c r="L240" s="102">
        <f t="shared" si="96"/>
        <v>83.785793975455576</v>
      </c>
      <c r="M240" s="102">
        <f t="shared" si="96"/>
        <v>100</v>
      </c>
      <c r="N240" s="102"/>
    </row>
    <row r="241" spans="4:14" x14ac:dyDescent="0.25">
      <c r="D241">
        <v>0.31130000000000002</v>
      </c>
      <c r="E241">
        <v>0.23130000000000001</v>
      </c>
      <c r="F241">
        <v>0.2354</v>
      </c>
      <c r="G241">
        <v>0.22209999999999999</v>
      </c>
      <c r="H241" s="100"/>
      <c r="J241" s="102">
        <f t="shared" si="96"/>
        <v>100</v>
      </c>
      <c r="K241" s="102">
        <f t="shared" si="96"/>
        <v>74.30131705750081</v>
      </c>
      <c r="L241" s="102">
        <f t="shared" si="96"/>
        <v>75.618374558303884</v>
      </c>
      <c r="M241" s="102">
        <f t="shared" si="96"/>
        <v>71.345968519113384</v>
      </c>
      <c r="N241" s="102"/>
    </row>
    <row r="242" spans="4:14" x14ac:dyDescent="0.25">
      <c r="D242">
        <v>0.39369999999999999</v>
      </c>
      <c r="E242">
        <v>0.3054</v>
      </c>
      <c r="F242">
        <v>0.3009</v>
      </c>
      <c r="G242" s="100"/>
      <c r="H242" s="100"/>
      <c r="J242" s="102">
        <f t="shared" ref="J242:L243" si="97">D242/MAX($D242:$H242)*100</f>
        <v>100</v>
      </c>
      <c r="K242" s="102">
        <f t="shared" si="97"/>
        <v>77.571755143510288</v>
      </c>
      <c r="L242" s="102">
        <f t="shared" si="97"/>
        <v>76.428752857505728</v>
      </c>
      <c r="M242" s="102"/>
      <c r="N242" s="102"/>
    </row>
    <row r="243" spans="4:14" x14ac:dyDescent="0.25">
      <c r="D243">
        <v>0.29830000000000001</v>
      </c>
      <c r="E243">
        <v>0.33110000000000001</v>
      </c>
      <c r="F243">
        <v>0.37059999999999998</v>
      </c>
      <c r="G243" s="100"/>
      <c r="H243" s="100"/>
      <c r="J243" s="102">
        <f t="shared" si="97"/>
        <v>80.491095520777122</v>
      </c>
      <c r="K243" s="102">
        <f t="shared" si="97"/>
        <v>89.341608202914202</v>
      </c>
      <c r="L243" s="102">
        <f t="shared" si="97"/>
        <v>100</v>
      </c>
      <c r="M243" s="102"/>
      <c r="N243" s="102"/>
    </row>
    <row r="245" spans="4:14" x14ac:dyDescent="0.25">
      <c r="D245" s="3">
        <v>0.2</v>
      </c>
      <c r="E245" s="3">
        <v>0.2</v>
      </c>
      <c r="F245" s="3">
        <v>0.2</v>
      </c>
      <c r="G245" s="3">
        <v>0.2</v>
      </c>
      <c r="H245" s="3">
        <v>0.2</v>
      </c>
    </row>
    <row r="246" spans="4:14" x14ac:dyDescent="0.25">
      <c r="D246" s="3">
        <v>0.25</v>
      </c>
      <c r="E246" s="3">
        <v>0.25</v>
      </c>
      <c r="F246" s="3">
        <v>0.25</v>
      </c>
      <c r="G246" s="3">
        <v>0.25</v>
      </c>
    </row>
    <row r="247" spans="4:14" x14ac:dyDescent="0.25">
      <c r="D247" s="3">
        <v>0.25</v>
      </c>
      <c r="E247" s="3">
        <v>0.25</v>
      </c>
      <c r="F247" s="3">
        <v>0.25</v>
      </c>
      <c r="G247" s="3">
        <v>0.25</v>
      </c>
    </row>
    <row r="248" spans="4:14" x14ac:dyDescent="0.25">
      <c r="D248" s="3">
        <v>0.25</v>
      </c>
      <c r="E248" s="3">
        <v>0.25</v>
      </c>
      <c r="F248" s="3">
        <v>0.25</v>
      </c>
      <c r="G248" s="3">
        <v>0.25</v>
      </c>
    </row>
    <row r="249" spans="4:14" x14ac:dyDescent="0.25">
      <c r="D249" s="3">
        <v>0.33</v>
      </c>
      <c r="E249" s="3">
        <v>0.33</v>
      </c>
      <c r="F249" s="3">
        <v>0.33</v>
      </c>
    </row>
    <row r="250" spans="4:14" x14ac:dyDescent="0.25">
      <c r="D250" s="3">
        <v>0.33</v>
      </c>
      <c r="E250" s="3">
        <v>0.33</v>
      </c>
      <c r="F250" s="3">
        <v>0.33</v>
      </c>
    </row>
    <row r="252" spans="4:14" x14ac:dyDescent="0.25">
      <c r="D252" s="3">
        <v>0.3</v>
      </c>
      <c r="E252" s="3">
        <v>0.25</v>
      </c>
      <c r="F252" s="3">
        <v>0.2</v>
      </c>
      <c r="G252" s="3">
        <v>0.1</v>
      </c>
      <c r="H252" s="3">
        <v>0.15</v>
      </c>
    </row>
    <row r="253" spans="4:14" x14ac:dyDescent="0.25">
      <c r="D253" s="3">
        <v>0.3</v>
      </c>
      <c r="E253" s="3">
        <v>0.15</v>
      </c>
      <c r="F253" s="3">
        <v>0.4</v>
      </c>
      <c r="G253" s="3">
        <v>0.15</v>
      </c>
    </row>
    <row r="254" spans="4:14" x14ac:dyDescent="0.25">
      <c r="D254" s="3">
        <v>0.15</v>
      </c>
      <c r="E254" s="3">
        <v>0.4</v>
      </c>
      <c r="F254" s="3">
        <v>0.3</v>
      </c>
      <c r="G254" s="3">
        <v>0.15</v>
      </c>
    </row>
    <row r="255" spans="4:14" x14ac:dyDescent="0.25">
      <c r="D255" s="3">
        <v>0.25</v>
      </c>
      <c r="E255" s="3">
        <v>0.3</v>
      </c>
      <c r="F255" s="3">
        <v>0.2</v>
      </c>
      <c r="G255" s="3">
        <v>0.25</v>
      </c>
    </row>
    <row r="256" spans="4:14" x14ac:dyDescent="0.25">
      <c r="D256" s="3">
        <v>0.3</v>
      </c>
      <c r="E256" s="3">
        <v>0.3</v>
      </c>
      <c r="F256" s="3">
        <v>0.4</v>
      </c>
    </row>
    <row r="257" spans="4:21" x14ac:dyDescent="0.25">
      <c r="D257" s="3">
        <v>0.4</v>
      </c>
      <c r="E257" s="3">
        <v>0.4</v>
      </c>
      <c r="F257" s="3">
        <v>0.2</v>
      </c>
    </row>
    <row r="259" spans="4:21" x14ac:dyDescent="0.25">
      <c r="D259" s="3" t="s">
        <v>95</v>
      </c>
    </row>
    <row r="260" spans="4:21" x14ac:dyDescent="0.25">
      <c r="D260" s="3">
        <v>0.25</v>
      </c>
      <c r="E260" s="3">
        <v>0.25</v>
      </c>
      <c r="F260" s="3">
        <v>0.25</v>
      </c>
      <c r="G260" s="3">
        <v>0.25</v>
      </c>
      <c r="H260" s="3">
        <v>0.25</v>
      </c>
      <c r="I260" s="3">
        <v>0.25</v>
      </c>
      <c r="J260" s="3">
        <v>0.25</v>
      </c>
      <c r="K260" s="3">
        <v>0.25</v>
      </c>
      <c r="L260" s="3">
        <v>0.25</v>
      </c>
      <c r="M260" s="3">
        <v>0.25</v>
      </c>
      <c r="N260" s="3">
        <v>0.25</v>
      </c>
      <c r="O260" s="3">
        <v>0.25</v>
      </c>
      <c r="P260" s="3">
        <f>1/3</f>
        <v>0.33333333333333331</v>
      </c>
      <c r="Q260" s="3">
        <f t="shared" ref="Q260:U260" si="98">1/3</f>
        <v>0.33333333333333331</v>
      </c>
      <c r="R260" s="3">
        <f t="shared" si="98"/>
        <v>0.33333333333333331</v>
      </c>
      <c r="S260" s="3">
        <f t="shared" si="98"/>
        <v>0.33333333333333331</v>
      </c>
      <c r="T260" s="3">
        <f t="shared" si="98"/>
        <v>0.33333333333333331</v>
      </c>
      <c r="U260" s="3">
        <f t="shared" si="98"/>
        <v>0.33333333333333331</v>
      </c>
    </row>
    <row r="262" spans="4:21" x14ac:dyDescent="0.25">
      <c r="D262" s="3">
        <v>0.2112</v>
      </c>
      <c r="H262" s="3">
        <v>0.19639999999999999</v>
      </c>
      <c r="L262" s="3">
        <v>0.17449999999999999</v>
      </c>
      <c r="P262" s="3">
        <v>0.20669999999999999</v>
      </c>
      <c r="S262" s="3">
        <v>0.2112</v>
      </c>
    </row>
    <row r="263" spans="4:21" x14ac:dyDescent="0.25">
      <c r="D263" s="3">
        <v>0.28399999999999997</v>
      </c>
      <c r="E263" s="3">
        <v>0.2172</v>
      </c>
      <c r="F263" s="3">
        <v>0.22220000000000001</v>
      </c>
      <c r="G263" s="3">
        <v>0.27660000000000001</v>
      </c>
      <c r="H263" s="3">
        <v>0.26779999999999998</v>
      </c>
      <c r="I263" s="3">
        <v>0.23799999999999999</v>
      </c>
      <c r="J263" s="3">
        <v>0.2253</v>
      </c>
      <c r="K263" s="3">
        <v>0.26889999999999997</v>
      </c>
      <c r="L263" s="3">
        <v>0.31130000000000002</v>
      </c>
      <c r="M263" s="3">
        <v>0.23130000000000001</v>
      </c>
      <c r="N263" s="3">
        <v>0.2354</v>
      </c>
      <c r="O263" s="3">
        <v>0.22209999999999999</v>
      </c>
      <c r="P263" s="3">
        <v>0.39369999999999999</v>
      </c>
      <c r="Q263" s="3">
        <v>0.3054</v>
      </c>
      <c r="R263" s="3">
        <v>0.3009</v>
      </c>
      <c r="S263" s="3">
        <v>0.29830000000000001</v>
      </c>
      <c r="T263" s="3">
        <v>0.33110000000000001</v>
      </c>
      <c r="U263" s="3">
        <v>0.37059999999999998</v>
      </c>
    </row>
  </sheetData>
  <mergeCells count="6">
    <mergeCell ref="S3:U3"/>
    <mergeCell ref="C2:C4"/>
    <mergeCell ref="D3:G3"/>
    <mergeCell ref="H3:K3"/>
    <mergeCell ref="L3:O3"/>
    <mergeCell ref="P3:R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887E-906B-4FA9-8CE8-5A44001C0FB6}">
  <dimension ref="A1:I18"/>
  <sheetViews>
    <sheetView workbookViewId="0">
      <selection activeCell="C2" sqref="C2:C12"/>
    </sheetView>
  </sheetViews>
  <sheetFormatPr defaultRowHeight="15" x14ac:dyDescent="0.25"/>
  <cols>
    <col min="1" max="1" width="16.7109375" bestFit="1" customWidth="1"/>
    <col min="2" max="10" width="13.5703125" customWidth="1"/>
  </cols>
  <sheetData>
    <row r="1" spans="1:9" x14ac:dyDescent="0.25">
      <c r="A1" t="s">
        <v>252</v>
      </c>
      <c r="B1" t="s">
        <v>244</v>
      </c>
      <c r="C1" t="s">
        <v>245</v>
      </c>
      <c r="D1" t="s">
        <v>246</v>
      </c>
      <c r="E1" t="s">
        <v>247</v>
      </c>
      <c r="F1" t="s">
        <v>248</v>
      </c>
      <c r="G1" t="s">
        <v>249</v>
      </c>
      <c r="H1" t="s">
        <v>250</v>
      </c>
      <c r="I1" t="s">
        <v>251</v>
      </c>
    </row>
    <row r="2" spans="1:9" x14ac:dyDescent="0.25">
      <c r="B2">
        <v>10</v>
      </c>
      <c r="C2" s="3">
        <v>10</v>
      </c>
      <c r="D2">
        <v>10</v>
      </c>
      <c r="E2">
        <v>3</v>
      </c>
      <c r="F2">
        <v>9</v>
      </c>
      <c r="G2">
        <v>3</v>
      </c>
      <c r="H2">
        <v>6</v>
      </c>
      <c r="I2">
        <v>7</v>
      </c>
    </row>
    <row r="3" spans="1:9" x14ac:dyDescent="0.25">
      <c r="B3">
        <v>4</v>
      </c>
      <c r="C3" s="3">
        <v>4</v>
      </c>
      <c r="D3">
        <v>4</v>
      </c>
      <c r="E3">
        <v>5</v>
      </c>
      <c r="F3">
        <v>4</v>
      </c>
      <c r="G3">
        <v>5</v>
      </c>
      <c r="H3">
        <v>4</v>
      </c>
      <c r="I3">
        <v>4</v>
      </c>
    </row>
    <row r="4" spans="1:9" x14ac:dyDescent="0.25">
      <c r="B4">
        <v>3</v>
      </c>
      <c r="C4" s="3">
        <v>3</v>
      </c>
      <c r="D4">
        <v>1</v>
      </c>
      <c r="E4">
        <v>8</v>
      </c>
      <c r="F4">
        <v>1</v>
      </c>
      <c r="G4">
        <v>7</v>
      </c>
      <c r="H4">
        <v>7</v>
      </c>
      <c r="I4">
        <v>6</v>
      </c>
    </row>
    <row r="5" spans="1:9" x14ac:dyDescent="0.25">
      <c r="B5">
        <v>5</v>
      </c>
      <c r="C5" s="3">
        <v>5</v>
      </c>
      <c r="D5">
        <v>2</v>
      </c>
      <c r="E5">
        <v>7</v>
      </c>
      <c r="F5">
        <v>2</v>
      </c>
      <c r="G5">
        <v>8</v>
      </c>
      <c r="H5">
        <v>8</v>
      </c>
      <c r="I5">
        <v>8</v>
      </c>
    </row>
    <row r="6" spans="1:9" x14ac:dyDescent="0.25">
      <c r="B6">
        <v>9</v>
      </c>
      <c r="C6" s="3">
        <v>9</v>
      </c>
      <c r="D6">
        <v>5</v>
      </c>
      <c r="E6">
        <v>4</v>
      </c>
      <c r="F6">
        <v>5</v>
      </c>
      <c r="G6">
        <v>6</v>
      </c>
      <c r="H6">
        <v>10</v>
      </c>
      <c r="I6">
        <v>10</v>
      </c>
    </row>
    <row r="7" spans="1:9" x14ac:dyDescent="0.25">
      <c r="B7">
        <v>8</v>
      </c>
      <c r="C7" s="3">
        <v>8</v>
      </c>
      <c r="D7">
        <v>6</v>
      </c>
      <c r="E7">
        <v>1</v>
      </c>
      <c r="F7">
        <v>7</v>
      </c>
      <c r="G7">
        <v>2</v>
      </c>
      <c r="H7">
        <v>9</v>
      </c>
      <c r="I7">
        <v>9</v>
      </c>
    </row>
    <row r="8" spans="1:9" x14ac:dyDescent="0.25">
      <c r="B8">
        <v>7</v>
      </c>
      <c r="C8" s="3">
        <v>7</v>
      </c>
      <c r="D8">
        <v>7</v>
      </c>
      <c r="E8">
        <v>2</v>
      </c>
      <c r="F8">
        <v>6</v>
      </c>
      <c r="G8">
        <v>1</v>
      </c>
      <c r="H8">
        <v>5</v>
      </c>
      <c r="I8">
        <v>5</v>
      </c>
    </row>
    <row r="9" spans="1:9" x14ac:dyDescent="0.25">
      <c r="B9">
        <v>1</v>
      </c>
      <c r="C9" s="3">
        <v>1</v>
      </c>
      <c r="D9">
        <v>3</v>
      </c>
      <c r="E9">
        <v>10</v>
      </c>
      <c r="F9">
        <v>3</v>
      </c>
      <c r="G9">
        <v>9</v>
      </c>
      <c r="H9">
        <v>2</v>
      </c>
      <c r="I9">
        <v>2</v>
      </c>
    </row>
    <row r="10" spans="1:9" x14ac:dyDescent="0.25">
      <c r="B10">
        <v>2</v>
      </c>
      <c r="C10" s="3">
        <v>2</v>
      </c>
      <c r="D10">
        <v>8</v>
      </c>
      <c r="E10">
        <v>9</v>
      </c>
      <c r="F10">
        <v>10</v>
      </c>
      <c r="G10">
        <v>10</v>
      </c>
      <c r="H10">
        <v>1</v>
      </c>
      <c r="I10">
        <v>1</v>
      </c>
    </row>
    <row r="11" spans="1:9" x14ac:dyDescent="0.25">
      <c r="B11">
        <v>6</v>
      </c>
      <c r="C11" s="3">
        <v>6</v>
      </c>
      <c r="D11">
        <v>9</v>
      </c>
      <c r="E11">
        <v>6</v>
      </c>
      <c r="F11">
        <v>8</v>
      </c>
      <c r="G11">
        <v>4</v>
      </c>
      <c r="H11">
        <v>3</v>
      </c>
      <c r="I11">
        <v>3</v>
      </c>
    </row>
    <row r="14" spans="1:9" x14ac:dyDescent="0.25">
      <c r="A14" t="s">
        <v>253</v>
      </c>
      <c r="B14" t="s">
        <v>170</v>
      </c>
      <c r="C14" t="s">
        <v>254</v>
      </c>
      <c r="D14" t="s">
        <v>255</v>
      </c>
      <c r="E14" t="s">
        <v>169</v>
      </c>
    </row>
    <row r="15" spans="1:9" x14ac:dyDescent="0.25">
      <c r="B15">
        <f>+CORREL(B2:B11,C2:C11)</f>
        <v>1</v>
      </c>
      <c r="C15">
        <f>+CORREL(D2:D11,E2:E11)</f>
        <v>-0.41818181818181821</v>
      </c>
      <c r="D15">
        <f>+CORREL(F2:F11,G2:G11)</f>
        <v>-0.28484848484848485</v>
      </c>
      <c r="E15">
        <f>+CORREL(H2:H11,I2:I11)</f>
        <v>0.98787878787878791</v>
      </c>
    </row>
    <row r="18" spans="1:1" x14ac:dyDescent="0.25">
      <c r="A18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97"/>
  <sheetViews>
    <sheetView topLeftCell="A75" zoomScale="115" zoomScaleNormal="115" workbookViewId="0">
      <selection activeCell="H84" sqref="H84"/>
    </sheetView>
  </sheetViews>
  <sheetFormatPr defaultRowHeight="15" x14ac:dyDescent="0.25"/>
  <cols>
    <col min="1" max="1" width="28.28515625" bestFit="1" customWidth="1"/>
    <col min="4" max="4" width="16.28515625" customWidth="1"/>
    <col min="5" max="5" width="15.5703125" customWidth="1"/>
    <col min="8" max="9" width="15.140625" customWidth="1"/>
    <col min="10" max="10" width="9" customWidth="1"/>
    <col min="14" max="14" width="9.140625" customWidth="1"/>
    <col min="20" max="20" width="15.28515625" bestFit="1" customWidth="1"/>
    <col min="21" max="21" width="16.7109375" bestFit="1" customWidth="1"/>
    <col min="22" max="22" width="17" bestFit="1" customWidth="1"/>
    <col min="23" max="23" width="16.5703125" bestFit="1" customWidth="1"/>
    <col min="24" max="24" width="14.42578125" bestFit="1" customWidth="1"/>
    <col min="25" max="25" width="16" bestFit="1" customWidth="1"/>
    <col min="26" max="26" width="18.85546875" bestFit="1" customWidth="1"/>
    <col min="27" max="27" width="14.5703125" bestFit="1" customWidth="1"/>
    <col min="28" max="28" width="12.85546875" bestFit="1" customWidth="1"/>
    <col min="29" max="29" width="16.5703125" bestFit="1" customWidth="1"/>
  </cols>
  <sheetData>
    <row r="1" spans="1:28" x14ac:dyDescent="0.25">
      <c r="A1" s="147" t="s">
        <v>87</v>
      </c>
      <c r="B1" s="148" t="s">
        <v>170</v>
      </c>
      <c r="C1" s="148" t="s">
        <v>170</v>
      </c>
      <c r="D1" s="148"/>
      <c r="E1" s="148"/>
      <c r="F1" s="148" t="s">
        <v>169</v>
      </c>
      <c r="G1" s="148" t="s">
        <v>169</v>
      </c>
      <c r="H1" s="148" t="s">
        <v>184</v>
      </c>
      <c r="I1" s="148" t="s">
        <v>184</v>
      </c>
      <c r="J1" s="148"/>
      <c r="K1" s="148"/>
      <c r="L1" s="148" t="s">
        <v>209</v>
      </c>
      <c r="M1" s="148" t="s">
        <v>209</v>
      </c>
      <c r="N1" s="148"/>
      <c r="O1" s="157" t="s">
        <v>193</v>
      </c>
      <c r="P1" s="157" t="s">
        <v>193</v>
      </c>
      <c r="Q1" t="s">
        <v>215</v>
      </c>
    </row>
    <row r="2" spans="1:28" x14ac:dyDescent="0.25">
      <c r="A2" s="149" t="s">
        <v>25</v>
      </c>
      <c r="B2" s="152">
        <f>+AHP_nivel_0!Y191</f>
        <v>93.046965748579183</v>
      </c>
      <c r="C2" s="150">
        <f>+AHP_nivel_0!Z191</f>
        <v>10</v>
      </c>
      <c r="D2" s="152"/>
      <c r="E2" s="151"/>
      <c r="F2" s="152">
        <f>+TOPSIS_Nivel_0!Z27</f>
        <v>49.818420991237986</v>
      </c>
      <c r="G2" s="151">
        <f>+TOPSIS_Nivel_0!Y27</f>
        <v>6</v>
      </c>
      <c r="H2" s="151">
        <f>+SAW_nivel_0_máximo!W33</f>
        <v>82.40532487860726</v>
      </c>
      <c r="I2" s="151">
        <f>+SAW_nivel_0_máximo!X33</f>
        <v>10</v>
      </c>
      <c r="J2" s="157"/>
      <c r="K2" s="157"/>
      <c r="L2" s="157">
        <f>'WPM_nivel_0 (maximo)'!W33</f>
        <v>3.791565204751933</v>
      </c>
      <c r="M2" s="157">
        <f>'WPM_nivel_0 (maximo)'!X33</f>
        <v>9</v>
      </c>
      <c r="N2" s="157"/>
      <c r="O2" s="157">
        <f>+K19</f>
        <v>49.314021742905759</v>
      </c>
      <c r="P2" s="157">
        <f>+I19</f>
        <v>9</v>
      </c>
      <c r="Q2">
        <f>+N19</f>
        <v>10</v>
      </c>
      <c r="U2" t="s">
        <v>197</v>
      </c>
      <c r="V2" t="s">
        <v>171</v>
      </c>
      <c r="W2" t="s">
        <v>185</v>
      </c>
      <c r="X2" t="s">
        <v>211</v>
      </c>
      <c r="Y2" t="s">
        <v>212</v>
      </c>
      <c r="Z2" t="s">
        <v>213</v>
      </c>
    </row>
    <row r="3" spans="1:28" x14ac:dyDescent="0.25">
      <c r="A3" s="167" t="s">
        <v>44</v>
      </c>
      <c r="B3" s="164">
        <f>+AHP_nivel_0!Y192</f>
        <v>97.495996542885877</v>
      </c>
      <c r="C3" s="167">
        <f>+AHP_nivel_0!Z192</f>
        <v>4</v>
      </c>
      <c r="D3" s="152"/>
      <c r="E3" s="151"/>
      <c r="F3" s="164">
        <f>+TOPSIS_Nivel_0!Z28</f>
        <v>52.774645600166068</v>
      </c>
      <c r="G3" s="165">
        <f>+TOPSIS_Nivel_0!Y28</f>
        <v>4</v>
      </c>
      <c r="H3" s="165">
        <f>+SAW_nivel_0_máximo!W34</f>
        <v>93.775953626573155</v>
      </c>
      <c r="I3" s="165">
        <f>+SAW_nivel_0_máximo!X34</f>
        <v>4</v>
      </c>
      <c r="J3" s="157"/>
      <c r="K3" s="157"/>
      <c r="L3" s="166">
        <f>'WPM_nivel_0 (maximo)'!W34</f>
        <v>28.129299959761617</v>
      </c>
      <c r="M3" s="166">
        <f>'WPM_nivel_0 (maximo)'!X34</f>
        <v>4</v>
      </c>
      <c r="N3" s="157"/>
      <c r="O3" s="157">
        <f t="shared" ref="O3:O11" si="0">+K20</f>
        <v>75.613637267772589</v>
      </c>
      <c r="P3" s="157">
        <f t="shared" ref="P3:P11" si="1">+I20</f>
        <v>4</v>
      </c>
      <c r="Q3" s="122">
        <f t="shared" ref="Q3:Q11" si="2">+N20</f>
        <v>4</v>
      </c>
      <c r="T3" t="s">
        <v>194</v>
      </c>
      <c r="U3" s="160">
        <f>+CORREL(B2:B11,H2:H11)</f>
        <v>0.47258859619608279</v>
      </c>
      <c r="V3" s="160">
        <f>+CORREL(B2:B11,F2:F11)</f>
        <v>0.64289797781524682</v>
      </c>
      <c r="W3" s="160">
        <f>+CORREL(B2:B11,L2:L11)</f>
        <v>0.38401299243795339</v>
      </c>
      <c r="X3" s="160">
        <f>+CORREL(F2:F11,H2:H11)</f>
        <v>-0.32723518308683319</v>
      </c>
      <c r="Y3" s="160">
        <f>+CORREL(F2:F11,L2:L11)</f>
        <v>-0.21904390129700779</v>
      </c>
      <c r="Z3" s="160">
        <f>+CORREL(H2:H11,L2:L11)</f>
        <v>0.80660320873001612</v>
      </c>
      <c r="AA3" s="160"/>
      <c r="AB3" s="160"/>
    </row>
    <row r="4" spans="1:28" x14ac:dyDescent="0.25">
      <c r="A4" s="167" t="s">
        <v>49</v>
      </c>
      <c r="B4" s="164">
        <f>+AHP_nivel_0!Y193</f>
        <v>98.077742599408651</v>
      </c>
      <c r="C4" s="167">
        <f>+AHP_nivel_0!Z193</f>
        <v>3</v>
      </c>
      <c r="D4" s="152"/>
      <c r="E4" s="151"/>
      <c r="F4" s="152">
        <f>+TOPSIS_Nivel_0!Z29</f>
        <v>48.631102978833049</v>
      </c>
      <c r="G4" s="151">
        <f>+TOPSIS_Nivel_0!Y29</f>
        <v>7</v>
      </c>
      <c r="H4" s="165">
        <f>+SAW_nivel_0_máximo!W35</f>
        <v>100</v>
      </c>
      <c r="I4" s="165">
        <f>+SAW_nivel_0_máximo!X35</f>
        <v>1</v>
      </c>
      <c r="J4" s="157"/>
      <c r="K4" s="157"/>
      <c r="L4" s="166">
        <f>'WPM_nivel_0 (maximo)'!W35</f>
        <v>100</v>
      </c>
      <c r="M4" s="166">
        <f>'WPM_nivel_0 (maximo)'!X35</f>
        <v>1</v>
      </c>
      <c r="N4" s="157"/>
      <c r="O4" s="157">
        <f t="shared" si="0"/>
        <v>78.592878592878577</v>
      </c>
      <c r="P4" s="157">
        <f t="shared" si="1"/>
        <v>3</v>
      </c>
      <c r="Q4" s="122">
        <f t="shared" si="2"/>
        <v>1</v>
      </c>
      <c r="T4" t="s">
        <v>195</v>
      </c>
      <c r="U4" s="160">
        <f>+CORREL(C2:C11,I2:I11)</f>
        <v>0.50303030303030305</v>
      </c>
      <c r="V4" s="160">
        <f>+CORREL(C2:C11,G2:G11)</f>
        <v>0.64848484848484844</v>
      </c>
      <c r="W4" s="160">
        <f>+CORREL(C2:C11,M2:M11)</f>
        <v>0.36969696969696969</v>
      </c>
      <c r="X4" s="160">
        <f>+CORREL(G2:G11,I2:I11)</f>
        <v>-0.28484848484848485</v>
      </c>
      <c r="Y4" s="160">
        <f>+CORREL(G2:G11,M2:M11)</f>
        <v>-0.32121212121212123</v>
      </c>
      <c r="Z4" s="160">
        <f>+CORREL(I2:I11,M2:M11)</f>
        <v>0.95151515151515142</v>
      </c>
      <c r="AA4" s="160"/>
      <c r="AB4" s="160"/>
    </row>
    <row r="5" spans="1:28" x14ac:dyDescent="0.25">
      <c r="A5" s="149" t="s">
        <v>53</v>
      </c>
      <c r="B5" s="152">
        <f>+AHP_nivel_0!Y194</f>
        <v>96.513954227684096</v>
      </c>
      <c r="C5" s="150">
        <f>+AHP_nivel_0!Z194</f>
        <v>5</v>
      </c>
      <c r="D5" s="152"/>
      <c r="E5" s="151"/>
      <c r="F5" s="152">
        <f>+TOPSIS_Nivel_0!Z30</f>
        <v>46.501319991016274</v>
      </c>
      <c r="G5" s="151">
        <f>+TOPSIS_Nivel_0!Y30</f>
        <v>8</v>
      </c>
      <c r="H5" s="151">
        <f>+SAW_nivel_0_máximo!W36</f>
        <v>96.974940614475585</v>
      </c>
      <c r="I5" s="151">
        <f>+SAW_nivel_0_máximo!X36</f>
        <v>2</v>
      </c>
      <c r="J5" s="157"/>
      <c r="K5" s="157"/>
      <c r="L5" s="157">
        <f>'WPM_nivel_0 (maximo)'!W36</f>
        <v>38.911432309247509</v>
      </c>
      <c r="M5" s="157">
        <f>'WPM_nivel_0 (maximo)'!X36</f>
        <v>2</v>
      </c>
      <c r="N5" s="157"/>
      <c r="O5" s="157">
        <f t="shared" si="0"/>
        <v>70.67901234567897</v>
      </c>
      <c r="P5" s="157">
        <f t="shared" si="1"/>
        <v>5</v>
      </c>
      <c r="Q5">
        <f t="shared" si="2"/>
        <v>5</v>
      </c>
    </row>
    <row r="6" spans="1:28" x14ac:dyDescent="0.25">
      <c r="A6" s="149" t="s">
        <v>58</v>
      </c>
      <c r="B6" s="152">
        <f>+AHP_nivel_0!Y195</f>
        <v>95.349342100129348</v>
      </c>
      <c r="C6" s="150">
        <f>+AHP_nivel_0!Z195</f>
        <v>9</v>
      </c>
      <c r="D6" s="152"/>
      <c r="E6" s="151"/>
      <c r="F6" s="152">
        <f>+TOPSIS_Nivel_0!Z31</f>
        <v>34.53096745325265</v>
      </c>
      <c r="G6" s="151">
        <f>+TOPSIS_Nivel_0!Y31</f>
        <v>10</v>
      </c>
      <c r="H6" s="151">
        <f>+SAW_nivel_0_máximo!W37</f>
        <v>93.675237254056171</v>
      </c>
      <c r="I6" s="151">
        <f>+SAW_nivel_0_máximo!X37</f>
        <v>5</v>
      </c>
      <c r="J6" s="157"/>
      <c r="K6" s="157"/>
      <c r="L6" s="157">
        <f>'WPM_nivel_0 (maximo)'!W37</f>
        <v>11.036057782829655</v>
      </c>
      <c r="M6" s="157">
        <f>'WPM_nivel_0 (maximo)'!X37</f>
        <v>5</v>
      </c>
      <c r="N6" s="157"/>
      <c r="O6" s="157">
        <f t="shared" si="0"/>
        <v>55.31400966183574</v>
      </c>
      <c r="P6" s="157">
        <f t="shared" si="1"/>
        <v>8</v>
      </c>
      <c r="Q6">
        <f t="shared" si="2"/>
        <v>9</v>
      </c>
    </row>
    <row r="7" spans="1:28" x14ac:dyDescent="0.25">
      <c r="A7" s="149" t="s">
        <v>63</v>
      </c>
      <c r="B7" s="152">
        <f>+AHP_nivel_0!Y196</f>
        <v>95.39388286365903</v>
      </c>
      <c r="C7" s="150">
        <f>+AHP_nivel_0!Z196</f>
        <v>8</v>
      </c>
      <c r="D7" s="152"/>
      <c r="E7" s="151"/>
      <c r="F7" s="152">
        <f>+TOPSIS_Nivel_0!Z32</f>
        <v>44.19088792982091</v>
      </c>
      <c r="G7" s="151">
        <f>+TOPSIS_Nivel_0!Y32</f>
        <v>9</v>
      </c>
      <c r="H7" s="151">
        <f>+SAW_nivel_0_máximo!W38</f>
        <v>87.941618327967632</v>
      </c>
      <c r="I7" s="151">
        <f>+SAW_nivel_0_máximo!X38</f>
        <v>6</v>
      </c>
      <c r="J7" s="157"/>
      <c r="K7" s="157"/>
      <c r="L7" s="157">
        <f>'WPM_nivel_0 (maximo)'!W38</f>
        <v>7.9447372083743542</v>
      </c>
      <c r="M7" s="157">
        <f>'WPM_nivel_0 (maximo)'!X38</f>
        <v>7</v>
      </c>
      <c r="N7" s="157"/>
      <c r="O7" s="157">
        <f t="shared" si="0"/>
        <v>48.264506355792655</v>
      </c>
      <c r="P7" s="157">
        <f t="shared" si="1"/>
        <v>10</v>
      </c>
      <c r="Q7">
        <f t="shared" si="2"/>
        <v>8</v>
      </c>
      <c r="U7" t="s">
        <v>201</v>
      </c>
      <c r="V7" t="s">
        <v>204</v>
      </c>
      <c r="W7" t="s">
        <v>203</v>
      </c>
      <c r="X7" t="s">
        <v>207</v>
      </c>
    </row>
    <row r="8" spans="1:28" x14ac:dyDescent="0.25">
      <c r="A8" s="149" t="s">
        <v>66</v>
      </c>
      <c r="B8" s="152">
        <f>+AHP_nivel_0!Y197</f>
        <v>95.564973056148361</v>
      </c>
      <c r="C8" s="150">
        <f>+AHP_nivel_0!Z197</f>
        <v>7</v>
      </c>
      <c r="D8" s="152"/>
      <c r="E8" s="151"/>
      <c r="F8" s="152">
        <f>+TOPSIS_Nivel_0!Z33</f>
        <v>52.131044210682745</v>
      </c>
      <c r="G8" s="151">
        <f>+TOPSIS_Nivel_0!Y33</f>
        <v>5</v>
      </c>
      <c r="H8" s="151">
        <f>+SAW_nivel_0_máximo!W39</f>
        <v>85.727718289194115</v>
      </c>
      <c r="I8" s="151">
        <f>+SAW_nivel_0_máximo!X39</f>
        <v>7</v>
      </c>
      <c r="J8" s="157"/>
      <c r="K8" s="157"/>
      <c r="L8" s="157">
        <f>'WPM_nivel_0 (maximo)'!W39</f>
        <v>9.6538811522237431</v>
      </c>
      <c r="M8" s="157">
        <f>'WPM_nivel_0 (maximo)'!X39</f>
        <v>6</v>
      </c>
      <c r="N8" s="157"/>
      <c r="O8" s="157">
        <f t="shared" si="0"/>
        <v>55.515151515151516</v>
      </c>
      <c r="P8" s="157">
        <f t="shared" si="1"/>
        <v>7</v>
      </c>
      <c r="Q8">
        <f t="shared" si="2"/>
        <v>7</v>
      </c>
      <c r="T8" t="s">
        <v>194</v>
      </c>
      <c r="U8" s="160">
        <f>+CORREL(B2:B11,O2:O11)</f>
        <v>0.93825449989354137</v>
      </c>
      <c r="V8" s="160">
        <f>+CORREL(F2:F11,O2:O11)</f>
        <v>0.79198287959144731</v>
      </c>
      <c r="W8" s="160">
        <f>+CORREL(H2:H11,O2:O11)</f>
        <v>0.30661880582243145</v>
      </c>
      <c r="X8" s="160">
        <f>+CORREL(L2:L11,O2:O11)</f>
        <v>0.28299809475480264</v>
      </c>
    </row>
    <row r="9" spans="1:28" x14ac:dyDescent="0.25">
      <c r="A9" s="167" t="s">
        <v>69</v>
      </c>
      <c r="B9" s="164">
        <f>+AHP_nivel_0!Y198</f>
        <v>100</v>
      </c>
      <c r="C9" s="167">
        <f>+AHP_nivel_0!Z198</f>
        <v>1</v>
      </c>
      <c r="D9" s="152"/>
      <c r="E9" s="151"/>
      <c r="F9" s="164">
        <f>+TOPSIS_Nivel_0!Z34</f>
        <v>81.143895115604167</v>
      </c>
      <c r="G9" s="165">
        <f>+TOPSIS_Nivel_0!Y34</f>
        <v>2</v>
      </c>
      <c r="H9" s="165">
        <f>+SAW_nivel_0_máximo!W40</f>
        <v>93.922980529297718</v>
      </c>
      <c r="I9" s="165">
        <f>+SAW_nivel_0_máximo!X40</f>
        <v>3</v>
      </c>
      <c r="J9" s="157"/>
      <c r="K9" s="157"/>
      <c r="L9" s="166">
        <f>'WPM_nivel_0 (maximo)'!W40</f>
        <v>29.242665102848171</v>
      </c>
      <c r="M9" s="166">
        <f>'WPM_nivel_0 (maximo)'!X40</f>
        <v>3</v>
      </c>
      <c r="N9" s="157"/>
      <c r="O9" s="157">
        <f t="shared" si="0"/>
        <v>97.547305174423798</v>
      </c>
      <c r="P9" s="157">
        <f t="shared" si="1"/>
        <v>2</v>
      </c>
      <c r="Q9" s="122">
        <f t="shared" si="2"/>
        <v>2</v>
      </c>
      <c r="T9" t="s">
        <v>195</v>
      </c>
      <c r="U9" s="160">
        <f>+CORREL(C2:C11,$P$2:$P$11)</f>
        <v>0.95151515151515142</v>
      </c>
      <c r="V9" s="160">
        <f>+CORREL(G2:G11,$P$2:$P$11)</f>
        <v>0.68484848484848493</v>
      </c>
      <c r="W9" s="160">
        <f>+CORREL(I2:I11,$P$2:$P$11)</f>
        <v>0.40606060606060607</v>
      </c>
      <c r="X9" s="160">
        <f>+CORREL(M2:M11,$P$2:$P$11)</f>
        <v>0.28484848484848485</v>
      </c>
    </row>
    <row r="10" spans="1:28" x14ac:dyDescent="0.25">
      <c r="A10" s="167" t="s">
        <v>74</v>
      </c>
      <c r="B10" s="164">
        <f>+AHP_nivel_0!Y199</f>
        <v>99.291140095083634</v>
      </c>
      <c r="C10" s="167">
        <f>+AHP_nivel_0!Z199</f>
        <v>2</v>
      </c>
      <c r="D10" s="164"/>
      <c r="E10" s="165"/>
      <c r="F10" s="164">
        <f>+TOPSIS_Nivel_0!Z35</f>
        <v>100</v>
      </c>
      <c r="G10" s="165">
        <f>+TOPSIS_Nivel_0!Y35</f>
        <v>1</v>
      </c>
      <c r="H10" s="151">
        <f>+SAW_nivel_0_máximo!W41</f>
        <v>85.613750304919364</v>
      </c>
      <c r="I10" s="151">
        <f>+SAW_nivel_0_máximo!X41</f>
        <v>8</v>
      </c>
      <c r="J10" s="157"/>
      <c r="K10" s="157"/>
      <c r="L10" s="157">
        <f>'WPM_nivel_0 (maximo)'!W41</f>
        <v>2.5950867614520869</v>
      </c>
      <c r="M10" s="157">
        <f>'WPM_nivel_0 (maximo)'!X41</f>
        <v>10</v>
      </c>
      <c r="N10" s="166"/>
      <c r="O10" s="157">
        <f t="shared" si="0"/>
        <v>100</v>
      </c>
      <c r="P10" s="157">
        <f t="shared" si="1"/>
        <v>1</v>
      </c>
      <c r="Q10" s="122">
        <f t="shared" si="2"/>
        <v>3</v>
      </c>
      <c r="U10" s="160">
        <f>+CORREL(C2:C11,$N$19:$N$28)</f>
        <v>0.96363636363636362</v>
      </c>
      <c r="V10" s="160">
        <f>+CORREL(G2:G11,$N$19:$N$28)</f>
        <v>0.51515151515151514</v>
      </c>
      <c r="W10" s="160">
        <f>+CORREL(I2:I11,$N$19:$N$28)</f>
        <v>0.61212121212121207</v>
      </c>
      <c r="X10" s="160">
        <f>+CORREL(M2:M11,$N$19:$N$28)</f>
        <v>0.50303030303030305</v>
      </c>
    </row>
    <row r="11" spans="1:28" x14ac:dyDescent="0.25">
      <c r="A11" s="150" t="s">
        <v>79</v>
      </c>
      <c r="B11" s="152">
        <f>+AHP_nivel_0!Y200</f>
        <v>95.689278487916567</v>
      </c>
      <c r="C11" s="150">
        <f>+AHP_nivel_0!Z200</f>
        <v>6</v>
      </c>
      <c r="D11" s="152"/>
      <c r="E11" s="151"/>
      <c r="F11" s="152">
        <f>+TOPSIS_Nivel_0!Z36</f>
        <v>72.583647513276404</v>
      </c>
      <c r="G11" s="151">
        <f>+TOPSIS_Nivel_0!Y36</f>
        <v>3</v>
      </c>
      <c r="H11" s="151">
        <f>+SAW_nivel_0_máximo!W42</f>
        <v>82.799901123945091</v>
      </c>
      <c r="I11" s="151">
        <f>+SAW_nivel_0_máximo!X42</f>
        <v>9</v>
      </c>
      <c r="J11" s="157"/>
      <c r="K11" s="157"/>
      <c r="L11" s="157">
        <f>'WPM_nivel_0 (maximo)'!W42</f>
        <v>6.2822071299391533</v>
      </c>
      <c r="M11" s="157">
        <f>'WPM_nivel_0 (maximo)'!X42</f>
        <v>8</v>
      </c>
      <c r="N11" s="166"/>
      <c r="O11" s="157">
        <f t="shared" si="0"/>
        <v>67.626430417128077</v>
      </c>
      <c r="P11" s="157">
        <f t="shared" si="1"/>
        <v>6</v>
      </c>
      <c r="Q11">
        <f t="shared" si="2"/>
        <v>6</v>
      </c>
    </row>
    <row r="13" spans="1:28" x14ac:dyDescent="0.25">
      <c r="B13" s="111">
        <f>+B9-B10</f>
        <v>0.70885990491636619</v>
      </c>
      <c r="H13" s="127">
        <f>+H4-H5</f>
        <v>3.0250593855244148</v>
      </c>
      <c r="L13" s="127">
        <f>+L4-L5</f>
        <v>61.088567690752491</v>
      </c>
    </row>
    <row r="17" spans="1:14" x14ac:dyDescent="0.25">
      <c r="B17" t="s">
        <v>2</v>
      </c>
      <c r="C17" t="s">
        <v>3</v>
      </c>
      <c r="D17" t="s">
        <v>4</v>
      </c>
      <c r="E17" t="s">
        <v>5</v>
      </c>
      <c r="F17" t="s">
        <v>6</v>
      </c>
      <c r="H17" t="s">
        <v>205</v>
      </c>
      <c r="N17" t="s">
        <v>215</v>
      </c>
    </row>
    <row r="18" spans="1:14" x14ac:dyDescent="0.25">
      <c r="A18" s="86" t="s">
        <v>83</v>
      </c>
      <c r="B18" s="88">
        <v>0.2112</v>
      </c>
      <c r="C18" s="89">
        <v>0.19639999999999999</v>
      </c>
      <c r="D18" s="90">
        <v>0.17449999999999999</v>
      </c>
      <c r="E18" s="91">
        <v>0.20669999999999999</v>
      </c>
      <c r="F18" s="91">
        <v>0.2112</v>
      </c>
      <c r="I18" t="s">
        <v>188</v>
      </c>
    </row>
    <row r="19" spans="1:14" x14ac:dyDescent="0.25">
      <c r="A19" s="158" t="s">
        <v>25</v>
      </c>
      <c r="B19" s="87">
        <f>+AHP_nivel_0!D167</f>
        <v>0.63588621444201299</v>
      </c>
      <c r="C19" s="87">
        <f>+AHP_nivel_0!E167</f>
        <v>0.53652899343544846</v>
      </c>
      <c r="D19" s="87">
        <f>+AHP_nivel_0!F167</f>
        <v>2.4441876367614874</v>
      </c>
      <c r="E19" s="87">
        <f>+AHP_nivel_0!G167</f>
        <v>0.63588621444201299</v>
      </c>
      <c r="F19" s="87">
        <f>+AHP_nivel_0!H167</f>
        <v>1.1922866520787743</v>
      </c>
      <c r="H19" s="160">
        <f>+B19+F19+E19</f>
        <v>2.4640590809628002</v>
      </c>
      <c r="I19">
        <f>+RANK(H19,$H$19:$H$28)</f>
        <v>9</v>
      </c>
      <c r="K19">
        <f>+H19/MAX($H$19:$H$28)*100</f>
        <v>49.314021742905759</v>
      </c>
      <c r="N19">
        <f>+C59</f>
        <v>10</v>
      </c>
    </row>
    <row r="20" spans="1:14" x14ac:dyDescent="0.25">
      <c r="A20" s="54" t="s">
        <v>44</v>
      </c>
      <c r="B20" s="87">
        <f>+AHP_nivel_0!D168</f>
        <v>0.91040100250626532</v>
      </c>
      <c r="C20" s="87">
        <f>+AHP_nivel_0!E168</f>
        <v>0.18208020050125306</v>
      </c>
      <c r="D20" s="87">
        <f>+AHP_nivel_0!F168</f>
        <v>1.1380012531328318</v>
      </c>
      <c r="E20" s="87">
        <f>+AHP_nivel_0!G168</f>
        <v>0.59176065162907254</v>
      </c>
      <c r="F20" s="87">
        <f>+AHP_nivel_0!H168</f>
        <v>2.2760025062656632</v>
      </c>
      <c r="H20" s="160">
        <f>+B20+F20+E20</f>
        <v>3.7781641604010012</v>
      </c>
      <c r="I20" s="122">
        <f>+RANK(H20,$H$19:$H$28)</f>
        <v>4</v>
      </c>
      <c r="K20">
        <f t="shared" ref="K20:K28" si="3">+H20/MAX($H$19:$H$28)*100</f>
        <v>75.613637267772589</v>
      </c>
      <c r="N20">
        <f>+D59</f>
        <v>4</v>
      </c>
    </row>
    <row r="21" spans="1:14" x14ac:dyDescent="0.25">
      <c r="A21" s="54" t="s">
        <v>49</v>
      </c>
      <c r="B21" s="87">
        <f>+AHP_nivel_0!D169</f>
        <v>0.85903716216216197</v>
      </c>
      <c r="C21" s="87">
        <f>+AHP_nivel_0!E169</f>
        <v>0.3067989864864864</v>
      </c>
      <c r="D21" s="87">
        <f>+AHP_nivel_0!F169</f>
        <v>0.79767736486486474</v>
      </c>
      <c r="E21" s="87">
        <f>+AHP_nivel_0!G169</f>
        <v>1.4726351351351348</v>
      </c>
      <c r="F21" s="87">
        <f>+AHP_nivel_0!H169</f>
        <v>1.5953547297297295</v>
      </c>
      <c r="H21" s="160">
        <f t="shared" ref="H21:H28" si="4">+B21+F21+E21</f>
        <v>3.9270270270270258</v>
      </c>
      <c r="I21" s="122">
        <f>+RANK(H21,$H$19:$H$28)</f>
        <v>3</v>
      </c>
      <c r="K21">
        <f t="shared" si="3"/>
        <v>78.592878592878577</v>
      </c>
      <c r="N21">
        <f>+E59</f>
        <v>1</v>
      </c>
    </row>
    <row r="22" spans="1:14" x14ac:dyDescent="0.25">
      <c r="A22" s="54" t="s">
        <v>53</v>
      </c>
      <c r="B22" s="87">
        <f>+AHP_nivel_0!D170</f>
        <v>0.62094017094017051</v>
      </c>
      <c r="C22" s="87">
        <f>+AHP_nivel_0!E170</f>
        <v>0.31047008547008531</v>
      </c>
      <c r="D22" s="87">
        <f>+AHP_nivel_0!F170</f>
        <v>1.2418803418803412</v>
      </c>
      <c r="E22" s="87">
        <f>+AHP_nivel_0!G170</f>
        <v>1.5911591880341871</v>
      </c>
      <c r="F22" s="87">
        <f>+AHP_nivel_0!H170</f>
        <v>1.3194978632478624</v>
      </c>
      <c r="H22" s="160">
        <f t="shared" si="4"/>
        <v>3.5315972222222198</v>
      </c>
      <c r="I22">
        <f t="shared" ref="I22:I28" si="5">+RANK(H22,$H$19:$H$28)</f>
        <v>5</v>
      </c>
      <c r="K22">
        <f t="shared" si="3"/>
        <v>70.67901234567897</v>
      </c>
      <c r="N22">
        <f>+F59</f>
        <v>5</v>
      </c>
    </row>
    <row r="23" spans="1:14" x14ac:dyDescent="0.25">
      <c r="A23" s="54" t="s">
        <v>58</v>
      </c>
      <c r="B23" s="87">
        <f>+AHP_nivel_0!D171</f>
        <v>0.14806385869565214</v>
      </c>
      <c r="C23" s="87">
        <f>+AHP_nivel_0!E171</f>
        <v>1.0364470108695649</v>
      </c>
      <c r="D23" s="87">
        <f>+AHP_nivel_0!F171</f>
        <v>1.3819293478260866</v>
      </c>
      <c r="E23" s="87">
        <f>+AHP_nivel_0!G171</f>
        <v>1.0858016304347824</v>
      </c>
      <c r="F23" s="87">
        <f>+AHP_nivel_0!H171</f>
        <v>1.5299932065217388</v>
      </c>
      <c r="H23" s="160">
        <f t="shared" si="4"/>
        <v>2.7638586956521731</v>
      </c>
      <c r="I23">
        <f t="shared" si="5"/>
        <v>8</v>
      </c>
      <c r="K23">
        <f t="shared" si="3"/>
        <v>55.31400966183574</v>
      </c>
      <c r="N23">
        <f>+G59</f>
        <v>9</v>
      </c>
    </row>
    <row r="24" spans="1:14" x14ac:dyDescent="0.25">
      <c r="A24" s="54" t="s">
        <v>63</v>
      </c>
      <c r="B24" s="87">
        <f>+AHP_nivel_0!D172</f>
        <v>0.75363070539419064</v>
      </c>
      <c r="C24" s="87">
        <f>+AHP_nivel_0!E172</f>
        <v>1.8087136929460574</v>
      </c>
      <c r="D24" s="87">
        <f>+AHP_nivel_0!F172</f>
        <v>1.2811721991701239</v>
      </c>
      <c r="E24" s="87">
        <f>+AHP_nivel_0!G172</f>
        <v>0.22608921161825718</v>
      </c>
      <c r="F24" s="87">
        <f>+AHP_nivel_0!H172</f>
        <v>1.4318983402489622</v>
      </c>
      <c r="H24" s="160">
        <f t="shared" si="4"/>
        <v>2.4116182572614102</v>
      </c>
      <c r="I24">
        <f t="shared" si="5"/>
        <v>10</v>
      </c>
      <c r="K24">
        <f t="shared" si="3"/>
        <v>48.264506355792655</v>
      </c>
      <c r="N24">
        <f>+H59</f>
        <v>8</v>
      </c>
    </row>
    <row r="25" spans="1:14" x14ac:dyDescent="0.25">
      <c r="A25" s="54" t="s">
        <v>66</v>
      </c>
      <c r="B25" s="87">
        <f>+AHP_nivel_0!D173</f>
        <v>1.2548636363636363</v>
      </c>
      <c r="C25" s="87">
        <f>+AHP_nivel_0!E173</f>
        <v>1.3209090909090906</v>
      </c>
      <c r="D25" s="87">
        <f>+AHP_nivel_0!F173</f>
        <v>1.4529999999999998</v>
      </c>
      <c r="E25" s="87">
        <f>+AHP_nivel_0!G173</f>
        <v>0.13209090909090906</v>
      </c>
      <c r="F25" s="87">
        <f>+AHP_nivel_0!H173</f>
        <v>1.3869545454545451</v>
      </c>
      <c r="H25" s="160">
        <f t="shared" si="4"/>
        <v>2.7739090909090907</v>
      </c>
      <c r="I25">
        <f t="shared" si="5"/>
        <v>7</v>
      </c>
      <c r="K25">
        <f t="shared" si="3"/>
        <v>55.515151515151516</v>
      </c>
      <c r="N25">
        <f>+I59</f>
        <v>7</v>
      </c>
    </row>
    <row r="26" spans="1:14" ht="28.5" x14ac:dyDescent="0.25">
      <c r="A26" s="54" t="s">
        <v>69</v>
      </c>
      <c r="B26" s="87">
        <f>+AHP_nivel_0!D174</f>
        <v>3.4888418079096035</v>
      </c>
      <c r="C26" s="87">
        <f>+AHP_nivel_0!E174</f>
        <v>0.41045197740112987</v>
      </c>
      <c r="D26" s="87">
        <f>+AHP_nivel_0!F174</f>
        <v>0.30783898305084745</v>
      </c>
      <c r="E26" s="87">
        <f>+AHP_nivel_0!G174</f>
        <v>1.1800494350282482</v>
      </c>
      <c r="F26" s="87">
        <f>+AHP_nivel_0!H174</f>
        <v>0.20522598870056494</v>
      </c>
      <c r="H26" s="160">
        <f t="shared" si="4"/>
        <v>4.8741172316384169</v>
      </c>
      <c r="I26" s="122">
        <f t="shared" si="5"/>
        <v>2</v>
      </c>
      <c r="K26">
        <f t="shared" si="3"/>
        <v>97.547305174423798</v>
      </c>
      <c r="N26">
        <f>+J59</f>
        <v>2</v>
      </c>
    </row>
    <row r="27" spans="1:14" x14ac:dyDescent="0.25">
      <c r="A27" s="54" t="s">
        <v>74</v>
      </c>
      <c r="B27" s="87">
        <f>+AHP_nivel_0!D175</f>
        <v>4.4414847161572046</v>
      </c>
      <c r="C27" s="87">
        <f>+AHP_nivel_0!E175</f>
        <v>7.9312227074235797E-2</v>
      </c>
      <c r="D27" s="87">
        <f>+AHP_nivel_0!F175</f>
        <v>0.79312227074235797</v>
      </c>
      <c r="E27" s="87">
        <f>+AHP_nivel_0!G175</f>
        <v>0.47587336244541478</v>
      </c>
      <c r="F27" s="87">
        <f>+AHP_nivel_0!H175</f>
        <v>7.9312227074235797E-2</v>
      </c>
      <c r="H27" s="160">
        <f t="shared" si="4"/>
        <v>4.9966703056768553</v>
      </c>
      <c r="I27" s="122">
        <f t="shared" si="5"/>
        <v>1</v>
      </c>
      <c r="K27">
        <f t="shared" si="3"/>
        <v>100</v>
      </c>
      <c r="N27">
        <f>+K59</f>
        <v>3</v>
      </c>
    </row>
    <row r="28" spans="1:14" x14ac:dyDescent="0.25">
      <c r="A28" s="54" t="s">
        <v>79</v>
      </c>
      <c r="B28" s="87">
        <f>+AHP_nivel_0!D176</f>
        <v>2.5343023255813946</v>
      </c>
      <c r="C28" s="87">
        <f>+AHP_nivel_0!E176</f>
        <v>0.70397286821705407</v>
      </c>
      <c r="D28" s="87">
        <f>+AHP_nivel_0!F176</f>
        <v>1.6895348837209294</v>
      </c>
      <c r="E28" s="87">
        <f>+AHP_nivel_0!G176</f>
        <v>0.56317829457364321</v>
      </c>
      <c r="F28" s="87">
        <f>+AHP_nivel_0!H176</f>
        <v>0.28158914728682161</v>
      </c>
      <c r="H28" s="160">
        <f t="shared" si="4"/>
        <v>3.3790697674418597</v>
      </c>
      <c r="I28">
        <f t="shared" si="5"/>
        <v>6</v>
      </c>
      <c r="K28">
        <f t="shared" si="3"/>
        <v>67.626430417128077</v>
      </c>
      <c r="N28">
        <f>+L59</f>
        <v>6</v>
      </c>
    </row>
    <row r="29" spans="1:14" x14ac:dyDescent="0.25">
      <c r="A29" s="159"/>
      <c r="B29" s="186">
        <f>+SUM(B19:B28)</f>
        <v>15.647451600152293</v>
      </c>
      <c r="C29" s="186">
        <f t="shared" ref="C29:F29" si="6">+SUM(C19:C28)</f>
        <v>6.6956851333104055</v>
      </c>
      <c r="D29" s="186">
        <f t="shared" si="6"/>
        <v>12.528344281149872</v>
      </c>
      <c r="E29" s="186">
        <f t="shared" si="6"/>
        <v>7.9545240324316628</v>
      </c>
      <c r="F29" s="186">
        <f t="shared" si="6"/>
        <v>11.298115206608898</v>
      </c>
    </row>
    <row r="33" spans="1:12" x14ac:dyDescent="0.25">
      <c r="H33" s="160"/>
    </row>
    <row r="34" spans="1:12" x14ac:dyDescent="0.25">
      <c r="H34" s="160"/>
    </row>
    <row r="35" spans="1:12" x14ac:dyDescent="0.25">
      <c r="H35" s="160"/>
    </row>
    <row r="37" spans="1:12" ht="72" thickBot="1" x14ac:dyDescent="0.3">
      <c r="C37" s="54" t="s">
        <v>25</v>
      </c>
      <c r="D37" s="54" t="s">
        <v>44</v>
      </c>
      <c r="E37" s="54" t="s">
        <v>49</v>
      </c>
      <c r="F37" s="54" t="s">
        <v>53</v>
      </c>
      <c r="G37" s="54" t="s">
        <v>58</v>
      </c>
      <c r="H37" s="54" t="s">
        <v>63</v>
      </c>
      <c r="I37" s="54" t="s">
        <v>66</v>
      </c>
      <c r="J37" s="54" t="s">
        <v>69</v>
      </c>
      <c r="K37" s="54" t="s">
        <v>74</v>
      </c>
      <c r="L37" s="54" t="s">
        <v>79</v>
      </c>
    </row>
    <row r="38" spans="1:12" ht="15.75" thickBot="1" x14ac:dyDescent="0.3">
      <c r="A38" s="131" t="s">
        <v>2</v>
      </c>
      <c r="B38" s="88">
        <v>0.2112</v>
      </c>
      <c r="C38" s="87">
        <v>0.63210651391127703</v>
      </c>
      <c r="D38" s="87">
        <v>0.96650214738666307</v>
      </c>
      <c r="E38" s="87">
        <v>0.92407034579407787</v>
      </c>
      <c r="F38" s="87">
        <v>0.66105795729652672</v>
      </c>
      <c r="G38" s="87">
        <v>0.15464034358186612</v>
      </c>
      <c r="H38" s="87">
        <v>0.7414263048445634</v>
      </c>
      <c r="I38" s="87">
        <v>1.22423605335644</v>
      </c>
      <c r="J38" s="87">
        <v>3.3765506213288194</v>
      </c>
      <c r="K38" s="87">
        <v>4.095879370546724</v>
      </c>
      <c r="L38" s="87">
        <v>2.3761808891847718</v>
      </c>
    </row>
    <row r="39" spans="1:12" ht="15.75" thickBot="1" x14ac:dyDescent="0.3">
      <c r="A39" s="132" t="s">
        <v>3</v>
      </c>
      <c r="B39" s="89">
        <v>0.19639999999999999</v>
      </c>
      <c r="C39" s="87">
        <v>0.53333987111264036</v>
      </c>
      <c r="D39" s="87">
        <v>0.19330042947733261</v>
      </c>
      <c r="E39" s="87">
        <v>0.33002512349788493</v>
      </c>
      <c r="F39" s="87">
        <v>0.33052897864826342</v>
      </c>
      <c r="G39" s="87">
        <v>1.0824824050730628</v>
      </c>
      <c r="H39" s="87">
        <v>1.779423131626952</v>
      </c>
      <c r="I39" s="87">
        <v>1.2886695298488839</v>
      </c>
      <c r="J39" s="87">
        <v>0.39724124956809642</v>
      </c>
      <c r="K39" s="87">
        <v>7.3140703045477207E-2</v>
      </c>
      <c r="L39" s="87">
        <v>0.66005024699576997</v>
      </c>
    </row>
    <row r="40" spans="1:12" ht="26.25" thickBot="1" x14ac:dyDescent="0.3">
      <c r="A40" s="133" t="s">
        <v>4</v>
      </c>
      <c r="B40" s="90">
        <v>0.17449999999999999</v>
      </c>
      <c r="C40" s="87">
        <v>2.4296594128464726</v>
      </c>
      <c r="D40" s="87">
        <v>1.2081276842333291</v>
      </c>
      <c r="E40" s="87">
        <v>0.85806532109450095</v>
      </c>
      <c r="F40" s="87">
        <v>1.3221159145930537</v>
      </c>
      <c r="G40" s="87">
        <v>1.4433098734307503</v>
      </c>
      <c r="H40" s="87">
        <v>1.2604247182357575</v>
      </c>
      <c r="I40" s="87">
        <v>1.4175364828337726</v>
      </c>
      <c r="J40" s="87">
        <v>0.29793093717607239</v>
      </c>
      <c r="K40" s="87">
        <v>0.73140703045477207</v>
      </c>
      <c r="L40" s="87">
        <v>1.5841205927898476</v>
      </c>
    </row>
    <row r="41" spans="1:12" ht="15.75" thickBot="1" x14ac:dyDescent="0.3">
      <c r="A41" s="134" t="s">
        <v>5</v>
      </c>
      <c r="B41" s="91">
        <v>0.20669999999999999</v>
      </c>
      <c r="C41" s="87">
        <v>0.63210651391127737</v>
      </c>
      <c r="D41" s="87">
        <v>0.62822639580133111</v>
      </c>
      <c r="E41" s="87">
        <v>1.5841205927898476</v>
      </c>
      <c r="F41" s="87">
        <v>1.6939610155723499</v>
      </c>
      <c r="G41" s="87">
        <v>1.1340291862670182</v>
      </c>
      <c r="H41" s="87">
        <v>0.222427891453369</v>
      </c>
      <c r="I41" s="87">
        <v>0.1288669529848884</v>
      </c>
      <c r="J41" s="87">
        <v>1.142068592508277</v>
      </c>
      <c r="K41" s="87">
        <v>0.43884421827286324</v>
      </c>
      <c r="L41" s="87">
        <v>0.52804019759661591</v>
      </c>
    </row>
    <row r="42" spans="1:12" ht="15.75" thickBot="1" x14ac:dyDescent="0.3">
      <c r="A42" s="135" t="s">
        <v>6</v>
      </c>
      <c r="B42" s="91">
        <v>0.2112</v>
      </c>
      <c r="C42" s="87">
        <v>1.185199713583645</v>
      </c>
      <c r="D42" s="87">
        <v>2.4162553684666577</v>
      </c>
      <c r="E42" s="87">
        <v>1.7161306421890019</v>
      </c>
      <c r="F42" s="87">
        <v>1.4047481592551194</v>
      </c>
      <c r="G42" s="87">
        <v>1.5979502170126165</v>
      </c>
      <c r="H42" s="87">
        <v>1.4087099792046704</v>
      </c>
      <c r="I42" s="87">
        <v>1.3531030063413281</v>
      </c>
      <c r="J42" s="87">
        <v>0.19862062478404821</v>
      </c>
      <c r="K42" s="87">
        <v>7.3140703045477207E-2</v>
      </c>
      <c r="L42" s="87">
        <v>0.26402009879830796</v>
      </c>
    </row>
    <row r="43" spans="1:12" x14ac:dyDescent="0.25">
      <c r="C43" s="160">
        <f>+SUM(C38:C42)</f>
        <v>5.4124120253653114</v>
      </c>
      <c r="D43" s="160">
        <f t="shared" ref="D43:L43" si="7">+SUM(D38:D42)</f>
        <v>5.4124120253653132</v>
      </c>
      <c r="E43" s="160">
        <f t="shared" si="7"/>
        <v>5.4124120253653132</v>
      </c>
      <c r="F43" s="160">
        <f t="shared" si="7"/>
        <v>5.4124120253653132</v>
      </c>
      <c r="G43" s="160">
        <f t="shared" si="7"/>
        <v>5.4124120253653141</v>
      </c>
      <c r="H43" s="160">
        <f t="shared" si="7"/>
        <v>5.4124120253653123</v>
      </c>
      <c r="I43" s="160">
        <f t="shared" si="7"/>
        <v>5.4124120253653132</v>
      </c>
      <c r="J43" s="160">
        <f t="shared" si="7"/>
        <v>5.4124120253653141</v>
      </c>
      <c r="K43" s="160">
        <f t="shared" si="7"/>
        <v>5.4124120253653141</v>
      </c>
      <c r="L43" s="160">
        <f t="shared" si="7"/>
        <v>5.4124120253653132</v>
      </c>
    </row>
    <row r="44" spans="1:12" x14ac:dyDescent="0.25">
      <c r="C44" t="s">
        <v>25</v>
      </c>
      <c r="D44" t="s">
        <v>44</v>
      </c>
      <c r="E44" t="s">
        <v>49</v>
      </c>
      <c r="F44" t="s">
        <v>53</v>
      </c>
      <c r="G44" t="s">
        <v>58</v>
      </c>
      <c r="H44" t="s">
        <v>63</v>
      </c>
      <c r="I44" t="s">
        <v>66</v>
      </c>
      <c r="J44" t="s">
        <v>69</v>
      </c>
      <c r="K44" t="s">
        <v>74</v>
      </c>
      <c r="L44" t="s">
        <v>79</v>
      </c>
    </row>
    <row r="45" spans="1:12" ht="15.75" thickBot="1" x14ac:dyDescent="0.3">
      <c r="A45" s="184" t="s">
        <v>210</v>
      </c>
      <c r="C45" s="160">
        <f>+CORREL($B$38:$B$42,C38:C42)</f>
        <v>-0.79718489127052095</v>
      </c>
      <c r="D45" s="199">
        <f>+CORREL($B$38:$B$42,D38:D42)</f>
        <v>0.20423403286098399</v>
      </c>
      <c r="E45" s="199">
        <f>+CORREL($B$38:$B$42,E38:E42)</f>
        <v>0.48570585560970048</v>
      </c>
      <c r="F45" s="160">
        <f>+CORREL($B$38:$B$42,F38:F42)</f>
        <v>-1.1918831525443756E-2</v>
      </c>
      <c r="G45" s="160">
        <f t="shared" ref="G45:L45" si="8">+CORREL($B$38:$B$42,G38:G42)</f>
        <v>-0.38771413767759844</v>
      </c>
      <c r="H45" s="160">
        <f t="shared" si="8"/>
        <v>-0.34442585565105938</v>
      </c>
      <c r="I45" s="160">
        <f t="shared" si="8"/>
        <v>-0.33186856991523783</v>
      </c>
      <c r="J45" s="199">
        <f t="shared" si="8"/>
        <v>0.46752646028251515</v>
      </c>
      <c r="K45" s="199">
        <f t="shared" si="8"/>
        <v>0.2905600035702719</v>
      </c>
      <c r="L45" s="160">
        <f t="shared" si="8"/>
        <v>-0.17777274392045489</v>
      </c>
    </row>
    <row r="46" spans="1:12" ht="15.75" thickBot="1" x14ac:dyDescent="0.3">
      <c r="A46" s="192" t="s">
        <v>221</v>
      </c>
      <c r="C46" s="193">
        <v>-0.8</v>
      </c>
      <c r="D46" s="194">
        <v>0.21</v>
      </c>
      <c r="E46" s="194">
        <v>0.5</v>
      </c>
      <c r="F46" s="194">
        <v>0.05</v>
      </c>
      <c r="G46" s="193">
        <v>-0.33</v>
      </c>
      <c r="H46" s="193">
        <v>-0.36</v>
      </c>
      <c r="I46" s="193">
        <v>-0.35</v>
      </c>
      <c r="J46" s="194">
        <v>0.47</v>
      </c>
      <c r="K46" s="194">
        <v>0.28999999999999998</v>
      </c>
      <c r="L46" s="193">
        <v>-0.18</v>
      </c>
    </row>
    <row r="47" spans="1:12" ht="15.75" thickBot="1" x14ac:dyDescent="0.3">
      <c r="A47" s="195" t="s">
        <v>222</v>
      </c>
      <c r="C47" s="196">
        <v>-0.13</v>
      </c>
      <c r="D47" s="197">
        <v>0.31</v>
      </c>
      <c r="E47" s="197">
        <v>0.72</v>
      </c>
      <c r="F47" s="197">
        <v>0.21</v>
      </c>
      <c r="G47" s="196">
        <v>-0.1</v>
      </c>
      <c r="H47" s="196">
        <v>-0.21</v>
      </c>
      <c r="I47" s="196">
        <v>-0.41</v>
      </c>
      <c r="J47" s="197">
        <v>0.21</v>
      </c>
      <c r="K47" s="197">
        <v>0.03</v>
      </c>
      <c r="L47" s="196">
        <v>-0.21</v>
      </c>
    </row>
    <row r="48" spans="1:12" x14ac:dyDescent="0.25">
      <c r="A48" s="198" t="s">
        <v>223</v>
      </c>
      <c r="C48" s="198">
        <f>+RANK(C46,$C$46:$L$46)</f>
        <v>10</v>
      </c>
      <c r="D48" s="198">
        <f t="shared" ref="D48:L48" si="9">+RANK(D46,$C$46:$L$46)</f>
        <v>4</v>
      </c>
      <c r="E48" s="198">
        <f t="shared" si="9"/>
        <v>1</v>
      </c>
      <c r="F48" s="198">
        <f t="shared" si="9"/>
        <v>5</v>
      </c>
      <c r="G48" s="198">
        <f t="shared" si="9"/>
        <v>7</v>
      </c>
      <c r="H48" s="198">
        <f t="shared" si="9"/>
        <v>9</v>
      </c>
      <c r="I48" s="198">
        <f t="shared" si="9"/>
        <v>8</v>
      </c>
      <c r="J48" s="198">
        <f t="shared" si="9"/>
        <v>2</v>
      </c>
      <c r="K48" s="198">
        <f t="shared" si="9"/>
        <v>3</v>
      </c>
      <c r="L48" s="198">
        <f t="shared" si="9"/>
        <v>6</v>
      </c>
    </row>
    <row r="49" spans="1:12" x14ac:dyDescent="0.25">
      <c r="A49" s="198" t="s">
        <v>224</v>
      </c>
      <c r="C49" s="198">
        <f>+RANK(C47,$C$47:$L$47)</f>
        <v>7</v>
      </c>
      <c r="D49" s="198">
        <f t="shared" ref="D49:L49" si="10">+RANK(D47,$C$47:$L$47)</f>
        <v>2</v>
      </c>
      <c r="E49" s="198">
        <f t="shared" si="10"/>
        <v>1</v>
      </c>
      <c r="F49" s="198">
        <f t="shared" si="10"/>
        <v>3</v>
      </c>
      <c r="G49" s="198">
        <f t="shared" si="10"/>
        <v>6</v>
      </c>
      <c r="H49" s="198">
        <f t="shared" si="10"/>
        <v>8</v>
      </c>
      <c r="I49" s="198">
        <f t="shared" si="10"/>
        <v>10</v>
      </c>
      <c r="J49" s="198">
        <f t="shared" si="10"/>
        <v>3</v>
      </c>
      <c r="K49" s="198">
        <f t="shared" si="10"/>
        <v>5</v>
      </c>
      <c r="L49" s="198">
        <f t="shared" si="10"/>
        <v>8</v>
      </c>
    </row>
    <row r="50" spans="1:12" x14ac:dyDescent="0.25">
      <c r="A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</row>
    <row r="51" spans="1:12" ht="15.75" thickBot="1" x14ac:dyDescent="0.3">
      <c r="A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</row>
    <row r="52" spans="1:12" ht="15.75" thickBot="1" x14ac:dyDescent="0.3">
      <c r="A52" s="131" t="s">
        <v>2</v>
      </c>
      <c r="B52" s="88">
        <v>0.2112</v>
      </c>
      <c r="C52" s="187">
        <f t="shared" ref="C52:L52" si="11">+C38/$C$43</f>
        <v>0.11678832116788317</v>
      </c>
      <c r="D52" s="187">
        <f t="shared" si="11"/>
        <v>0.17857142857142863</v>
      </c>
      <c r="E52" s="187">
        <f t="shared" si="11"/>
        <v>0.17073170731707324</v>
      </c>
      <c r="F52" s="187">
        <f t="shared" si="11"/>
        <v>0.12213740458015269</v>
      </c>
      <c r="G52" s="187">
        <f t="shared" si="11"/>
        <v>2.8571428571428588E-2</v>
      </c>
      <c r="H52" s="187">
        <f t="shared" si="11"/>
        <v>0.13698630136986306</v>
      </c>
      <c r="I52" s="187">
        <f t="shared" si="11"/>
        <v>0.2261904761904763</v>
      </c>
      <c r="J52" s="187">
        <f t="shared" si="11"/>
        <v>0.62385321100917457</v>
      </c>
      <c r="K52" s="187">
        <f t="shared" si="11"/>
        <v>0.75675675675675713</v>
      </c>
      <c r="L52" s="187">
        <f t="shared" si="11"/>
        <v>0.43902439024390261</v>
      </c>
    </row>
    <row r="53" spans="1:12" ht="15.75" thickBot="1" x14ac:dyDescent="0.3">
      <c r="A53" s="132" t="s">
        <v>3</v>
      </c>
      <c r="B53" s="89">
        <v>0.19639999999999999</v>
      </c>
      <c r="C53" s="187">
        <f t="shared" ref="C53:L53" si="12">+C39/$C$43</f>
        <v>9.8540145985401492E-2</v>
      </c>
      <c r="D53" s="187">
        <f t="shared" si="12"/>
        <v>3.5714285714285726E-2</v>
      </c>
      <c r="E53" s="187">
        <f t="shared" si="12"/>
        <v>6.097560975609758E-2</v>
      </c>
      <c r="F53" s="187">
        <f t="shared" si="12"/>
        <v>6.1068702290076361E-2</v>
      </c>
      <c r="G53" s="187">
        <f t="shared" si="12"/>
        <v>0.20000000000000009</v>
      </c>
      <c r="H53" s="187">
        <f t="shared" si="12"/>
        <v>0.32876712328767127</v>
      </c>
      <c r="I53" s="187">
        <f t="shared" si="12"/>
        <v>0.23809523809523814</v>
      </c>
      <c r="J53" s="187">
        <f t="shared" si="12"/>
        <v>7.3394495412844069E-2</v>
      </c>
      <c r="K53" s="187">
        <f t="shared" si="12"/>
        <v>1.3513513513513518E-2</v>
      </c>
      <c r="L53" s="187">
        <f t="shared" si="12"/>
        <v>0.12195121951219517</v>
      </c>
    </row>
    <row r="54" spans="1:12" ht="26.25" thickBot="1" x14ac:dyDescent="0.3">
      <c r="A54" s="133" t="s">
        <v>4</v>
      </c>
      <c r="B54" s="90">
        <v>0.17449999999999999</v>
      </c>
      <c r="C54" s="187">
        <f t="shared" ref="C54:L54" si="13">+C40/$C$43</f>
        <v>0.44890510948905121</v>
      </c>
      <c r="D54" s="187">
        <f t="shared" si="13"/>
        <v>0.22321428571428584</v>
      </c>
      <c r="E54" s="187">
        <f t="shared" si="13"/>
        <v>0.15853658536585372</v>
      </c>
      <c r="F54" s="187">
        <f t="shared" si="13"/>
        <v>0.24427480916030544</v>
      </c>
      <c r="G54" s="187">
        <f>+G40/$C$43</f>
        <v>0.26666666666666677</v>
      </c>
      <c r="H54" s="187">
        <f t="shared" si="13"/>
        <v>0.23287671232876714</v>
      </c>
      <c r="I54" s="187">
        <f t="shared" si="13"/>
        <v>0.26190476190476203</v>
      </c>
      <c r="J54" s="187">
        <f t="shared" si="13"/>
        <v>5.5045871559633065E-2</v>
      </c>
      <c r="K54" s="187">
        <f t="shared" si="13"/>
        <v>0.13513513513513517</v>
      </c>
      <c r="L54" s="187">
        <f t="shared" si="13"/>
        <v>0.29268292682926839</v>
      </c>
    </row>
    <row r="55" spans="1:12" ht="15.75" thickBot="1" x14ac:dyDescent="0.3">
      <c r="A55" s="134" t="s">
        <v>5</v>
      </c>
      <c r="B55" s="91">
        <v>0.20669999999999999</v>
      </c>
      <c r="C55" s="187">
        <f t="shared" ref="C55:L55" si="14">+C41/$C$43</f>
        <v>0.11678832116788324</v>
      </c>
      <c r="D55" s="187">
        <f t="shared" si="14"/>
        <v>0.11607142857142863</v>
      </c>
      <c r="E55" s="187">
        <f t="shared" si="14"/>
        <v>0.29268292682926839</v>
      </c>
      <c r="F55" s="187">
        <f t="shared" si="14"/>
        <v>0.3129770992366413</v>
      </c>
      <c r="G55" s="187">
        <f t="shared" si="14"/>
        <v>0.20952380952380964</v>
      </c>
      <c r="H55" s="187">
        <f t="shared" si="14"/>
        <v>4.1095890410958909E-2</v>
      </c>
      <c r="I55" s="187">
        <f t="shared" si="14"/>
        <v>2.3809523809523815E-2</v>
      </c>
      <c r="J55" s="187">
        <f t="shared" si="14"/>
        <v>0.21100917431192664</v>
      </c>
      <c r="K55" s="187">
        <f t="shared" si="14"/>
        <v>8.1081081081081113E-2</v>
      </c>
      <c r="L55" s="187">
        <f t="shared" si="14"/>
        <v>9.7560975609756129E-2</v>
      </c>
    </row>
    <row r="56" spans="1:12" ht="15.75" thickBot="1" x14ac:dyDescent="0.3">
      <c r="A56" s="135" t="s">
        <v>6</v>
      </c>
      <c r="B56" s="91">
        <v>0.2112</v>
      </c>
      <c r="C56" s="187">
        <f t="shared" ref="C56:L56" si="15">+C42/$C$43</f>
        <v>0.21897810218978103</v>
      </c>
      <c r="D56" s="187">
        <f t="shared" si="15"/>
        <v>0.44642857142857156</v>
      </c>
      <c r="E56" s="187">
        <f t="shared" si="15"/>
        <v>0.31707317073170743</v>
      </c>
      <c r="F56" s="187">
        <f t="shared" si="15"/>
        <v>0.25954198473282453</v>
      </c>
      <c r="G56" s="187">
        <f t="shared" si="15"/>
        <v>0.29523809523809535</v>
      </c>
      <c r="H56" s="187">
        <f t="shared" si="15"/>
        <v>0.26027397260273977</v>
      </c>
      <c r="I56" s="187">
        <f t="shared" si="15"/>
        <v>0.25000000000000006</v>
      </c>
      <c r="J56" s="187">
        <f t="shared" si="15"/>
        <v>3.6697247706422034E-2</v>
      </c>
      <c r="K56" s="187">
        <f t="shared" si="15"/>
        <v>1.3513513513513518E-2</v>
      </c>
      <c r="L56" s="187">
        <f t="shared" si="15"/>
        <v>4.8780487804878064E-2</v>
      </c>
    </row>
    <row r="58" spans="1:12" x14ac:dyDescent="0.25">
      <c r="C58">
        <f>+CORREL($B$52:$B$56,C52:C56)</f>
        <v>-0.79718489127052106</v>
      </c>
      <c r="D58">
        <f t="shared" ref="D58:L58" si="16">+CORREL($B$52:$B$56,D52:D56)</f>
        <v>0.20423403286098393</v>
      </c>
      <c r="E58">
        <f t="shared" si="16"/>
        <v>0.48570585560970037</v>
      </c>
      <c r="F58">
        <f t="shared" si="16"/>
        <v>-1.1918831525443763E-2</v>
      </c>
      <c r="G58">
        <f t="shared" si="16"/>
        <v>-0.38771413767759844</v>
      </c>
      <c r="H58">
        <f t="shared" si="16"/>
        <v>-0.34442585565105932</v>
      </c>
      <c r="I58">
        <f t="shared" si="16"/>
        <v>-0.33186856991523783</v>
      </c>
      <c r="J58">
        <f t="shared" si="16"/>
        <v>0.46752646028251521</v>
      </c>
      <c r="K58">
        <f t="shared" si="16"/>
        <v>0.2905600035702719</v>
      </c>
      <c r="L58">
        <f t="shared" si="16"/>
        <v>-0.17777274392045492</v>
      </c>
    </row>
    <row r="59" spans="1:12" x14ac:dyDescent="0.25">
      <c r="B59" t="s">
        <v>214</v>
      </c>
      <c r="C59">
        <f>+_xlfn.RANK.EQ(C58,$C$58:$L$58)</f>
        <v>10</v>
      </c>
      <c r="D59">
        <f t="shared" ref="D59:L59" si="17">+_xlfn.RANK.EQ(D58,$C$58:$L$58)</f>
        <v>4</v>
      </c>
      <c r="E59">
        <f t="shared" si="17"/>
        <v>1</v>
      </c>
      <c r="F59">
        <f t="shared" si="17"/>
        <v>5</v>
      </c>
      <c r="G59">
        <f t="shared" si="17"/>
        <v>9</v>
      </c>
      <c r="H59">
        <f t="shared" si="17"/>
        <v>8</v>
      </c>
      <c r="I59">
        <f t="shared" si="17"/>
        <v>7</v>
      </c>
      <c r="J59">
        <f t="shared" si="17"/>
        <v>2</v>
      </c>
      <c r="K59">
        <f t="shared" si="17"/>
        <v>3</v>
      </c>
      <c r="L59">
        <f t="shared" si="17"/>
        <v>6</v>
      </c>
    </row>
    <row r="60" spans="1:12" x14ac:dyDescent="0.25">
      <c r="B60" t="s">
        <v>216</v>
      </c>
      <c r="C60" s="188">
        <f>+SUM(C52,C55,C56)</f>
        <v>0.45255474452554745</v>
      </c>
      <c r="D60" s="188">
        <f t="shared" ref="D60" si="18">+SUM(D52,D55,D56)</f>
        <v>0.74107142857142883</v>
      </c>
      <c r="E60" s="188">
        <f>+SUM(E52,E55,E56)</f>
        <v>0.78048780487804903</v>
      </c>
      <c r="F60" s="188">
        <f>+SUM(F52,F55,F56)</f>
        <v>0.69465648854961848</v>
      </c>
      <c r="G60" s="188">
        <f t="shared" ref="G60:L60" si="19">+SUM(G52,G55,G56)</f>
        <v>0.53333333333333355</v>
      </c>
      <c r="H60" s="188">
        <f t="shared" si="19"/>
        <v>0.43835616438356173</v>
      </c>
      <c r="I60" s="188">
        <f t="shared" si="19"/>
        <v>0.50000000000000022</v>
      </c>
      <c r="J60" s="188">
        <f t="shared" si="19"/>
        <v>0.87155963302752326</v>
      </c>
      <c r="K60" s="188">
        <f t="shared" si="19"/>
        <v>0.85135135135135176</v>
      </c>
      <c r="L60" s="188">
        <f t="shared" si="19"/>
        <v>0.58536585365853688</v>
      </c>
    </row>
    <row r="61" spans="1:12" x14ac:dyDescent="0.25">
      <c r="B61" t="s">
        <v>217</v>
      </c>
      <c r="C61" s="188">
        <f>+SUM(C52,C56)</f>
        <v>0.33576642335766421</v>
      </c>
      <c r="D61" s="188">
        <f t="shared" ref="D61:L61" si="20">+SUM(D52,D56)</f>
        <v>0.62500000000000022</v>
      </c>
      <c r="E61" s="188">
        <f t="shared" si="20"/>
        <v>0.4878048780487807</v>
      </c>
      <c r="F61" s="188">
        <f t="shared" si="20"/>
        <v>0.38167938931297724</v>
      </c>
      <c r="G61" s="188">
        <f t="shared" si="20"/>
        <v>0.32380952380952394</v>
      </c>
      <c r="H61" s="188">
        <f t="shared" si="20"/>
        <v>0.39726027397260283</v>
      </c>
      <c r="I61" s="188">
        <f t="shared" si="20"/>
        <v>0.47619047619047639</v>
      </c>
      <c r="J61" s="188">
        <f t="shared" si="20"/>
        <v>0.66055045871559659</v>
      </c>
      <c r="K61" s="188">
        <f t="shared" si="20"/>
        <v>0.77027027027027062</v>
      </c>
      <c r="L61" s="188">
        <f t="shared" si="20"/>
        <v>0.4878048780487807</v>
      </c>
    </row>
    <row r="62" spans="1:12" x14ac:dyDescent="0.25">
      <c r="B62" t="s">
        <v>219</v>
      </c>
      <c r="C62" s="188">
        <f>+SUM(C53,C54)</f>
        <v>0.54744525547445266</v>
      </c>
      <c r="D62" s="188">
        <f t="shared" ref="D62:L62" si="21">+SUM(D53,D54)</f>
        <v>0.25892857142857156</v>
      </c>
      <c r="E62" s="188">
        <f t="shared" si="21"/>
        <v>0.2195121951219513</v>
      </c>
      <c r="F62" s="188">
        <f t="shared" si="21"/>
        <v>0.3053435114503818</v>
      </c>
      <c r="G62" s="188">
        <f t="shared" si="21"/>
        <v>0.4666666666666669</v>
      </c>
      <c r="H62" s="188">
        <f t="shared" si="21"/>
        <v>0.56164383561643838</v>
      </c>
      <c r="I62" s="188">
        <f t="shared" si="21"/>
        <v>0.50000000000000022</v>
      </c>
      <c r="J62" s="188">
        <f t="shared" si="21"/>
        <v>0.12844036697247713</v>
      </c>
      <c r="K62" s="188">
        <f t="shared" si="21"/>
        <v>0.14864864864864868</v>
      </c>
      <c r="L62" s="188">
        <f t="shared" si="21"/>
        <v>0.41463414634146356</v>
      </c>
    </row>
    <row r="63" spans="1:12" x14ac:dyDescent="0.25"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5" spans="1:12" x14ac:dyDescent="0.25">
      <c r="A65" s="226"/>
      <c r="B65" t="s">
        <v>218</v>
      </c>
    </row>
    <row r="66" spans="1:12" x14ac:dyDescent="0.25">
      <c r="A66" s="226"/>
      <c r="B66">
        <v>15.647451600152293</v>
      </c>
      <c r="C66" s="160">
        <v>0.11678832116788319</v>
      </c>
      <c r="D66" s="160">
        <v>0.17857142857142858</v>
      </c>
      <c r="E66" s="160">
        <v>0.17073170731707318</v>
      </c>
      <c r="F66" s="160">
        <v>0.12213740458015265</v>
      </c>
      <c r="G66" s="160">
        <v>2.8571428571428577E-2</v>
      </c>
      <c r="H66" s="160">
        <v>0.13698630136986301</v>
      </c>
      <c r="I66" s="160">
        <v>0.22619047619047622</v>
      </c>
      <c r="J66" s="160">
        <v>0.62385321100917435</v>
      </c>
      <c r="K66" s="160">
        <v>0.75675675675675691</v>
      </c>
      <c r="L66" s="160">
        <v>0.43902439024390244</v>
      </c>
    </row>
    <row r="67" spans="1:12" x14ac:dyDescent="0.25">
      <c r="A67" s="226"/>
      <c r="B67">
        <v>6.6956851333104055</v>
      </c>
      <c r="C67" s="160">
        <v>9.8540145985401464E-2</v>
      </c>
      <c r="D67" s="160">
        <v>3.5714285714285712E-2</v>
      </c>
      <c r="E67" s="160">
        <v>6.097560975609756E-2</v>
      </c>
      <c r="F67" s="160">
        <v>6.106870229007634E-2</v>
      </c>
      <c r="G67" s="160">
        <v>0.20000000000000004</v>
      </c>
      <c r="H67" s="160">
        <v>0.32876712328767116</v>
      </c>
      <c r="I67" s="160">
        <v>0.23809523809523805</v>
      </c>
      <c r="J67" s="160">
        <v>7.3394495412844041E-2</v>
      </c>
      <c r="K67" s="160">
        <v>1.3513513513513514E-2</v>
      </c>
      <c r="L67" s="160">
        <v>0.12195121951219513</v>
      </c>
    </row>
    <row r="68" spans="1:12" x14ac:dyDescent="0.25">
      <c r="A68" s="226"/>
      <c r="B68">
        <v>12.528344281149872</v>
      </c>
      <c r="C68" s="160">
        <v>0.44890510948905105</v>
      </c>
      <c r="D68" s="160">
        <v>0.22321428571428575</v>
      </c>
      <c r="E68" s="160">
        <v>0.15853658536585366</v>
      </c>
      <c r="F68" s="160">
        <v>0.24427480916030536</v>
      </c>
      <c r="G68" s="160">
        <v>0.26666666666666672</v>
      </c>
      <c r="H68" s="160">
        <v>0.23287671232876705</v>
      </c>
      <c r="I68" s="160">
        <v>0.26190476190476192</v>
      </c>
      <c r="J68" s="160">
        <v>5.5045871559633044E-2</v>
      </c>
      <c r="K68" s="160">
        <v>0.13513513513513514</v>
      </c>
      <c r="L68" s="160">
        <v>0.29268292682926828</v>
      </c>
    </row>
    <row r="69" spans="1:12" x14ac:dyDescent="0.25">
      <c r="A69" s="226"/>
      <c r="B69">
        <v>7.9545240324316628</v>
      </c>
      <c r="C69" s="160">
        <v>0.11678832116788319</v>
      </c>
      <c r="D69" s="160">
        <v>0.11607142857142859</v>
      </c>
      <c r="E69" s="160">
        <v>0.29268292682926828</v>
      </c>
      <c r="F69" s="160">
        <v>0.31297709923664124</v>
      </c>
      <c r="G69" s="160">
        <v>0.20952380952380956</v>
      </c>
      <c r="H69" s="160">
        <v>4.1095890410958895E-2</v>
      </c>
      <c r="I69" s="160">
        <v>2.3809523809523808E-2</v>
      </c>
      <c r="J69" s="160">
        <v>0.21100917431192659</v>
      </c>
      <c r="K69" s="160">
        <v>8.1081081081081086E-2</v>
      </c>
      <c r="L69" s="160">
        <v>9.7560975609756101E-2</v>
      </c>
    </row>
    <row r="70" spans="1:12" x14ac:dyDescent="0.25">
      <c r="A70" s="226"/>
      <c r="B70">
        <v>11.298115206608898</v>
      </c>
      <c r="C70" s="160">
        <v>0.21897810218978098</v>
      </c>
      <c r="D70" s="160">
        <v>0.44642857142857145</v>
      </c>
      <c r="E70" s="160">
        <v>0.31707317073170732</v>
      </c>
      <c r="F70" s="160">
        <v>0.25954198473282442</v>
      </c>
      <c r="G70" s="160">
        <v>0.2952380952380953</v>
      </c>
      <c r="H70" s="160">
        <v>0.26027397260273971</v>
      </c>
      <c r="I70" s="160">
        <v>0.24999999999999997</v>
      </c>
      <c r="J70" s="160">
        <v>3.669724770642202E-2</v>
      </c>
      <c r="K70" s="160">
        <v>1.3513513513513514E-2</v>
      </c>
      <c r="L70" s="160">
        <v>4.878048780487805E-2</v>
      </c>
    </row>
    <row r="71" spans="1:12" x14ac:dyDescent="0.25">
      <c r="A71" s="226"/>
      <c r="B71" t="s">
        <v>220</v>
      </c>
      <c r="C71" s="160">
        <f>+CORREL(C38:C42,$B$66:$B$70)</f>
        <v>0.32620939486051848</v>
      </c>
      <c r="D71" s="160">
        <f t="shared" ref="D71:L71" si="22">+CORREL(D38:D42,$B$66:$B$70)</f>
        <v>0.4370095741042051</v>
      </c>
      <c r="E71" s="160">
        <f t="shared" si="22"/>
        <v>0.10034621767143212</v>
      </c>
      <c r="F71" s="189">
        <f>+CORREL(F38:F42,$B$66:$B$70)</f>
        <v>-1.499124955984984E-2</v>
      </c>
      <c r="G71" s="189">
        <f t="shared" si="22"/>
        <v>-0.4665784962495535</v>
      </c>
      <c r="H71" s="189">
        <f t="shared" si="22"/>
        <v>-0.18256193640274324</v>
      </c>
      <c r="I71" s="160">
        <f t="shared" si="22"/>
        <v>0.42260170816101678</v>
      </c>
      <c r="J71" s="160">
        <f t="shared" si="22"/>
        <v>0.62335429619791782</v>
      </c>
      <c r="K71" s="160">
        <f t="shared" si="22"/>
        <v>0.79343520355315811</v>
      </c>
      <c r="L71" s="160">
        <f t="shared" si="22"/>
        <v>0.7958654945500937</v>
      </c>
    </row>
    <row r="72" spans="1:12" x14ac:dyDescent="0.25">
      <c r="A72" s="226"/>
      <c r="B72" t="s">
        <v>214</v>
      </c>
      <c r="C72">
        <f>+_xlfn.RANK.EQ(C71,$C$71:$L$71,1)</f>
        <v>5</v>
      </c>
      <c r="D72">
        <f t="shared" ref="D72:L72" si="23">+_xlfn.RANK.EQ(D71,$C$71:$L$71,1)</f>
        <v>7</v>
      </c>
      <c r="E72">
        <f t="shared" si="23"/>
        <v>4</v>
      </c>
      <c r="F72">
        <f t="shared" si="23"/>
        <v>3</v>
      </c>
      <c r="G72">
        <f t="shared" si="23"/>
        <v>1</v>
      </c>
      <c r="H72">
        <f t="shared" si="23"/>
        <v>2</v>
      </c>
      <c r="I72">
        <f t="shared" si="23"/>
        <v>6</v>
      </c>
      <c r="J72">
        <f t="shared" si="23"/>
        <v>8</v>
      </c>
      <c r="K72">
        <f t="shared" si="23"/>
        <v>9</v>
      </c>
      <c r="L72">
        <f t="shared" si="23"/>
        <v>10</v>
      </c>
    </row>
    <row r="75" spans="1:12" x14ac:dyDescent="0.25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</row>
    <row r="76" spans="1:12" x14ac:dyDescent="0.25"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</row>
    <row r="77" spans="1:12" x14ac:dyDescent="0.25"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</row>
    <row r="78" spans="1:12" x14ac:dyDescent="0.25"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</row>
    <row r="79" spans="1:12" x14ac:dyDescent="0.25"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0"/>
    </row>
    <row r="80" spans="1:12" x14ac:dyDescent="0.25">
      <c r="A80" t="s">
        <v>227</v>
      </c>
      <c r="B80" t="s">
        <v>228</v>
      </c>
      <c r="C80" s="187" t="s">
        <v>225</v>
      </c>
      <c r="D80" s="187" t="s">
        <v>226</v>
      </c>
      <c r="E80" s="187"/>
      <c r="F80" s="187"/>
      <c r="G80" s="187"/>
      <c r="H80" s="187"/>
      <c r="I80" s="187"/>
      <c r="J80" s="187"/>
      <c r="K80" s="187"/>
      <c r="L80" s="187"/>
    </row>
    <row r="81" spans="1:16" x14ac:dyDescent="0.25">
      <c r="A81" t="s">
        <v>2</v>
      </c>
      <c r="B81">
        <v>0.2112</v>
      </c>
      <c r="C81" s="187">
        <v>0.17073170731707318</v>
      </c>
      <c r="D81" s="187">
        <v>0.43902439024390244</v>
      </c>
    </row>
    <row r="82" spans="1:16" x14ac:dyDescent="0.25">
      <c r="A82" t="s">
        <v>3</v>
      </c>
      <c r="B82">
        <v>0.19639999999999999</v>
      </c>
      <c r="C82" s="187">
        <v>6.097560975609756E-2</v>
      </c>
      <c r="D82" s="187">
        <v>0.12195121951219513</v>
      </c>
    </row>
    <row r="83" spans="1:16" x14ac:dyDescent="0.25">
      <c r="A83" t="s">
        <v>4</v>
      </c>
      <c r="B83">
        <v>0.17449999999999999</v>
      </c>
      <c r="C83" s="187">
        <v>0.15853658536585366</v>
      </c>
      <c r="D83" s="187">
        <v>0.29268292682926828</v>
      </c>
    </row>
    <row r="84" spans="1:16" x14ac:dyDescent="0.25">
      <c r="A84" t="s">
        <v>5</v>
      </c>
      <c r="B84">
        <v>0.20669999999999999</v>
      </c>
      <c r="C84" s="187">
        <v>0.29268292682926828</v>
      </c>
      <c r="D84" s="187">
        <v>9.7560975609756101E-2</v>
      </c>
    </row>
    <row r="85" spans="1:16" x14ac:dyDescent="0.25">
      <c r="A85" t="s">
        <v>6</v>
      </c>
      <c r="B85">
        <v>0.2112</v>
      </c>
      <c r="C85" s="187">
        <v>0.31707317073170732</v>
      </c>
      <c r="D85" s="187">
        <v>4.878048780487805E-2</v>
      </c>
    </row>
    <row r="93" spans="1:16" ht="36.75" x14ac:dyDescent="0.25">
      <c r="B93" s="211" t="s">
        <v>174</v>
      </c>
      <c r="C93" s="211"/>
      <c r="D93" s="211"/>
      <c r="E93" s="201" t="s">
        <v>229</v>
      </c>
      <c r="F93" s="202" t="s">
        <v>230</v>
      </c>
      <c r="G93" s="202" t="s">
        <v>231</v>
      </c>
      <c r="H93" s="202" t="s">
        <v>232</v>
      </c>
      <c r="I93" s="202" t="s">
        <v>233</v>
      </c>
      <c r="J93" s="202" t="s">
        <v>234</v>
      </c>
      <c r="K93" s="202" t="s">
        <v>235</v>
      </c>
      <c r="L93" s="202" t="s">
        <v>236</v>
      </c>
      <c r="M93" s="202" t="s">
        <v>237</v>
      </c>
      <c r="N93" s="202" t="s">
        <v>242</v>
      </c>
      <c r="O93" s="202" t="s">
        <v>243</v>
      </c>
    </row>
    <row r="94" spans="1:16" ht="72" x14ac:dyDescent="0.25">
      <c r="B94" s="203" t="s">
        <v>238</v>
      </c>
      <c r="C94" s="203" t="s">
        <v>229</v>
      </c>
      <c r="D94" s="203" t="s">
        <v>239</v>
      </c>
      <c r="E94" s="204">
        <v>1</v>
      </c>
      <c r="F94" s="205">
        <v>-0.13157894736842105</v>
      </c>
      <c r="G94" s="205">
        <v>0.30779350562554625</v>
      </c>
      <c r="H94" s="205">
        <v>0.7181848464596079</v>
      </c>
      <c r="I94" s="205">
        <v>0.20519567041703082</v>
      </c>
      <c r="J94" s="205">
        <v>-0.10259783520851541</v>
      </c>
      <c r="K94" s="205">
        <v>-0.20519567041703082</v>
      </c>
      <c r="L94" s="205">
        <v>-0.41039134083406165</v>
      </c>
      <c r="M94" s="205">
        <v>0.20519567041703082</v>
      </c>
      <c r="N94" s="212">
        <v>2.6315789473684209E-2</v>
      </c>
      <c r="O94" s="213">
        <v>-0.20519567041703082</v>
      </c>
      <c r="P94" s="200"/>
    </row>
    <row r="95" spans="1:16" x14ac:dyDescent="0.25">
      <c r="B95" s="203"/>
      <c r="C95" s="203"/>
      <c r="D95" s="206" t="s">
        <v>240</v>
      </c>
      <c r="E95" s="207"/>
      <c r="F95" s="208">
        <v>0.4164765784620072</v>
      </c>
      <c r="G95" s="208">
        <v>0.30719200140516389</v>
      </c>
      <c r="H95" s="208">
        <v>8.5897652453994444E-2</v>
      </c>
      <c r="I95" s="208">
        <v>0.37029097079552786</v>
      </c>
      <c r="J95" s="208">
        <v>0.43479896025924369</v>
      </c>
      <c r="K95" s="208">
        <v>0.37029097079552786</v>
      </c>
      <c r="L95" s="208">
        <v>0.24626789085139827</v>
      </c>
      <c r="M95" s="208">
        <v>0.37029097079552786</v>
      </c>
      <c r="N95" s="214">
        <v>0.48324878194746218</v>
      </c>
      <c r="O95" s="215">
        <v>0.37029097079552786</v>
      </c>
      <c r="P95" s="200"/>
    </row>
    <row r="96" spans="1:16" x14ac:dyDescent="0.25">
      <c r="B96" s="203"/>
      <c r="C96" s="203"/>
      <c r="D96" s="206" t="s">
        <v>241</v>
      </c>
      <c r="E96" s="209">
        <v>5</v>
      </c>
      <c r="F96" s="210">
        <v>5</v>
      </c>
      <c r="G96" s="210">
        <v>5</v>
      </c>
      <c r="H96" s="210">
        <v>5</v>
      </c>
      <c r="I96" s="210">
        <v>5</v>
      </c>
      <c r="J96" s="210">
        <v>5</v>
      </c>
      <c r="K96" s="210">
        <v>5</v>
      </c>
      <c r="L96" s="210">
        <v>5</v>
      </c>
      <c r="M96" s="210">
        <v>5</v>
      </c>
      <c r="N96" s="200"/>
    </row>
    <row r="97" spans="6:15" x14ac:dyDescent="0.25">
      <c r="F97">
        <f>+_xlfn.RANK.EQ(F94,$F$94:$O$94)</f>
        <v>7</v>
      </c>
      <c r="G97">
        <f t="shared" ref="G97:O97" si="24">+_xlfn.RANK.EQ(G94,$F$94:$O$94)</f>
        <v>2</v>
      </c>
      <c r="H97">
        <f t="shared" si="24"/>
        <v>1</v>
      </c>
      <c r="I97">
        <f t="shared" si="24"/>
        <v>3</v>
      </c>
      <c r="J97">
        <f t="shared" si="24"/>
        <v>6</v>
      </c>
      <c r="K97">
        <f t="shared" si="24"/>
        <v>8</v>
      </c>
      <c r="L97">
        <f t="shared" si="24"/>
        <v>10</v>
      </c>
      <c r="M97">
        <f t="shared" si="24"/>
        <v>3</v>
      </c>
      <c r="N97">
        <f t="shared" si="24"/>
        <v>5</v>
      </c>
      <c r="O97">
        <f t="shared" si="24"/>
        <v>8</v>
      </c>
    </row>
  </sheetData>
  <mergeCells count="1">
    <mergeCell ref="A65:A72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AR69"/>
  <sheetViews>
    <sheetView topLeftCell="A59" zoomScale="85" zoomScaleNormal="85" workbookViewId="0">
      <selection activeCell="B33" sqref="B33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92" customWidth="1"/>
    <col min="32" max="44" width="10.5703125" bestFit="1" customWidth="1"/>
  </cols>
  <sheetData>
    <row r="1" spans="1:44" ht="15.75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</row>
    <row r="2" spans="1:44" ht="18" customHeight="1" thickBot="1" x14ac:dyDescent="0.3">
      <c r="B2" s="131" t="s">
        <v>2</v>
      </c>
      <c r="C2" s="132" t="s">
        <v>3</v>
      </c>
      <c r="D2" s="133" t="s">
        <v>4</v>
      </c>
      <c r="E2" s="134" t="s">
        <v>5</v>
      </c>
      <c r="F2" s="136" t="s">
        <v>6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44" ht="31.5" customHeight="1" x14ac:dyDescent="0.25">
      <c r="A3" s="108" t="s">
        <v>97</v>
      </c>
    </row>
    <row r="4" spans="1:44" ht="18" customHeight="1" x14ac:dyDescent="0.25">
      <c r="A4" s="109" t="s">
        <v>25</v>
      </c>
      <c r="B4" s="110">
        <f>+AHP_nivel_0!D179</f>
        <v>0.63210651391127737</v>
      </c>
      <c r="C4" s="110">
        <f>+AHP_nivel_0!E179</f>
        <v>0.53333987111264036</v>
      </c>
      <c r="D4" s="110">
        <f>+AHP_nivel_0!F179</f>
        <v>2.4296594128464726</v>
      </c>
      <c r="E4" s="110">
        <f>+AHP_nivel_0!G179</f>
        <v>0.63210651391127737</v>
      </c>
      <c r="F4" s="110">
        <f>+AHP_nivel_0!H179</f>
        <v>1.185199713583645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U4" s="111"/>
    </row>
    <row r="5" spans="1:44" ht="18" customHeight="1" x14ac:dyDescent="0.25">
      <c r="A5" s="112" t="s">
        <v>44</v>
      </c>
      <c r="B5" s="110">
        <f>+AHP_nivel_0!D180</f>
        <v>0.96650214738666307</v>
      </c>
      <c r="C5" s="110">
        <f>+AHP_nivel_0!E180</f>
        <v>0.19330042947733261</v>
      </c>
      <c r="D5" s="110">
        <f>+AHP_nivel_0!F180</f>
        <v>1.2081276842333291</v>
      </c>
      <c r="E5" s="110">
        <f>+AHP_nivel_0!G180</f>
        <v>0.62822639580133111</v>
      </c>
      <c r="F5" s="110">
        <f>+AHP_nivel_0!H180</f>
        <v>2.4162553684666577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ht="18" customHeight="1" x14ac:dyDescent="0.25">
      <c r="A6" s="113" t="s">
        <v>49</v>
      </c>
      <c r="B6" s="110">
        <f>+AHP_nivel_0!D181</f>
        <v>0.92407034579407787</v>
      </c>
      <c r="C6" s="110">
        <f>+AHP_nivel_0!E181</f>
        <v>0.33002512349788493</v>
      </c>
      <c r="D6" s="110">
        <f>+AHP_nivel_0!F181</f>
        <v>0.85806532109450095</v>
      </c>
      <c r="E6" s="110">
        <f>+AHP_nivel_0!G181</f>
        <v>1.5841205927898476</v>
      </c>
      <c r="F6" s="110">
        <f>+AHP_nivel_0!H181</f>
        <v>1.7161306421890019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spans="1:44" ht="18" customHeight="1" x14ac:dyDescent="0.25">
      <c r="A7" s="114" t="s">
        <v>53</v>
      </c>
      <c r="B7" s="110">
        <f>+AHP_nivel_0!D182</f>
        <v>0.66105795729652672</v>
      </c>
      <c r="C7" s="110">
        <f>+AHP_nivel_0!E182</f>
        <v>0.33052897864826342</v>
      </c>
      <c r="D7" s="110">
        <f>+AHP_nivel_0!F182</f>
        <v>1.3221159145930537</v>
      </c>
      <c r="E7" s="110">
        <f>+AHP_nivel_0!G182</f>
        <v>1.6939610155723499</v>
      </c>
      <c r="F7" s="110">
        <f>+AHP_nivel_0!H182</f>
        <v>1.4047481592551194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</row>
    <row r="8" spans="1:44" ht="18" customHeight="1" x14ac:dyDescent="0.25">
      <c r="A8" s="114" t="s">
        <v>58</v>
      </c>
      <c r="B8" s="110">
        <f>+AHP_nivel_0!D183</f>
        <v>0.15464034358186612</v>
      </c>
      <c r="C8" s="110">
        <f>+AHP_nivel_0!E183</f>
        <v>1.0824824050730628</v>
      </c>
      <c r="D8" s="110">
        <f>+AHP_nivel_0!F183</f>
        <v>1.4433098734307503</v>
      </c>
      <c r="E8" s="110">
        <f>+AHP_nivel_0!G183</f>
        <v>1.1340291862670182</v>
      </c>
      <c r="F8" s="110">
        <f>+AHP_nivel_0!H183</f>
        <v>1.5979502170126165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</row>
    <row r="9" spans="1:44" ht="18" customHeight="1" x14ac:dyDescent="0.25">
      <c r="A9" s="115" t="s">
        <v>63</v>
      </c>
      <c r="B9" s="110">
        <f>+AHP_nivel_0!D184</f>
        <v>0.7414263048445634</v>
      </c>
      <c r="C9" s="110">
        <f>+AHP_nivel_0!E184</f>
        <v>1.779423131626952</v>
      </c>
      <c r="D9" s="110">
        <f>+AHP_nivel_0!F184</f>
        <v>1.2604247182357575</v>
      </c>
      <c r="E9" s="110">
        <f>+AHP_nivel_0!G184</f>
        <v>0.222427891453369</v>
      </c>
      <c r="F9" s="110">
        <f>+AHP_nivel_0!H184</f>
        <v>1.4087099792046704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</row>
    <row r="10" spans="1:44" ht="18" customHeight="1" x14ac:dyDescent="0.25">
      <c r="A10" s="114" t="s">
        <v>66</v>
      </c>
      <c r="B10" s="110">
        <f>+AHP_nivel_0!D185</f>
        <v>1.22423605335644</v>
      </c>
      <c r="C10" s="110">
        <f>+AHP_nivel_0!E185</f>
        <v>1.2886695298488839</v>
      </c>
      <c r="D10" s="110">
        <f>+AHP_nivel_0!F185</f>
        <v>1.4175364828337726</v>
      </c>
      <c r="E10" s="110">
        <f>+AHP_nivel_0!G185</f>
        <v>0.1288669529848884</v>
      </c>
      <c r="F10" s="110">
        <f>+AHP_nivel_0!H185</f>
        <v>1.3531030063413281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</row>
    <row r="11" spans="1:44" ht="18" customHeight="1" x14ac:dyDescent="0.25">
      <c r="A11" s="114" t="s">
        <v>69</v>
      </c>
      <c r="B11" s="110">
        <f>+AHP_nivel_0!D186</f>
        <v>3.3765506213288194</v>
      </c>
      <c r="C11" s="110">
        <f>+AHP_nivel_0!E186</f>
        <v>0.39724124956809642</v>
      </c>
      <c r="D11" s="110">
        <f>+AHP_nivel_0!F186</f>
        <v>0.29793093717607239</v>
      </c>
      <c r="E11" s="110">
        <f>+AHP_nivel_0!G186</f>
        <v>1.142068592508277</v>
      </c>
      <c r="F11" s="110">
        <f>+AHP_nivel_0!H186</f>
        <v>0.19862062478404821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AA11" s="92">
        <f>ROUND($AC$26*AA19+$AC$25,0)</f>
        <v>5</v>
      </c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</row>
    <row r="12" spans="1:44" ht="18" customHeight="1" x14ac:dyDescent="0.25">
      <c r="A12" s="114" t="s">
        <v>74</v>
      </c>
      <c r="B12" s="110">
        <f>+AHP_nivel_0!D187</f>
        <v>4.095879370546724</v>
      </c>
      <c r="C12" s="110">
        <f>+AHP_nivel_0!E187</f>
        <v>7.3140703045477207E-2</v>
      </c>
      <c r="D12" s="110">
        <f>+AHP_nivel_0!F187</f>
        <v>0.73140703045477207</v>
      </c>
      <c r="E12" s="110">
        <f>+AHP_nivel_0!G187</f>
        <v>0.43884421827286324</v>
      </c>
      <c r="F12" s="110">
        <f>+AHP_nivel_0!H187</f>
        <v>7.3140703045477207E-2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44" ht="18" customHeight="1" x14ac:dyDescent="0.25">
      <c r="A13" s="116" t="s">
        <v>79</v>
      </c>
      <c r="B13" s="110">
        <f>+AHP_nivel_0!D188</f>
        <v>2.3761808891847718</v>
      </c>
      <c r="C13" s="110">
        <f>+AHP_nivel_0!E188</f>
        <v>0.66005024699576997</v>
      </c>
      <c r="D13" s="110">
        <f>+AHP_nivel_0!F188</f>
        <v>1.5841205927898476</v>
      </c>
      <c r="E13" s="110">
        <f>+AHP_nivel_0!G188</f>
        <v>0.52804019759661591</v>
      </c>
      <c r="F13" s="110">
        <f>+AHP_nivel_0!H188</f>
        <v>0.26402009879830796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5" spans="1:44" x14ac:dyDescent="0.25">
      <c r="AA15" s="92">
        <v>0.25</v>
      </c>
      <c r="AB15" s="92">
        <v>0.25</v>
      </c>
      <c r="AC15" s="92">
        <v>0.25</v>
      </c>
      <c r="AD15" s="92">
        <v>0.25</v>
      </c>
      <c r="AE15" s="92">
        <v>0.25</v>
      </c>
      <c r="AF15" s="92">
        <v>0.25</v>
      </c>
      <c r="AG15" s="92"/>
      <c r="AH15" s="92"/>
      <c r="AI15" s="92"/>
      <c r="AJ15" s="92"/>
      <c r="AK15" s="92"/>
      <c r="AL15" s="92"/>
    </row>
    <row r="17" spans="1:44" ht="15.75" thickBot="1" x14ac:dyDescent="0.3">
      <c r="AA17" s="87">
        <v>0.2112</v>
      </c>
      <c r="AB17" s="87"/>
      <c r="AC17" s="87"/>
      <c r="AD17" s="87"/>
      <c r="AE17" s="87">
        <v>0.19639999999999999</v>
      </c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</row>
    <row r="18" spans="1:44" ht="64.5" thickBot="1" x14ac:dyDescent="0.3">
      <c r="A18" s="162" t="s">
        <v>182</v>
      </c>
      <c r="B18" s="131" t="s">
        <v>2</v>
      </c>
      <c r="C18" s="132" t="s">
        <v>3</v>
      </c>
      <c r="D18" s="133" t="s">
        <v>4</v>
      </c>
      <c r="E18" s="134" t="s">
        <v>5</v>
      </c>
      <c r="F18" s="136" t="s">
        <v>6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AA18" s="131" t="s">
        <v>2</v>
      </c>
      <c r="AB18" s="132" t="s">
        <v>3</v>
      </c>
      <c r="AC18" s="133" t="s">
        <v>4</v>
      </c>
      <c r="AD18" s="134" t="s">
        <v>5</v>
      </c>
      <c r="AE18" s="135" t="s">
        <v>6</v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</row>
    <row r="19" spans="1:44" x14ac:dyDescent="0.25">
      <c r="A19" s="118" t="s">
        <v>25</v>
      </c>
      <c r="B19" s="110">
        <f>IFERROR(+$U$26*B4+$U$24,"")</f>
        <v>1.5558062375580624</v>
      </c>
      <c r="C19" s="110">
        <f t="shared" ref="B19:F28" si="0">IFERROR(+$U$26*C4+$U$24,"")</f>
        <v>1.4575978765759787</v>
      </c>
      <c r="D19" s="110">
        <f t="shared" si="0"/>
        <v>3.3431984074319838</v>
      </c>
      <c r="E19" s="110">
        <f t="shared" si="0"/>
        <v>1.5558062375580624</v>
      </c>
      <c r="F19" s="137">
        <f t="shared" si="0"/>
        <v>2.1057730590577304</v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11"/>
      <c r="U19" t="s">
        <v>99</v>
      </c>
      <c r="Z19" s="119" t="s">
        <v>100</v>
      </c>
      <c r="AA19" s="88">
        <v>0.2112</v>
      </c>
      <c r="AB19" s="89">
        <v>0.19639999999999999</v>
      </c>
      <c r="AC19" s="90">
        <v>0.17449999999999999</v>
      </c>
      <c r="AD19" s="91">
        <v>0.20669999999999999</v>
      </c>
      <c r="AE19" s="91">
        <v>0.2112</v>
      </c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118" t="s">
        <v>44</v>
      </c>
      <c r="B20" s="110">
        <f>IFERROR(+$U$26*B5+$U$24,"")</f>
        <v>1.8883116883116884</v>
      </c>
      <c r="C20" s="110">
        <f t="shared" si="0"/>
        <v>1.1194805194805195</v>
      </c>
      <c r="D20" s="110">
        <f t="shared" si="0"/>
        <v>2.128571428571429</v>
      </c>
      <c r="E20" s="110">
        <f t="shared" si="0"/>
        <v>1.551948051948052</v>
      </c>
      <c r="F20" s="137">
        <f t="shared" si="0"/>
        <v>3.3298701298701299</v>
      </c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11"/>
      <c r="U20" t="s">
        <v>101</v>
      </c>
      <c r="AA20" s="120">
        <f>ROUND($AC$26*AA19+$AC$25,0)</f>
        <v>5</v>
      </c>
      <c r="AB20" s="120">
        <f t="shared" ref="AB20:AE20" si="1">ROUND($AC$26*AB19+$AC$25,0)</f>
        <v>3</v>
      </c>
      <c r="AC20" s="120">
        <f t="shared" si="1"/>
        <v>1</v>
      </c>
      <c r="AD20" s="120">
        <f t="shared" si="1"/>
        <v>5</v>
      </c>
      <c r="AE20" s="120">
        <f t="shared" si="1"/>
        <v>5</v>
      </c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</row>
    <row r="21" spans="1:44" x14ac:dyDescent="0.25">
      <c r="A21" s="118" t="s">
        <v>49</v>
      </c>
      <c r="B21" s="110">
        <f t="shared" ref="B21:B25" si="2">IFERROR(+$U$26*B6+$U$24,"")</f>
        <v>1.846119733924612</v>
      </c>
      <c r="C21" s="110">
        <f t="shared" si="0"/>
        <v>1.2554323725055432</v>
      </c>
      <c r="D21" s="110">
        <f t="shared" si="0"/>
        <v>1.780487804878049</v>
      </c>
      <c r="E21" s="110">
        <f t="shared" si="0"/>
        <v>2.5024390243902439</v>
      </c>
      <c r="F21" s="137">
        <f t="shared" si="0"/>
        <v>2.6337028824833704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11"/>
      <c r="Z21" t="s">
        <v>172</v>
      </c>
      <c r="AA21" s="92">
        <f>ROUND($AC$26*AA19+$AC$25,0)</f>
        <v>5</v>
      </c>
      <c r="AB21" s="92">
        <f t="shared" ref="AB21:AE21" si="3">$AC$26*AB19+$AC$25</f>
        <v>3.3869209809264262</v>
      </c>
      <c r="AC21" s="92">
        <f t="shared" si="3"/>
        <v>0.99999999999999645</v>
      </c>
      <c r="AD21" s="92">
        <f t="shared" si="3"/>
        <v>4.5095367847411403</v>
      </c>
      <c r="AE21" s="92">
        <f t="shared" si="3"/>
        <v>4.9999999999999964</v>
      </c>
    </row>
    <row r="22" spans="1:44" x14ac:dyDescent="0.25">
      <c r="A22" s="118" t="s">
        <v>53</v>
      </c>
      <c r="B22" s="110">
        <f t="shared" si="2"/>
        <v>1.584594031922276</v>
      </c>
      <c r="C22" s="110">
        <f t="shared" si="0"/>
        <v>1.2559333795975018</v>
      </c>
      <c r="D22" s="110">
        <f t="shared" si="0"/>
        <v>2.2419153365718252</v>
      </c>
      <c r="E22" s="110">
        <f t="shared" si="0"/>
        <v>2.6116585704371964</v>
      </c>
      <c r="F22" s="137">
        <f t="shared" si="0"/>
        <v>2.3240804996530189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11"/>
    </row>
    <row r="23" spans="1:44" x14ac:dyDescent="0.25">
      <c r="A23" s="118" t="s">
        <v>58</v>
      </c>
      <c r="B23" s="110">
        <f t="shared" si="2"/>
        <v>1.0810389610389612</v>
      </c>
      <c r="C23" s="110">
        <f t="shared" si="0"/>
        <v>2.0036363636363639</v>
      </c>
      <c r="D23" s="110">
        <f t="shared" si="0"/>
        <v>2.3624242424242428</v>
      </c>
      <c r="E23" s="110">
        <f t="shared" si="0"/>
        <v>2.0548917748917752</v>
      </c>
      <c r="F23" s="137">
        <f t="shared" si="0"/>
        <v>2.5161904761904763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1"/>
      <c r="W23" t="s">
        <v>102</v>
      </c>
      <c r="X23" s="111">
        <f>+MIN(B4:F13)</f>
        <v>7.3140703045477207E-2</v>
      </c>
      <c r="AB23" s="92" t="s">
        <v>102</v>
      </c>
      <c r="AC23" s="121">
        <f>+ROUND(MIN(AA19:AE19),5)</f>
        <v>0.17449999999999999</v>
      </c>
      <c r="AD23" s="121"/>
      <c r="AE23" s="121"/>
      <c r="AF23" s="121"/>
      <c r="AG23" s="121"/>
    </row>
    <row r="24" spans="1:44" ht="18" customHeight="1" x14ac:dyDescent="0.25">
      <c r="A24" s="118" t="s">
        <v>63</v>
      </c>
      <c r="B24" s="110">
        <f t="shared" si="2"/>
        <v>1.664508094645081</v>
      </c>
      <c r="C24" s="110">
        <f t="shared" si="0"/>
        <v>2.6966376089663759</v>
      </c>
      <c r="D24" s="110">
        <f t="shared" si="0"/>
        <v>2.1805728518057284</v>
      </c>
      <c r="E24" s="110">
        <f t="shared" si="0"/>
        <v>1.1484433374844334</v>
      </c>
      <c r="F24" s="137">
        <f t="shared" si="0"/>
        <v>2.328019925280199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11"/>
      <c r="U24" s="122">
        <f>(5*X23-X24)/(X23-X24)</f>
        <v>0.92727272727272736</v>
      </c>
      <c r="W24" t="s">
        <v>103</v>
      </c>
      <c r="X24" s="111">
        <f>+MAX(B4:F13)</f>
        <v>4.095879370546724</v>
      </c>
      <c r="AB24" s="92" t="s">
        <v>103</v>
      </c>
      <c r="AC24" s="121">
        <f>+ROUND(MAX(AA19:AE19),5)</f>
        <v>0.2112</v>
      </c>
      <c r="AD24" s="121"/>
      <c r="AE24" s="121"/>
      <c r="AF24" s="121"/>
      <c r="AG24" s="121"/>
    </row>
    <row r="25" spans="1:44" x14ac:dyDescent="0.25">
      <c r="A25" s="118" t="s">
        <v>66</v>
      </c>
      <c r="B25" s="110">
        <f t="shared" si="2"/>
        <v>2.1445887445887446</v>
      </c>
      <c r="C25" s="110">
        <f t="shared" si="0"/>
        <v>2.2086580086580083</v>
      </c>
      <c r="D25" s="110">
        <f t="shared" si="0"/>
        <v>2.3367965367965371</v>
      </c>
      <c r="E25" s="110">
        <f t="shared" si="0"/>
        <v>1.0554112554112556</v>
      </c>
      <c r="F25" s="137">
        <f t="shared" si="0"/>
        <v>2.2727272727272725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11"/>
      <c r="AB25" t="s">
        <v>104</v>
      </c>
      <c r="AC25" s="123">
        <f>(5*AC23-AC24)/(AC23-AC24)</f>
        <v>-18.019073569482284</v>
      </c>
      <c r="AD25"/>
      <c r="AE25"/>
    </row>
    <row r="26" spans="1:44" x14ac:dyDescent="0.25">
      <c r="A26" s="118" t="s">
        <v>69</v>
      </c>
      <c r="B26" s="110">
        <f t="shared" si="0"/>
        <v>4.2847372810675566</v>
      </c>
      <c r="C26" s="110">
        <f t="shared" si="0"/>
        <v>1.3222685571309425</v>
      </c>
      <c r="D26" s="110">
        <f t="shared" si="0"/>
        <v>1.2235195996663888</v>
      </c>
      <c r="E26" s="110">
        <f t="shared" si="0"/>
        <v>2.0628857381150958</v>
      </c>
      <c r="F26" s="137">
        <f t="shared" si="0"/>
        <v>1.1247706422018349</v>
      </c>
      <c r="G26" s="125"/>
      <c r="H26" s="138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11"/>
      <c r="U26" s="122">
        <f>+-4/(X23-X24)</f>
        <v>0.99434746589805922</v>
      </c>
      <c r="AB26" t="s">
        <v>105</v>
      </c>
      <c r="AC26" s="123">
        <f>+-4/(AC23-AC24)</f>
        <v>108.99182561307899</v>
      </c>
      <c r="AD26"/>
      <c r="AE26"/>
      <c r="AJ26" t="s">
        <v>106</v>
      </c>
    </row>
    <row r="27" spans="1:44" x14ac:dyDescent="0.25">
      <c r="A27" s="118" t="s">
        <v>74</v>
      </c>
      <c r="B27" s="110">
        <f t="shared" si="0"/>
        <v>5.0000000000000009</v>
      </c>
      <c r="C27" s="110">
        <f t="shared" si="0"/>
        <v>1</v>
      </c>
      <c r="D27" s="110">
        <f t="shared" si="0"/>
        <v>1.6545454545454545</v>
      </c>
      <c r="E27" s="110">
        <f t="shared" si="0"/>
        <v>1.3636363636363638</v>
      </c>
      <c r="F27" s="137">
        <f t="shared" si="0"/>
        <v>1</v>
      </c>
      <c r="G27" s="125"/>
      <c r="H27" s="138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11"/>
    </row>
    <row r="28" spans="1:44" x14ac:dyDescent="0.25">
      <c r="A28" s="118" t="s">
        <v>79</v>
      </c>
      <c r="B28" s="110">
        <f t="shared" si="0"/>
        <v>3.2900221729490022</v>
      </c>
      <c r="C28" s="110">
        <f t="shared" si="0"/>
        <v>1.5835920177383593</v>
      </c>
      <c r="D28" s="110">
        <f t="shared" si="0"/>
        <v>2.5024390243902439</v>
      </c>
      <c r="E28" s="110">
        <f t="shared" si="0"/>
        <v>1.4523281596452329</v>
      </c>
      <c r="F28" s="137">
        <f t="shared" si="0"/>
        <v>1.1898004434589802</v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11"/>
    </row>
    <row r="29" spans="1:44" x14ac:dyDescent="0.25">
      <c r="A29" s="124"/>
      <c r="B29" s="125"/>
      <c r="C29" s="125"/>
      <c r="D29" s="125"/>
      <c r="E29" s="125"/>
      <c r="F29" s="125"/>
      <c r="T29" s="111"/>
    </row>
    <row r="30" spans="1:44" x14ac:dyDescent="0.25">
      <c r="A30" s="108"/>
      <c r="B30" s="92"/>
      <c r="C30" s="92"/>
      <c r="D30" s="92"/>
      <c r="E30" s="92"/>
      <c r="F30" s="92"/>
      <c r="U30" s="223" t="s">
        <v>107</v>
      </c>
    </row>
    <row r="31" spans="1:44" x14ac:dyDescent="0.25">
      <c r="A31" s="124"/>
      <c r="B31" s="125"/>
      <c r="C31" s="125"/>
      <c r="D31" s="125"/>
      <c r="E31" s="125"/>
      <c r="F31" s="125"/>
      <c r="U31" s="223"/>
    </row>
    <row r="32" spans="1:44" ht="33.75" customHeight="1" x14ac:dyDescent="0.25">
      <c r="A32" s="119" t="s">
        <v>189</v>
      </c>
      <c r="B32" s="114" t="s">
        <v>108</v>
      </c>
      <c r="C32" s="114" t="s">
        <v>109</v>
      </c>
      <c r="D32" s="114" t="s">
        <v>110</v>
      </c>
      <c r="E32" s="114" t="s">
        <v>111</v>
      </c>
      <c r="F32" s="114" t="s">
        <v>112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U32" s="223"/>
      <c r="W32" t="s">
        <v>113</v>
      </c>
      <c r="AA32" s="224" t="s">
        <v>173</v>
      </c>
      <c r="AB32" s="224"/>
      <c r="AC32" s="224"/>
      <c r="AD32" s="224"/>
    </row>
    <row r="33" spans="1:44" s="92" customFormat="1" x14ac:dyDescent="0.25">
      <c r="A33"/>
      <c r="B33">
        <f>+IFERROR(MIN(B19:B28)/B19,0)</f>
        <v>0.69484164219300293</v>
      </c>
      <c r="C33">
        <f t="shared" ref="C33:E33" si="4">+IFERROR(MIN(C19:C28)/C19,0)</f>
        <v>0.68606027497040878</v>
      </c>
      <c r="D33">
        <f t="shared" si="4"/>
        <v>0.36597277533588346</v>
      </c>
      <c r="E33">
        <f t="shared" si="4"/>
        <v>0.67836934313092301</v>
      </c>
      <c r="F33">
        <f>+IFERROR(MIN(F19:F28)/F19,0)</f>
        <v>0.47488498140795365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126" t="s">
        <v>25</v>
      </c>
      <c r="V33" s="111">
        <f>+SUM(B34:S34)</f>
        <v>11.664633433906506</v>
      </c>
      <c r="W33" s="111">
        <f>+V33/MAX($V$33:$V$42)*100</f>
        <v>85.203200130579575</v>
      </c>
      <c r="X33">
        <f>+RANK(W33,$W$33:$W$42)</f>
        <v>3</v>
      </c>
      <c r="Y33" s="127"/>
      <c r="Z33"/>
      <c r="AA33" s="128">
        <v>92.772569717166846</v>
      </c>
      <c r="AB33" s="92">
        <v>2</v>
      </c>
      <c r="AE33" s="92">
        <f>+B34*C34*D34*E34*F34</f>
        <v>21.075738737646958</v>
      </c>
      <c r="AF33" s="111">
        <f>+AE33/MAX($AE$33:$AE$42)*100</f>
        <v>45.417666930732139</v>
      </c>
      <c r="AG33">
        <f>+RANK(AF33,$AF$33:$AF$42)</f>
        <v>5</v>
      </c>
      <c r="AH33"/>
      <c r="AI33"/>
      <c r="AJ33"/>
      <c r="AK33"/>
      <c r="AL33"/>
      <c r="AM33"/>
      <c r="AN33"/>
      <c r="AO33"/>
      <c r="AP33"/>
      <c r="AQ33"/>
      <c r="AR33"/>
    </row>
    <row r="34" spans="1:44" s="92" customFormat="1" x14ac:dyDescent="0.25">
      <c r="A34" t="s">
        <v>114</v>
      </c>
      <c r="B34">
        <f>+PRODUCT(B33,AA20)</f>
        <v>3.4742082109650148</v>
      </c>
      <c r="C34">
        <f t="shared" ref="C34:E34" si="5">+PRODUCT(C33,AB20)</f>
        <v>2.0581808249112266</v>
      </c>
      <c r="D34">
        <f t="shared" si="5"/>
        <v>0.36597277533588346</v>
      </c>
      <c r="E34">
        <f t="shared" si="5"/>
        <v>3.3918467156546148</v>
      </c>
      <c r="F34">
        <f>+PRODUCT(F33,AE20)</f>
        <v>2.3744249070397681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126" t="s">
        <v>44</v>
      </c>
      <c r="V34" s="111">
        <f>+SUM(B37:S37)</f>
        <v>11.018909671353093</v>
      </c>
      <c r="W34" s="111">
        <f t="shared" ref="W34:W42" si="6">+V34/MAX($V$33:$V$42)*100</f>
        <v>80.486572618738109</v>
      </c>
      <c r="X34">
        <f t="shared" ref="X34:X42" si="7">+RANK(W34,$W$33:$W$42)</f>
        <v>8</v>
      </c>
      <c r="Y34" s="127"/>
      <c r="Z34"/>
      <c r="AA34" s="128">
        <v>70.396477587863828</v>
      </c>
      <c r="AB34" s="92">
        <v>7</v>
      </c>
      <c r="AE34" s="92">
        <f>+B37*C37*D37*E37*F37</f>
        <v>22.512428165257965</v>
      </c>
      <c r="AF34" s="111">
        <f t="shared" ref="AF34:AF42" si="8">+AE34/MAX($AE$33:$AE$42)*100</f>
        <v>48.513695151540595</v>
      </c>
      <c r="AG34">
        <f t="shared" ref="AG34:AG42" si="9">+RANK(AF34,$AF$33:$AF$42)</f>
        <v>4</v>
      </c>
      <c r="AH34"/>
      <c r="AI34"/>
      <c r="AJ34"/>
      <c r="AK34"/>
      <c r="AL34"/>
      <c r="AM34"/>
      <c r="AN34"/>
      <c r="AO34"/>
      <c r="AP34"/>
      <c r="AQ34"/>
      <c r="AR34"/>
    </row>
    <row r="35" spans="1:44" s="92" customFormat="1" x14ac:dyDescent="0.25">
      <c r="A35"/>
      <c r="B35" s="114" t="s">
        <v>115</v>
      </c>
      <c r="C35" s="114" t="s">
        <v>116</v>
      </c>
      <c r="D35" s="114" t="s">
        <v>117</v>
      </c>
      <c r="E35" s="114" t="s">
        <v>118</v>
      </c>
      <c r="F35" s="114" t="s">
        <v>119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>
        <v>3</v>
      </c>
      <c r="U35" s="126" t="s">
        <v>49</v>
      </c>
      <c r="V35" s="111">
        <f>+SUM(B40:S40)</f>
        <v>10.011898104772964</v>
      </c>
      <c r="W35" s="111">
        <f t="shared" si="6"/>
        <v>73.130952870608539</v>
      </c>
      <c r="X35" s="153">
        <f t="shared" si="7"/>
        <v>10</v>
      </c>
      <c r="Y35" s="127"/>
      <c r="Z35"/>
      <c r="AA35" s="128">
        <v>78.586558556099021</v>
      </c>
      <c r="AB35" s="154">
        <v>5</v>
      </c>
      <c r="AE35" s="92">
        <f>+B40*C40*D40*E40*F40</f>
        <v>19.247875101323515</v>
      </c>
      <c r="AF35" s="111">
        <f t="shared" si="8"/>
        <v>41.478668499277696</v>
      </c>
      <c r="AG35">
        <f t="shared" si="9"/>
        <v>10</v>
      </c>
      <c r="AH35"/>
      <c r="AI35"/>
      <c r="AJ35"/>
      <c r="AK35"/>
      <c r="AL35"/>
      <c r="AM35"/>
      <c r="AN35"/>
      <c r="AO35"/>
      <c r="AP35"/>
      <c r="AQ35"/>
      <c r="AR35"/>
    </row>
    <row r="36" spans="1:44" s="92" customFormat="1" x14ac:dyDescent="0.25">
      <c r="A36"/>
      <c r="B36">
        <f t="shared" ref="B36:F36" si="10">+IFERROR(MIN(B19:B28)/B20,0)</f>
        <v>0.57248968363136188</v>
      </c>
      <c r="C36">
        <f t="shared" si="10"/>
        <v>0.89327146171693728</v>
      </c>
      <c r="D36">
        <f t="shared" si="10"/>
        <v>0.5748078656150819</v>
      </c>
      <c r="E36">
        <f t="shared" si="10"/>
        <v>0.68005578800557887</v>
      </c>
      <c r="F36">
        <f t="shared" si="10"/>
        <v>0.30031201248049921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126" t="s">
        <v>53</v>
      </c>
      <c r="V36" s="111">
        <f>+SUM(B43:S43)</f>
        <v>10.517465525828243</v>
      </c>
      <c r="W36" s="111">
        <f t="shared" si="6"/>
        <v>76.823821780698893</v>
      </c>
      <c r="X36">
        <f t="shared" si="7"/>
        <v>9</v>
      </c>
      <c r="Y36" s="127"/>
      <c r="Z36"/>
      <c r="AA36" s="128">
        <v>67.403529353740197</v>
      </c>
      <c r="AB36" s="92">
        <v>8</v>
      </c>
      <c r="AE36" s="92">
        <f>+B43*C43*D43*E43*F43</f>
        <v>19.330089856036874</v>
      </c>
      <c r="AF36" s="111">
        <f t="shared" si="8"/>
        <v>41.655839149988658</v>
      </c>
      <c r="AG36">
        <f t="shared" si="9"/>
        <v>9</v>
      </c>
      <c r="AH36"/>
      <c r="AI36"/>
      <c r="AJ36"/>
      <c r="AK36"/>
      <c r="AL36"/>
      <c r="AM36"/>
      <c r="AN36"/>
      <c r="AO36"/>
      <c r="AP36"/>
      <c r="AQ36"/>
      <c r="AR36"/>
    </row>
    <row r="37" spans="1:44" s="92" customFormat="1" x14ac:dyDescent="0.25">
      <c r="A37" t="s">
        <v>114</v>
      </c>
      <c r="B37">
        <f>+PRODUCT(B36,AA20)</f>
        <v>2.8624484181568093</v>
      </c>
      <c r="C37">
        <f t="shared" ref="C37:F37" si="11">+PRODUCT(C36,AB20)</f>
        <v>2.6798143851508121</v>
      </c>
      <c r="D37">
        <f t="shared" si="11"/>
        <v>0.5748078656150819</v>
      </c>
      <c r="E37">
        <f t="shared" si="11"/>
        <v>3.4002789400278943</v>
      </c>
      <c r="F37">
        <f t="shared" si="11"/>
        <v>1.5015600624024961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126" t="s">
        <v>58</v>
      </c>
      <c r="V37" s="111">
        <f>+SUM(B46:S46)</f>
        <v>11.570362981407408</v>
      </c>
      <c r="W37" s="111">
        <f t="shared" si="6"/>
        <v>84.51461061971392</v>
      </c>
      <c r="X37">
        <f t="shared" si="7"/>
        <v>6</v>
      </c>
      <c r="Y37" s="127"/>
      <c r="Z37"/>
      <c r="AA37" s="128">
        <v>81.375193655131156</v>
      </c>
      <c r="AB37" s="92">
        <v>4</v>
      </c>
      <c r="AE37" s="92">
        <f>+B46*C46*D46*E46*F46</f>
        <v>19.785847447464352</v>
      </c>
      <c r="AF37" s="111">
        <f t="shared" si="8"/>
        <v>42.637984864844725</v>
      </c>
      <c r="AG37">
        <f t="shared" si="9"/>
        <v>7</v>
      </c>
      <c r="AH37"/>
      <c r="AI37"/>
      <c r="AJ37"/>
      <c r="AK37"/>
      <c r="AL37"/>
      <c r="AM37"/>
      <c r="AN37"/>
      <c r="AO37"/>
      <c r="AP37"/>
      <c r="AQ37"/>
      <c r="AR37"/>
    </row>
    <row r="38" spans="1:44" s="92" customFormat="1" x14ac:dyDescent="0.25">
      <c r="A38"/>
      <c r="B38" s="114" t="s">
        <v>120</v>
      </c>
      <c r="C38" s="114" t="s">
        <v>121</v>
      </c>
      <c r="D38" s="114" t="s">
        <v>122</v>
      </c>
      <c r="E38" s="114" t="s">
        <v>123</v>
      </c>
      <c r="F38" s="114" t="s">
        <v>124</v>
      </c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>
        <v>6</v>
      </c>
      <c r="U38" s="126" t="s">
        <v>63</v>
      </c>
      <c r="V38" s="111">
        <f>+SUM(B49:S49)</f>
        <v>11.663631609601651</v>
      </c>
      <c r="W38" s="111">
        <f t="shared" si="6"/>
        <v>85.195882400688987</v>
      </c>
      <c r="X38">
        <f t="shared" si="7"/>
        <v>4</v>
      </c>
      <c r="Y38" s="127"/>
      <c r="Z38"/>
      <c r="AA38" s="128">
        <v>60.687508049067965</v>
      </c>
      <c r="AB38" s="92">
        <v>9</v>
      </c>
      <c r="AE38" s="92">
        <f>+B49*C49*D49*E49*F49</f>
        <v>20.004601343270146</v>
      </c>
      <c r="AF38" s="111">
        <f t="shared" si="8"/>
        <v>43.109393801118948</v>
      </c>
      <c r="AG38">
        <f t="shared" si="9"/>
        <v>6</v>
      </c>
      <c r="AH38"/>
      <c r="AI38"/>
      <c r="AJ38"/>
      <c r="AK38"/>
      <c r="AL38"/>
      <c r="AM38"/>
      <c r="AN38"/>
      <c r="AO38"/>
      <c r="AP38"/>
      <c r="AQ38"/>
      <c r="AR38"/>
    </row>
    <row r="39" spans="1:44" s="92" customFormat="1" x14ac:dyDescent="0.25">
      <c r="A39"/>
      <c r="B39">
        <f t="shared" ref="B39:E39" si="12">+IFERROR(MIN(B19:B28)/B21,0)</f>
        <v>0.58557359047390289</v>
      </c>
      <c r="C39">
        <f t="shared" si="12"/>
        <v>0.79653832567997174</v>
      </c>
      <c r="D39">
        <f t="shared" si="12"/>
        <v>0.68718224090851965</v>
      </c>
      <c r="E39">
        <f t="shared" si="12"/>
        <v>0.42175303578812356</v>
      </c>
      <c r="F39">
        <f>+IFERROR(MIN(F19:F28)/F21,0)</f>
        <v>0.37969355110287928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126" t="s">
        <v>66</v>
      </c>
      <c r="V39" s="111">
        <f>+SUM(B52:S52)</f>
        <v>11.602266848979273</v>
      </c>
      <c r="W39" s="111">
        <f t="shared" si="6"/>
        <v>84.747649371344423</v>
      </c>
      <c r="X39">
        <f t="shared" si="7"/>
        <v>5</v>
      </c>
      <c r="Y39" s="127"/>
      <c r="Z39"/>
      <c r="AA39" s="128">
        <v>53.155515273814423</v>
      </c>
      <c r="AB39" s="92">
        <v>10</v>
      </c>
      <c r="AE39" s="92">
        <f>+B52*C52*D52*E52*F52</f>
        <v>19.717090247324432</v>
      </c>
      <c r="AF39" s="111">
        <f t="shared" si="8"/>
        <v>42.489814893015151</v>
      </c>
      <c r="AG39">
        <f t="shared" si="9"/>
        <v>8</v>
      </c>
      <c r="AH39"/>
      <c r="AI39"/>
      <c r="AJ39"/>
      <c r="AK39"/>
      <c r="AL39"/>
      <c r="AM39"/>
      <c r="AN39"/>
      <c r="AO39"/>
      <c r="AP39"/>
      <c r="AQ39"/>
      <c r="AR39"/>
    </row>
    <row r="40" spans="1:44" s="92" customFormat="1" x14ac:dyDescent="0.25">
      <c r="A40" t="s">
        <v>114</v>
      </c>
      <c r="B40">
        <f>+PRODUCT(B39,AA20)</f>
        <v>2.9278679523695144</v>
      </c>
      <c r="C40">
        <f t="shared" ref="C40:F40" si="13">+PRODUCT(C39,AB20)</f>
        <v>2.3896149770399151</v>
      </c>
      <c r="D40">
        <f t="shared" si="13"/>
        <v>0.68718224090851965</v>
      </c>
      <c r="E40">
        <f t="shared" si="13"/>
        <v>2.1087651789406179</v>
      </c>
      <c r="F40">
        <f t="shared" si="13"/>
        <v>1.8984677555143965</v>
      </c>
      <c r="G40"/>
      <c r="H40"/>
      <c r="I40"/>
      <c r="J40"/>
      <c r="K40"/>
      <c r="L40"/>
      <c r="M40"/>
      <c r="N40"/>
      <c r="O40"/>
      <c r="P40"/>
      <c r="Q40"/>
      <c r="R40"/>
      <c r="S40"/>
      <c r="T40">
        <v>8</v>
      </c>
      <c r="U40" s="126" t="s">
        <v>69</v>
      </c>
      <c r="V40" s="111">
        <f>+SUM(B55:S55)</f>
        <v>11.533772806544679</v>
      </c>
      <c r="W40" s="111">
        <f t="shared" si="6"/>
        <v>84.247341184347022</v>
      </c>
      <c r="X40" s="153">
        <f t="shared" si="7"/>
        <v>7</v>
      </c>
      <c r="Y40" s="127"/>
      <c r="Z40"/>
      <c r="AA40" s="128">
        <v>77.869757404272036</v>
      </c>
      <c r="AB40" s="154">
        <v>6</v>
      </c>
      <c r="AE40" s="92">
        <f>+B55*C55*D55*E55*F55</f>
        <v>32.547026749180304</v>
      </c>
      <c r="AF40" s="111">
        <f t="shared" si="8"/>
        <v>70.137993210146348</v>
      </c>
      <c r="AG40">
        <f t="shared" si="9"/>
        <v>2</v>
      </c>
      <c r="AH40"/>
      <c r="AI40"/>
      <c r="AJ40"/>
      <c r="AK40"/>
      <c r="AL40"/>
      <c r="AM40"/>
      <c r="AN40"/>
      <c r="AO40"/>
      <c r="AP40"/>
      <c r="AQ40"/>
      <c r="AR40"/>
    </row>
    <row r="41" spans="1:44" s="92" customFormat="1" x14ac:dyDescent="0.25">
      <c r="A41"/>
      <c r="B41" s="114" t="s">
        <v>125</v>
      </c>
      <c r="C41" s="114" t="s">
        <v>126</v>
      </c>
      <c r="D41" s="114" t="s">
        <v>127</v>
      </c>
      <c r="E41" s="114" t="s">
        <v>128</v>
      </c>
      <c r="F41" s="114" t="s">
        <v>129</v>
      </c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>
        <v>9</v>
      </c>
      <c r="U41" s="126" t="s">
        <v>74</v>
      </c>
      <c r="V41" s="111">
        <f>+SUM(B58:S58)</f>
        <v>13.690370098810465</v>
      </c>
      <c r="W41" s="111">
        <f t="shared" si="6"/>
        <v>100</v>
      </c>
      <c r="X41">
        <f t="shared" si="7"/>
        <v>1</v>
      </c>
      <c r="Y41" s="127"/>
      <c r="Z41"/>
      <c r="AA41" s="128">
        <v>100</v>
      </c>
      <c r="AB41" s="92">
        <v>1</v>
      </c>
      <c r="AE41" s="92">
        <f>+B58*C58*D58*E58*F58</f>
        <v>46.404274287779259</v>
      </c>
      <c r="AF41" s="111">
        <f t="shared" si="8"/>
        <v>100</v>
      </c>
      <c r="AG41">
        <f t="shared" si="9"/>
        <v>1</v>
      </c>
      <c r="AH41"/>
      <c r="AI41"/>
      <c r="AJ41"/>
      <c r="AK41"/>
      <c r="AL41"/>
      <c r="AM41"/>
      <c r="AN41"/>
      <c r="AO41"/>
      <c r="AP41"/>
      <c r="AQ41"/>
      <c r="AR41"/>
    </row>
    <row r="42" spans="1:44" s="92" customFormat="1" x14ac:dyDescent="0.25">
      <c r="A42"/>
      <c r="B42">
        <f t="shared" ref="B42:F42" si="14">+IFERROR(MIN(B19:B28)/B22,0)</f>
        <v>0.6822182459740489</v>
      </c>
      <c r="C42">
        <f t="shared" si="14"/>
        <v>0.79622057685932135</v>
      </c>
      <c r="D42">
        <f t="shared" si="14"/>
        <v>0.5457474596419446</v>
      </c>
      <c r="E42">
        <f t="shared" si="14"/>
        <v>0.4041153263133388</v>
      </c>
      <c r="F42">
        <f t="shared" si="14"/>
        <v>0.43027769483427886</v>
      </c>
      <c r="G42"/>
      <c r="H42"/>
      <c r="I42"/>
      <c r="J42"/>
      <c r="K42"/>
      <c r="L42"/>
      <c r="M42"/>
      <c r="N42"/>
      <c r="O42"/>
      <c r="P42"/>
      <c r="Q42"/>
      <c r="R42"/>
      <c r="S42"/>
      <c r="T42">
        <v>10</v>
      </c>
      <c r="U42" s="126" t="s">
        <v>79</v>
      </c>
      <c r="V42" s="111">
        <f>+SUM(B61:S61)</f>
        <v>11.862163922172694</v>
      </c>
      <c r="W42" s="111">
        <f t="shared" si="6"/>
        <v>86.646042704158731</v>
      </c>
      <c r="X42">
        <f t="shared" si="7"/>
        <v>2</v>
      </c>
      <c r="Y42" s="127"/>
      <c r="Z42"/>
      <c r="AA42" s="128">
        <v>89.190949430210537</v>
      </c>
      <c r="AB42" s="92">
        <v>3</v>
      </c>
      <c r="AE42" s="92">
        <f>+B61*C61*D61*E61*F61</f>
        <v>23.235966879162518</v>
      </c>
      <c r="AF42" s="111">
        <f t="shared" si="8"/>
        <v>50.072902196601746</v>
      </c>
      <c r="AG42">
        <f t="shared" si="9"/>
        <v>3</v>
      </c>
      <c r="AH42"/>
      <c r="AI42"/>
      <c r="AJ42"/>
      <c r="AK42"/>
      <c r="AL42"/>
      <c r="AM42"/>
      <c r="AN42"/>
      <c r="AO42"/>
      <c r="AP42"/>
      <c r="AQ42"/>
      <c r="AR42"/>
    </row>
    <row r="43" spans="1:44" s="92" customFormat="1" x14ac:dyDescent="0.25">
      <c r="A43" t="s">
        <v>114</v>
      </c>
      <c r="B43">
        <f>+PRODUCT(B42,AA20)</f>
        <v>3.4110912298702445</v>
      </c>
      <c r="C43">
        <f t="shared" ref="C43:F43" si="15">+PRODUCT(C42,AB20)</f>
        <v>2.3886617305779643</v>
      </c>
      <c r="D43">
        <f t="shared" si="15"/>
        <v>0.5457474596419446</v>
      </c>
      <c r="E43">
        <f t="shared" si="15"/>
        <v>2.0205766315666942</v>
      </c>
      <c r="F43">
        <f t="shared" si="15"/>
        <v>2.1513884741713944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111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92" customFormat="1" x14ac:dyDescent="0.25">
      <c r="A44"/>
      <c r="B44" s="114" t="s">
        <v>130</v>
      </c>
      <c r="C44" s="114" t="s">
        <v>131</v>
      </c>
      <c r="D44" s="114" t="s">
        <v>132</v>
      </c>
      <c r="E44" s="114" t="s">
        <v>133</v>
      </c>
      <c r="F44" s="114" t="s">
        <v>134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/>
      <c r="U44"/>
      <c r="V44" s="3" t="s">
        <v>135</v>
      </c>
      <c r="W44" s="102">
        <f>+AVERAGE(W33:W42)</f>
        <v>84.099607368087831</v>
      </c>
      <c r="X44" s="102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92" customFormat="1" x14ac:dyDescent="0.25">
      <c r="A45"/>
      <c r="B45">
        <f t="shared" ref="B45:F45" si="16">+IFERROR(MIN(B19:B28)/B23,0)</f>
        <v>1</v>
      </c>
      <c r="C45">
        <f t="shared" si="16"/>
        <v>0.499092558983666</v>
      </c>
      <c r="D45">
        <f t="shared" si="16"/>
        <v>0.51790850165457702</v>
      </c>
      <c r="E45">
        <f t="shared" si="16"/>
        <v>0.51360916828178982</v>
      </c>
      <c r="F45">
        <f t="shared" si="16"/>
        <v>0.39742619227857684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 t="s">
        <v>136</v>
      </c>
      <c r="W45" s="102">
        <f>+_xlfn.STDEV.P(V33:V42)</f>
        <v>0.91699221412723031</v>
      </c>
      <c r="X45" s="102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92" customFormat="1" x14ac:dyDescent="0.25">
      <c r="A46" t="s">
        <v>114</v>
      </c>
      <c r="B46">
        <f>+PRODUCT(B45,AA20)</f>
        <v>5</v>
      </c>
      <c r="C46">
        <f t="shared" ref="C46:F46" si="17">+PRODUCT(C45,AB20)</f>
        <v>1.4972776769509979</v>
      </c>
      <c r="D46">
        <f t="shared" si="17"/>
        <v>0.51790850165457702</v>
      </c>
      <c r="E46">
        <f t="shared" si="17"/>
        <v>2.5680458414089493</v>
      </c>
      <c r="F46">
        <f t="shared" si="17"/>
        <v>1.9871309613928843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 t="s">
        <v>137</v>
      </c>
      <c r="W46" s="102">
        <f>+_xlfn.VAR.P(V33:V42)</f>
        <v>0.84087472076996017</v>
      </c>
      <c r="X46" s="102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92" customFormat="1" x14ac:dyDescent="0.25">
      <c r="A47"/>
      <c r="B47" s="114" t="s">
        <v>138</v>
      </c>
      <c r="C47" s="114" t="s">
        <v>139</v>
      </c>
      <c r="D47" s="114" t="s">
        <v>140</v>
      </c>
      <c r="E47" s="114" t="s">
        <v>141</v>
      </c>
      <c r="F47" s="114" t="s">
        <v>142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/>
      <c r="U47"/>
      <c r="V47" s="111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92" customFormat="1" x14ac:dyDescent="0.25">
      <c r="A48"/>
      <c r="B48">
        <f t="shared" ref="B48:F48" si="18">+IFERROR(MIN(B19:B28)/B24,0)</f>
        <v>0.64946452619653294</v>
      </c>
      <c r="C48">
        <f t="shared" si="18"/>
        <v>0.37083217881222869</v>
      </c>
      <c r="D48">
        <f t="shared" si="18"/>
        <v>0.56110007911599669</v>
      </c>
      <c r="E48">
        <f t="shared" si="18"/>
        <v>0.91899288451012606</v>
      </c>
      <c r="F48">
        <f t="shared" si="18"/>
        <v>0.42954958810313476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111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3" x14ac:dyDescent="0.25">
      <c r="A49" t="s">
        <v>114</v>
      </c>
      <c r="B49">
        <f>+PRODUCT(B48,AA20)</f>
        <v>3.2473226309826648</v>
      </c>
      <c r="C49">
        <f t="shared" ref="C49:F49" si="19">+PRODUCT(C48,AB20)</f>
        <v>1.1124965364366861</v>
      </c>
      <c r="D49">
        <f t="shared" si="19"/>
        <v>0.56110007911599669</v>
      </c>
      <c r="E49">
        <f t="shared" si="19"/>
        <v>4.5949644225506301</v>
      </c>
      <c r="F49">
        <f t="shared" si="19"/>
        <v>2.1477479405156736</v>
      </c>
      <c r="V49" s="111"/>
    </row>
    <row r="50" spans="1:23" x14ac:dyDescent="0.25">
      <c r="B50" s="114" t="s">
        <v>143</v>
      </c>
      <c r="C50" s="114" t="s">
        <v>144</v>
      </c>
      <c r="D50" s="114" t="s">
        <v>145</v>
      </c>
      <c r="E50" s="114" t="s">
        <v>146</v>
      </c>
      <c r="F50" s="114" t="s">
        <v>147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U50" s="225" t="s">
        <v>181</v>
      </c>
      <c r="V50" s="111"/>
    </row>
    <row r="51" spans="1:23" x14ac:dyDescent="0.25">
      <c r="B51">
        <f t="shared" ref="B51:F51" si="20">+IFERROR(MIN(B19:B28)/B25,0)</f>
        <v>0.50407751312071059</v>
      </c>
      <c r="C51">
        <f t="shared" si="20"/>
        <v>0.45276362210897692</v>
      </c>
      <c r="D51">
        <f t="shared" si="20"/>
        <v>0.523588417048788</v>
      </c>
      <c r="E51">
        <f t="shared" si="20"/>
        <v>1</v>
      </c>
      <c r="F51">
        <f t="shared" si="20"/>
        <v>0.44000000000000006</v>
      </c>
      <c r="U51" s="225"/>
      <c r="V51" s="111"/>
    </row>
    <row r="52" spans="1:23" x14ac:dyDescent="0.25">
      <c r="A52" t="s">
        <v>114</v>
      </c>
      <c r="B52">
        <f>+PRODUCT(B51,AA20)</f>
        <v>2.5203875656035528</v>
      </c>
      <c r="C52">
        <f t="shared" ref="C52:F52" si="21">+PRODUCT(C51,AB20)</f>
        <v>1.3582908663269309</v>
      </c>
      <c r="D52">
        <f t="shared" si="21"/>
        <v>0.523588417048788</v>
      </c>
      <c r="E52">
        <f t="shared" si="21"/>
        <v>5</v>
      </c>
      <c r="F52">
        <f t="shared" si="21"/>
        <v>2.2000000000000002</v>
      </c>
      <c r="U52" s="225"/>
      <c r="V52" s="111"/>
    </row>
    <row r="53" spans="1:23" x14ac:dyDescent="0.25">
      <c r="B53" s="114" t="s">
        <v>148</v>
      </c>
      <c r="C53" s="114" t="s">
        <v>149</v>
      </c>
      <c r="D53" s="114" t="s">
        <v>150</v>
      </c>
      <c r="E53" s="114" t="s">
        <v>151</v>
      </c>
      <c r="F53" s="114" t="s">
        <v>152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>
        <v>1</v>
      </c>
      <c r="U53" s="126" t="s">
        <v>25</v>
      </c>
      <c r="V53" s="111">
        <f>+PRODUCT(B34:S34)</f>
        <v>21.075738737646958</v>
      </c>
      <c r="W53">
        <f>+V53/MAX($V$53:$V$62)*100</f>
        <v>64.75472828920617</v>
      </c>
    </row>
    <row r="54" spans="1:23" x14ac:dyDescent="0.25">
      <c r="B54">
        <f t="shared" ref="B54:F54" si="22">+IFERROR(MIN(B19:B28)/B26,0)</f>
        <v>0.25229994049241145</v>
      </c>
      <c r="C54">
        <f t="shared" si="22"/>
        <v>0.75627601867036709</v>
      </c>
      <c r="D54">
        <f t="shared" si="22"/>
        <v>1</v>
      </c>
      <c r="E54">
        <f t="shared" si="22"/>
        <v>0.51161886279538105</v>
      </c>
      <c r="F54">
        <f t="shared" si="22"/>
        <v>0.88907014681892327</v>
      </c>
      <c r="T54">
        <v>2</v>
      </c>
      <c r="U54" s="126" t="s">
        <v>44</v>
      </c>
      <c r="V54" s="111">
        <f>+PRODUCT(B37:S37)</f>
        <v>22.512428165257965</v>
      </c>
    </row>
    <row r="55" spans="1:23" x14ac:dyDescent="0.25">
      <c r="A55" t="s">
        <v>114</v>
      </c>
      <c r="B55">
        <f>+PRODUCT(B54,AA20)</f>
        <v>1.2614997024620571</v>
      </c>
      <c r="C55">
        <f t="shared" ref="C55:F55" si="23">+PRODUCT(C54,AB20)</f>
        <v>2.2688280560111012</v>
      </c>
      <c r="D55">
        <f t="shared" si="23"/>
        <v>1</v>
      </c>
      <c r="E55">
        <f t="shared" si="23"/>
        <v>2.5580943139769055</v>
      </c>
      <c r="F55">
        <f t="shared" si="23"/>
        <v>4.4453507340946166</v>
      </c>
      <c r="T55">
        <v>3</v>
      </c>
      <c r="U55" s="126" t="s">
        <v>49</v>
      </c>
      <c r="V55" s="111">
        <f>+PRODUCT(B40:S40)</f>
        <v>19.247875101323515</v>
      </c>
    </row>
    <row r="56" spans="1:23" x14ac:dyDescent="0.25">
      <c r="B56" s="114" t="s">
        <v>153</v>
      </c>
      <c r="C56" s="114" t="s">
        <v>154</v>
      </c>
      <c r="D56" s="114" t="s">
        <v>155</v>
      </c>
      <c r="E56" s="114" t="s">
        <v>156</v>
      </c>
      <c r="F56" s="114" t="s">
        <v>157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>
        <v>4</v>
      </c>
      <c r="U56" s="126" t="s">
        <v>53</v>
      </c>
      <c r="V56" s="111">
        <f>+PRODUCT(B43:S43)</f>
        <v>19.330089856036874</v>
      </c>
    </row>
    <row r="57" spans="1:23" x14ac:dyDescent="0.25">
      <c r="B57">
        <f t="shared" ref="B57:F57" si="24">+IFERROR(MIN(B19:B28)/B27,0)</f>
        <v>0.21620779220779221</v>
      </c>
      <c r="C57">
        <f t="shared" si="24"/>
        <v>1</v>
      </c>
      <c r="D57">
        <f t="shared" si="24"/>
        <v>0.73948986793023497</v>
      </c>
      <c r="E57">
        <f t="shared" si="24"/>
        <v>0.77396825396825397</v>
      </c>
      <c r="F57">
        <f t="shared" si="24"/>
        <v>1</v>
      </c>
      <c r="T57">
        <v>5</v>
      </c>
      <c r="U57" s="126" t="s">
        <v>58</v>
      </c>
      <c r="V57" s="111">
        <f>+PRODUCT(B46:S46)</f>
        <v>19.785847447464352</v>
      </c>
    </row>
    <row r="58" spans="1:23" x14ac:dyDescent="0.25">
      <c r="A58" t="s">
        <v>114</v>
      </c>
      <c r="B58">
        <f>+PRODUCT(B57,AA20)</f>
        <v>1.081038961038961</v>
      </c>
      <c r="C58">
        <f t="shared" ref="C58:F58" si="25">+PRODUCT(C57,AB20)</f>
        <v>3</v>
      </c>
      <c r="D58">
        <f t="shared" si="25"/>
        <v>0.73948986793023497</v>
      </c>
      <c r="E58">
        <f t="shared" si="25"/>
        <v>3.8698412698412699</v>
      </c>
      <c r="F58">
        <f t="shared" si="25"/>
        <v>5</v>
      </c>
      <c r="T58">
        <v>6</v>
      </c>
      <c r="U58" s="126" t="s">
        <v>63</v>
      </c>
      <c r="V58" s="111">
        <f>+PRODUCT(B49:S49)</f>
        <v>20.004601343270146</v>
      </c>
    </row>
    <row r="59" spans="1:23" x14ac:dyDescent="0.25">
      <c r="B59" s="114" t="s">
        <v>158</v>
      </c>
      <c r="C59" s="114" t="s">
        <v>159</v>
      </c>
      <c r="D59" s="114" t="s">
        <v>160</v>
      </c>
      <c r="E59" s="114" t="s">
        <v>161</v>
      </c>
      <c r="F59" s="114" t="s">
        <v>162</v>
      </c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>
        <v>7</v>
      </c>
      <c r="U59" s="126" t="s">
        <v>66</v>
      </c>
      <c r="V59" s="111">
        <f>+PRODUCT(B52:S52)</f>
        <v>19.717090247324432</v>
      </c>
    </row>
    <row r="60" spans="1:23" x14ac:dyDescent="0.25">
      <c r="B60">
        <f t="shared" ref="B60:F60" si="26">+IFERROR(MIN(B19:B28)/B28,0)</f>
        <v>0.3285810563610807</v>
      </c>
      <c r="C60">
        <f t="shared" si="26"/>
        <v>0.63147577709325109</v>
      </c>
      <c r="D60">
        <f t="shared" si="26"/>
        <v>0.48893083417467781</v>
      </c>
      <c r="E60">
        <f t="shared" si="26"/>
        <v>0.72670301708469653</v>
      </c>
      <c r="F60">
        <f t="shared" si="26"/>
        <v>0.8404770778978754</v>
      </c>
      <c r="T60">
        <v>8</v>
      </c>
      <c r="U60" s="126" t="s">
        <v>69</v>
      </c>
      <c r="V60" s="111">
        <f>+PRODUCT(B55:S55)</f>
        <v>32.547026749180304</v>
      </c>
    </row>
    <row r="61" spans="1:23" x14ac:dyDescent="0.25">
      <c r="A61" t="s">
        <v>114</v>
      </c>
      <c r="B61">
        <f>+PRODUCT(B60,AA20)</f>
        <v>1.6429052818054035</v>
      </c>
      <c r="C61">
        <f t="shared" ref="C61:F61" si="27">+PRODUCT(C60,AB20)</f>
        <v>1.8944273312797533</v>
      </c>
      <c r="D61">
        <f t="shared" si="27"/>
        <v>0.48893083417467781</v>
      </c>
      <c r="E61">
        <f>+PRODUCT(E60,AD20)</f>
        <v>3.6335150854234826</v>
      </c>
      <c r="F61">
        <f t="shared" si="27"/>
        <v>4.2023853894893772</v>
      </c>
      <c r="T61">
        <v>9</v>
      </c>
      <c r="U61" s="126" t="s">
        <v>74</v>
      </c>
      <c r="V61" s="111">
        <f>+PRODUCT(B55:S55)</f>
        <v>32.547026749180304</v>
      </c>
    </row>
    <row r="62" spans="1:23" x14ac:dyDescent="0.25">
      <c r="T62">
        <v>10</v>
      </c>
      <c r="U62" s="126" t="s">
        <v>79</v>
      </c>
      <c r="V62" s="111">
        <f>+PRODUCT(B61:S61)</f>
        <v>23.235966879162518</v>
      </c>
    </row>
    <row r="63" spans="1:23" x14ac:dyDescent="0.25">
      <c r="V63" s="111"/>
    </row>
    <row r="64" spans="1:23" x14ac:dyDescent="0.25">
      <c r="V64" s="111"/>
    </row>
    <row r="65" spans="22:22" x14ac:dyDescent="0.25">
      <c r="V65" s="111"/>
    </row>
    <row r="66" spans="22:22" x14ac:dyDescent="0.25">
      <c r="V66" s="111"/>
    </row>
    <row r="67" spans="22:22" x14ac:dyDescent="0.25">
      <c r="V67" s="111"/>
    </row>
    <row r="68" spans="22:22" x14ac:dyDescent="0.25">
      <c r="V68" s="111"/>
    </row>
    <row r="69" spans="22:22" x14ac:dyDescent="0.25">
      <c r="V69" s="111"/>
    </row>
  </sheetData>
  <mergeCells count="4">
    <mergeCell ref="A1:U1"/>
    <mergeCell ref="U30:U32"/>
    <mergeCell ref="AA32:AD32"/>
    <mergeCell ref="U50:U5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AR69"/>
  <sheetViews>
    <sheetView topLeftCell="A49" zoomScale="85" zoomScaleNormal="85" workbookViewId="0">
      <selection activeCell="H67" sqref="H67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92" customWidth="1"/>
    <col min="32" max="44" width="10.5703125" bestFit="1" customWidth="1"/>
  </cols>
  <sheetData>
    <row r="1" spans="1:44" ht="15.75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</row>
    <row r="2" spans="1:44" ht="18" customHeight="1" thickBot="1" x14ac:dyDescent="0.3">
      <c r="B2" s="131" t="s">
        <v>2</v>
      </c>
      <c r="C2" s="132" t="s">
        <v>3</v>
      </c>
      <c r="D2" s="133" t="s">
        <v>4</v>
      </c>
      <c r="E2" s="134" t="s">
        <v>5</v>
      </c>
      <c r="F2" s="136" t="s">
        <v>6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44" ht="31.5" customHeight="1" x14ac:dyDescent="0.25">
      <c r="A3" s="108" t="s">
        <v>97</v>
      </c>
    </row>
    <row r="4" spans="1:44" ht="18" customHeight="1" x14ac:dyDescent="0.25">
      <c r="A4" s="109" t="s">
        <v>25</v>
      </c>
      <c r="B4" s="110">
        <f>+AHP_nivel_0!D179</f>
        <v>0.63210651391127737</v>
      </c>
      <c r="C4" s="110">
        <f>+AHP_nivel_0!E179</f>
        <v>0.53333987111264036</v>
      </c>
      <c r="D4" s="110">
        <f>+AHP_nivel_0!F179</f>
        <v>2.4296594128464726</v>
      </c>
      <c r="E4" s="110">
        <f>+AHP_nivel_0!G179</f>
        <v>0.63210651391127737</v>
      </c>
      <c r="F4" s="110">
        <f>+AHP_nivel_0!H179</f>
        <v>1.185199713583645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U4" s="111"/>
    </row>
    <row r="5" spans="1:44" ht="18" customHeight="1" x14ac:dyDescent="0.25">
      <c r="A5" s="112" t="s">
        <v>44</v>
      </c>
      <c r="B5" s="110">
        <f>+AHP_nivel_0!D180</f>
        <v>0.96650214738666307</v>
      </c>
      <c r="C5" s="110">
        <f>+AHP_nivel_0!E180</f>
        <v>0.19330042947733261</v>
      </c>
      <c r="D5" s="110">
        <f>+AHP_nivel_0!F180</f>
        <v>1.2081276842333291</v>
      </c>
      <c r="E5" s="110">
        <f>+AHP_nivel_0!G180</f>
        <v>0.62822639580133111</v>
      </c>
      <c r="F5" s="110">
        <f>+AHP_nivel_0!H180</f>
        <v>2.4162553684666577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ht="18" customHeight="1" x14ac:dyDescent="0.25">
      <c r="A6" s="113" t="s">
        <v>49</v>
      </c>
      <c r="B6" s="110">
        <f>+AHP_nivel_0!D181</f>
        <v>0.92407034579407787</v>
      </c>
      <c r="C6" s="110">
        <f>+AHP_nivel_0!E181</f>
        <v>0.33002512349788493</v>
      </c>
      <c r="D6" s="110">
        <f>+AHP_nivel_0!F181</f>
        <v>0.85806532109450095</v>
      </c>
      <c r="E6" s="110">
        <f>+AHP_nivel_0!G181</f>
        <v>1.5841205927898476</v>
      </c>
      <c r="F6" s="110">
        <f>+AHP_nivel_0!H181</f>
        <v>1.7161306421890019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spans="1:44" ht="18" customHeight="1" x14ac:dyDescent="0.25">
      <c r="A7" s="114" t="s">
        <v>53</v>
      </c>
      <c r="B7" s="110">
        <f>+AHP_nivel_0!D182</f>
        <v>0.66105795729652672</v>
      </c>
      <c r="C7" s="110">
        <f>+AHP_nivel_0!E182</f>
        <v>0.33052897864826342</v>
      </c>
      <c r="D7" s="110">
        <f>+AHP_nivel_0!F182</f>
        <v>1.3221159145930537</v>
      </c>
      <c r="E7" s="110">
        <f>+AHP_nivel_0!G182</f>
        <v>1.6939610155723499</v>
      </c>
      <c r="F7" s="110">
        <f>+AHP_nivel_0!H182</f>
        <v>1.4047481592551194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</row>
    <row r="8" spans="1:44" ht="18" customHeight="1" x14ac:dyDescent="0.25">
      <c r="A8" s="114" t="s">
        <v>58</v>
      </c>
      <c r="B8" s="110">
        <f>+AHP_nivel_0!D183</f>
        <v>0.15464034358186612</v>
      </c>
      <c r="C8" s="110">
        <f>+AHP_nivel_0!E183</f>
        <v>1.0824824050730628</v>
      </c>
      <c r="D8" s="110">
        <f>+AHP_nivel_0!F183</f>
        <v>1.4433098734307503</v>
      </c>
      <c r="E8" s="110">
        <f>+AHP_nivel_0!G183</f>
        <v>1.1340291862670182</v>
      </c>
      <c r="F8" s="110">
        <f>+AHP_nivel_0!H183</f>
        <v>1.5979502170126165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</row>
    <row r="9" spans="1:44" ht="18" customHeight="1" x14ac:dyDescent="0.25">
      <c r="A9" s="115" t="s">
        <v>63</v>
      </c>
      <c r="B9" s="110">
        <f>+AHP_nivel_0!D184</f>
        <v>0.7414263048445634</v>
      </c>
      <c r="C9" s="110">
        <f>+AHP_nivel_0!E184</f>
        <v>1.779423131626952</v>
      </c>
      <c r="D9" s="110">
        <f>+AHP_nivel_0!F184</f>
        <v>1.2604247182357575</v>
      </c>
      <c r="E9" s="110">
        <f>+AHP_nivel_0!G184</f>
        <v>0.222427891453369</v>
      </c>
      <c r="F9" s="110">
        <f>+AHP_nivel_0!H184</f>
        <v>1.4087099792046704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</row>
    <row r="10" spans="1:44" ht="18" customHeight="1" x14ac:dyDescent="0.25">
      <c r="A10" s="114" t="s">
        <v>66</v>
      </c>
      <c r="B10" s="110">
        <f>+AHP_nivel_0!D185</f>
        <v>1.22423605335644</v>
      </c>
      <c r="C10" s="110">
        <f>+AHP_nivel_0!E185</f>
        <v>1.2886695298488839</v>
      </c>
      <c r="D10" s="110">
        <f>+AHP_nivel_0!F185</f>
        <v>1.4175364828337726</v>
      </c>
      <c r="E10" s="110">
        <f>+AHP_nivel_0!G185</f>
        <v>0.1288669529848884</v>
      </c>
      <c r="F10" s="110">
        <f>+AHP_nivel_0!H185</f>
        <v>1.3531030063413281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</row>
    <row r="11" spans="1:44" ht="18" customHeight="1" x14ac:dyDescent="0.25">
      <c r="A11" s="114" t="s">
        <v>69</v>
      </c>
      <c r="B11" s="110">
        <f>+AHP_nivel_0!D186</f>
        <v>3.3765506213288194</v>
      </c>
      <c r="C11" s="110">
        <f>+AHP_nivel_0!E186</f>
        <v>0.39724124956809642</v>
      </c>
      <c r="D11" s="110">
        <f>+AHP_nivel_0!F186</f>
        <v>0.29793093717607239</v>
      </c>
      <c r="E11" s="110">
        <f>+AHP_nivel_0!G186</f>
        <v>1.142068592508277</v>
      </c>
      <c r="F11" s="110">
        <f>+AHP_nivel_0!H186</f>
        <v>0.19862062478404821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AA11" s="92">
        <f>ROUND($AC$26*AA19+$AC$25,0)</f>
        <v>5</v>
      </c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</row>
    <row r="12" spans="1:44" ht="18" customHeight="1" x14ac:dyDescent="0.25">
      <c r="A12" s="114" t="s">
        <v>74</v>
      </c>
      <c r="B12" s="110">
        <f>+AHP_nivel_0!D187</f>
        <v>4.095879370546724</v>
      </c>
      <c r="C12" s="110">
        <f>+AHP_nivel_0!E187</f>
        <v>7.3140703045477207E-2</v>
      </c>
      <c r="D12" s="110">
        <f>+AHP_nivel_0!F187</f>
        <v>0.73140703045477207</v>
      </c>
      <c r="E12" s="110">
        <f>+AHP_nivel_0!G187</f>
        <v>0.43884421827286324</v>
      </c>
      <c r="F12" s="110">
        <f>+AHP_nivel_0!H187</f>
        <v>7.3140703045477207E-2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44" ht="18" customHeight="1" x14ac:dyDescent="0.25">
      <c r="A13" s="116" t="s">
        <v>79</v>
      </c>
      <c r="B13" s="110">
        <f>+AHP_nivel_0!D188</f>
        <v>2.3761808891847718</v>
      </c>
      <c r="C13" s="110">
        <f>+AHP_nivel_0!E188</f>
        <v>0.66005024699576997</v>
      </c>
      <c r="D13" s="110">
        <f>+AHP_nivel_0!F188</f>
        <v>1.5841205927898476</v>
      </c>
      <c r="E13" s="110">
        <f>+AHP_nivel_0!G188</f>
        <v>0.52804019759661591</v>
      </c>
      <c r="F13" s="110">
        <f>+AHP_nivel_0!H188</f>
        <v>0.26402009879830796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5" spans="1:44" x14ac:dyDescent="0.25">
      <c r="AA15" s="92">
        <v>0.25</v>
      </c>
      <c r="AB15" s="92">
        <v>0.25</v>
      </c>
      <c r="AC15" s="92">
        <v>0.25</v>
      </c>
      <c r="AD15" s="92">
        <v>0.25</v>
      </c>
      <c r="AE15" s="92">
        <v>0.25</v>
      </c>
      <c r="AF15" s="92">
        <v>0.25</v>
      </c>
      <c r="AG15" s="92"/>
      <c r="AH15" s="92"/>
      <c r="AI15" s="92"/>
      <c r="AJ15" s="92"/>
      <c r="AK15" s="92"/>
      <c r="AL15" s="92"/>
    </row>
    <row r="17" spans="1:44" ht="15.75" thickBot="1" x14ac:dyDescent="0.3">
      <c r="AA17" s="87">
        <v>0.2112</v>
      </c>
      <c r="AB17" s="87"/>
      <c r="AC17" s="87"/>
      <c r="AD17" s="87"/>
      <c r="AE17" s="87">
        <v>0.19639999999999999</v>
      </c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</row>
    <row r="18" spans="1:44" ht="64.5" thickBot="1" x14ac:dyDescent="0.3">
      <c r="A18" s="117" t="s">
        <v>98</v>
      </c>
      <c r="B18" s="131" t="s">
        <v>2</v>
      </c>
      <c r="C18" s="132" t="s">
        <v>3</v>
      </c>
      <c r="D18" s="133" t="s">
        <v>4</v>
      </c>
      <c r="E18" s="134" t="s">
        <v>5</v>
      </c>
      <c r="F18" s="136" t="s">
        <v>6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AA18" s="131" t="s">
        <v>2</v>
      </c>
      <c r="AB18" s="132" t="s">
        <v>3</v>
      </c>
      <c r="AC18" s="133" t="s">
        <v>4</v>
      </c>
      <c r="AD18" s="134" t="s">
        <v>5</v>
      </c>
      <c r="AE18" s="135" t="s">
        <v>6</v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</row>
    <row r="19" spans="1:44" x14ac:dyDescent="0.25">
      <c r="A19" s="118" t="s">
        <v>25</v>
      </c>
      <c r="B19" s="110">
        <f t="shared" ref="B19:F28" si="0">IFERROR(+$U$26*B4+$U$24,"")</f>
        <v>1.5558062375580624</v>
      </c>
      <c r="C19" s="110">
        <f t="shared" si="0"/>
        <v>1.4575978765759787</v>
      </c>
      <c r="D19" s="110">
        <f t="shared" si="0"/>
        <v>3.3431984074319838</v>
      </c>
      <c r="E19" s="110">
        <f t="shared" si="0"/>
        <v>1.5558062375580624</v>
      </c>
      <c r="F19" s="137">
        <f t="shared" si="0"/>
        <v>2.1057730590577304</v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11"/>
      <c r="U19" t="s">
        <v>99</v>
      </c>
      <c r="Z19" s="119" t="s">
        <v>100</v>
      </c>
      <c r="AA19" s="88">
        <v>0.2112</v>
      </c>
      <c r="AB19" s="89">
        <v>0.19639999999999999</v>
      </c>
      <c r="AC19" s="90">
        <v>0.17449999999999999</v>
      </c>
      <c r="AD19" s="91">
        <v>0.20669999999999999</v>
      </c>
      <c r="AE19" s="91">
        <v>0.2112</v>
      </c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118" t="s">
        <v>44</v>
      </c>
      <c r="B20" s="110">
        <f t="shared" si="0"/>
        <v>1.8883116883116884</v>
      </c>
      <c r="C20" s="110">
        <f t="shared" si="0"/>
        <v>1.1194805194805195</v>
      </c>
      <c r="D20" s="110">
        <f t="shared" si="0"/>
        <v>2.128571428571429</v>
      </c>
      <c r="E20" s="110">
        <f t="shared" si="0"/>
        <v>1.551948051948052</v>
      </c>
      <c r="F20" s="137">
        <f t="shared" si="0"/>
        <v>3.3298701298701299</v>
      </c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11"/>
      <c r="U20" t="s">
        <v>101</v>
      </c>
      <c r="AA20" s="120">
        <f>ROUND($AC$26*AA19+$AC$25,0)</f>
        <v>5</v>
      </c>
      <c r="AB20" s="120">
        <f t="shared" ref="AB20:AE20" si="1">ROUND($AC$26*AB19+$AC$25,0)</f>
        <v>3</v>
      </c>
      <c r="AC20" s="120">
        <f t="shared" si="1"/>
        <v>1</v>
      </c>
      <c r="AD20" s="120">
        <f t="shared" si="1"/>
        <v>5</v>
      </c>
      <c r="AE20" s="120">
        <f t="shared" si="1"/>
        <v>5</v>
      </c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</row>
    <row r="21" spans="1:44" x14ac:dyDescent="0.25">
      <c r="A21" s="118" t="s">
        <v>49</v>
      </c>
      <c r="B21" s="110">
        <f t="shared" si="0"/>
        <v>1.846119733924612</v>
      </c>
      <c r="C21" s="110">
        <f t="shared" si="0"/>
        <v>1.2554323725055432</v>
      </c>
      <c r="D21" s="110">
        <f t="shared" si="0"/>
        <v>1.780487804878049</v>
      </c>
      <c r="E21" s="110">
        <f t="shared" si="0"/>
        <v>2.5024390243902439</v>
      </c>
      <c r="F21" s="137">
        <f t="shared" si="0"/>
        <v>2.6337028824833704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11"/>
      <c r="Z21" t="s">
        <v>172</v>
      </c>
      <c r="AA21" s="92">
        <f>ROUND($AC$26*AA19+$AC$25,0)</f>
        <v>5</v>
      </c>
      <c r="AB21" s="92">
        <f t="shared" ref="AB21:AE21" si="2">$AC$26*AB19+$AC$25</f>
        <v>3.3869209809264262</v>
      </c>
      <c r="AC21" s="92">
        <f t="shared" si="2"/>
        <v>0.99999999999999645</v>
      </c>
      <c r="AD21" s="92">
        <f t="shared" si="2"/>
        <v>4.5095367847411403</v>
      </c>
      <c r="AE21" s="92">
        <f t="shared" si="2"/>
        <v>4.9999999999999964</v>
      </c>
    </row>
    <row r="22" spans="1:44" x14ac:dyDescent="0.25">
      <c r="A22" s="118" t="s">
        <v>53</v>
      </c>
      <c r="B22" s="110">
        <f t="shared" si="0"/>
        <v>1.584594031922276</v>
      </c>
      <c r="C22" s="110">
        <f t="shared" si="0"/>
        <v>1.2559333795975018</v>
      </c>
      <c r="D22" s="110">
        <f t="shared" si="0"/>
        <v>2.2419153365718252</v>
      </c>
      <c r="E22" s="110">
        <f t="shared" si="0"/>
        <v>2.6116585704371964</v>
      </c>
      <c r="F22" s="137">
        <f t="shared" si="0"/>
        <v>2.3240804996530189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11"/>
    </row>
    <row r="23" spans="1:44" x14ac:dyDescent="0.25">
      <c r="A23" s="118" t="s">
        <v>58</v>
      </c>
      <c r="B23" s="110">
        <f t="shared" si="0"/>
        <v>1.0810389610389612</v>
      </c>
      <c r="C23" s="110">
        <f t="shared" si="0"/>
        <v>2.0036363636363639</v>
      </c>
      <c r="D23" s="110">
        <f t="shared" si="0"/>
        <v>2.3624242424242428</v>
      </c>
      <c r="E23" s="110">
        <f t="shared" si="0"/>
        <v>2.0548917748917752</v>
      </c>
      <c r="F23" s="137">
        <f t="shared" si="0"/>
        <v>2.5161904761904763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1"/>
      <c r="W23" t="s">
        <v>102</v>
      </c>
      <c r="X23" s="111">
        <f>+MIN(B4:F13)</f>
        <v>7.3140703045477207E-2</v>
      </c>
      <c r="AB23" s="92" t="s">
        <v>102</v>
      </c>
      <c r="AC23" s="121">
        <f>+ROUND(MIN(AA19:AE19),5)</f>
        <v>0.17449999999999999</v>
      </c>
      <c r="AD23" s="121"/>
      <c r="AE23" s="121"/>
      <c r="AF23" s="121"/>
      <c r="AG23" s="121"/>
    </row>
    <row r="24" spans="1:44" ht="18" customHeight="1" x14ac:dyDescent="0.25">
      <c r="A24" s="118" t="s">
        <v>63</v>
      </c>
      <c r="B24" s="110">
        <f t="shared" si="0"/>
        <v>1.664508094645081</v>
      </c>
      <c r="C24" s="110">
        <f t="shared" si="0"/>
        <v>2.6966376089663759</v>
      </c>
      <c r="D24" s="110">
        <f t="shared" si="0"/>
        <v>2.1805728518057284</v>
      </c>
      <c r="E24" s="110">
        <f t="shared" si="0"/>
        <v>1.1484433374844334</v>
      </c>
      <c r="F24" s="137">
        <f t="shared" si="0"/>
        <v>2.328019925280199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11"/>
      <c r="U24" s="122">
        <f>(5*X23-X24)/(X23-X24)</f>
        <v>0.92727272727272736</v>
      </c>
      <c r="W24" t="s">
        <v>103</v>
      </c>
      <c r="X24" s="111">
        <f>+MAX(B4:F13)</f>
        <v>4.095879370546724</v>
      </c>
      <c r="AB24" s="92" t="s">
        <v>103</v>
      </c>
      <c r="AC24" s="121">
        <f>+ROUND(MAX(AA19:AE19),5)</f>
        <v>0.2112</v>
      </c>
      <c r="AD24" s="121"/>
      <c r="AE24" s="121"/>
      <c r="AF24" s="121"/>
      <c r="AG24" s="121"/>
    </row>
    <row r="25" spans="1:44" x14ac:dyDescent="0.25">
      <c r="A25" s="118" t="s">
        <v>66</v>
      </c>
      <c r="B25" s="110">
        <f t="shared" si="0"/>
        <v>2.1445887445887446</v>
      </c>
      <c r="C25" s="110">
        <f t="shared" si="0"/>
        <v>2.2086580086580083</v>
      </c>
      <c r="D25" s="110">
        <f t="shared" si="0"/>
        <v>2.3367965367965371</v>
      </c>
      <c r="E25" s="110">
        <f t="shared" si="0"/>
        <v>1.0554112554112556</v>
      </c>
      <c r="F25" s="137">
        <f t="shared" si="0"/>
        <v>2.2727272727272725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11"/>
      <c r="AB25" t="s">
        <v>104</v>
      </c>
      <c r="AC25" s="123">
        <f>(5*AC23-AC24)/(AC23-AC24)</f>
        <v>-18.019073569482284</v>
      </c>
      <c r="AD25"/>
      <c r="AE25"/>
    </row>
    <row r="26" spans="1:44" x14ac:dyDescent="0.25">
      <c r="A26" s="118" t="s">
        <v>69</v>
      </c>
      <c r="B26" s="110">
        <f t="shared" si="0"/>
        <v>4.2847372810675566</v>
      </c>
      <c r="C26" s="110">
        <f t="shared" si="0"/>
        <v>1.3222685571309425</v>
      </c>
      <c r="D26" s="110">
        <f t="shared" si="0"/>
        <v>1.2235195996663888</v>
      </c>
      <c r="E26" s="110">
        <f t="shared" si="0"/>
        <v>2.0628857381150958</v>
      </c>
      <c r="F26" s="137">
        <f t="shared" si="0"/>
        <v>1.1247706422018349</v>
      </c>
      <c r="G26" s="125"/>
      <c r="H26" s="138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11"/>
      <c r="U26" s="122">
        <f>+-4/(X23-X24)</f>
        <v>0.99434746589805922</v>
      </c>
      <c r="AB26" t="s">
        <v>105</v>
      </c>
      <c r="AC26" s="123">
        <f>+-4/(AC23-AC24)</f>
        <v>108.99182561307899</v>
      </c>
      <c r="AD26"/>
      <c r="AE26"/>
      <c r="AJ26" t="s">
        <v>106</v>
      </c>
    </row>
    <row r="27" spans="1:44" x14ac:dyDescent="0.25">
      <c r="A27" s="118" t="s">
        <v>74</v>
      </c>
      <c r="B27" s="110">
        <f t="shared" si="0"/>
        <v>5.0000000000000009</v>
      </c>
      <c r="C27" s="110">
        <f t="shared" si="0"/>
        <v>1</v>
      </c>
      <c r="D27" s="110">
        <f t="shared" si="0"/>
        <v>1.6545454545454545</v>
      </c>
      <c r="E27" s="110">
        <f t="shared" si="0"/>
        <v>1.3636363636363638</v>
      </c>
      <c r="F27" s="137">
        <f t="shared" si="0"/>
        <v>1</v>
      </c>
      <c r="G27" s="125"/>
      <c r="H27" s="138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11"/>
    </row>
    <row r="28" spans="1:44" x14ac:dyDescent="0.25">
      <c r="A28" s="118" t="s">
        <v>79</v>
      </c>
      <c r="B28" s="110">
        <f t="shared" si="0"/>
        <v>3.2900221729490022</v>
      </c>
      <c r="C28" s="110">
        <f t="shared" si="0"/>
        <v>1.5835920177383593</v>
      </c>
      <c r="D28" s="110">
        <f t="shared" si="0"/>
        <v>2.5024390243902439</v>
      </c>
      <c r="E28" s="110">
        <f t="shared" si="0"/>
        <v>1.4523281596452329</v>
      </c>
      <c r="F28" s="137">
        <f t="shared" si="0"/>
        <v>1.1898004434589802</v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11"/>
    </row>
    <row r="29" spans="1:44" x14ac:dyDescent="0.25">
      <c r="A29" s="124"/>
      <c r="B29" s="125"/>
      <c r="C29" s="125"/>
      <c r="D29" s="125"/>
      <c r="E29" s="125"/>
      <c r="F29" s="125"/>
      <c r="T29" s="111"/>
    </row>
    <row r="30" spans="1:44" x14ac:dyDescent="0.25">
      <c r="A30" s="108"/>
      <c r="B30" s="92"/>
      <c r="C30" s="92"/>
      <c r="D30" s="92"/>
      <c r="E30" s="92"/>
      <c r="F30" s="92"/>
      <c r="U30" s="225" t="s">
        <v>181</v>
      </c>
      <c r="V30" s="111"/>
    </row>
    <row r="31" spans="1:44" x14ac:dyDescent="0.25">
      <c r="A31" s="124"/>
      <c r="B31" s="125"/>
      <c r="C31" s="125"/>
      <c r="D31" s="125"/>
      <c r="E31" s="125"/>
      <c r="F31" s="125"/>
      <c r="U31" s="225"/>
      <c r="V31" s="111"/>
    </row>
    <row r="32" spans="1:44" ht="33.75" customHeight="1" x14ac:dyDescent="0.25">
      <c r="A32" s="119" t="s">
        <v>191</v>
      </c>
      <c r="B32" s="114" t="s">
        <v>108</v>
      </c>
      <c r="C32" s="114" t="s">
        <v>109</v>
      </c>
      <c r="D32" s="114" t="s">
        <v>110</v>
      </c>
      <c r="E32" s="114" t="s">
        <v>111</v>
      </c>
      <c r="F32" s="114" t="s">
        <v>112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U32" s="225"/>
      <c r="V32" s="111"/>
      <c r="AA32" s="224"/>
      <c r="AB32" s="224"/>
      <c r="AC32" s="224"/>
      <c r="AD32" s="224"/>
    </row>
    <row r="33" spans="1:44" s="92" customFormat="1" x14ac:dyDescent="0.25">
      <c r="A33"/>
      <c r="B33">
        <f>+IFERROR(MIN(B19:B28)/B19,0)</f>
        <v>0.69484164219300293</v>
      </c>
      <c r="C33">
        <f t="shared" ref="C33:E33" si="3">+IFERROR(MIN(C19:C28)/C19,0)</f>
        <v>0.68606027497040878</v>
      </c>
      <c r="D33">
        <f t="shared" si="3"/>
        <v>0.36597277533588346</v>
      </c>
      <c r="E33">
        <f t="shared" si="3"/>
        <v>0.67836934313092301</v>
      </c>
      <c r="F33">
        <f>+IFERROR(MIN(F19:F28)/F19,0)</f>
        <v>0.47488498140795365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126" t="s">
        <v>25</v>
      </c>
      <c r="V33" s="161">
        <f>+PRODUCT(B34:S34)</f>
        <v>6.6410695519466249E-5</v>
      </c>
      <c r="W33">
        <f t="shared" ref="W33:W42" si="4">+V33/MAX($V$33:$V$42)*100</f>
        <v>68.443680150869824</v>
      </c>
      <c r="X33">
        <f>+RANK(W33,$W$33:$W$42)</f>
        <v>2</v>
      </c>
      <c r="Y33" s="127"/>
      <c r="Z33"/>
      <c r="AA33" s="128"/>
      <c r="AF33" s="111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92" customFormat="1" x14ac:dyDescent="0.25">
      <c r="A34" t="s">
        <v>192</v>
      </c>
      <c r="B34" s="111">
        <f>+B33^AA20</f>
        <v>0.16196798905555201</v>
      </c>
      <c r="C34" s="111">
        <f t="shared" ref="C34:F34" si="5">+C33^AB20</f>
        <v>0.32291395895700475</v>
      </c>
      <c r="D34" s="111">
        <f t="shared" si="5"/>
        <v>0.36597277533588346</v>
      </c>
      <c r="E34" s="111">
        <f t="shared" si="5"/>
        <v>0.14365841327058862</v>
      </c>
      <c r="F34" s="111">
        <f t="shared" si="5"/>
        <v>2.4151392420853481E-2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126" t="s">
        <v>44</v>
      </c>
      <c r="V34" s="161">
        <f>+PRODUCT(B37:S37)</f>
        <v>8.9515374614789184E-6</v>
      </c>
      <c r="W34">
        <f t="shared" si="4"/>
        <v>9.2255646786955445</v>
      </c>
      <c r="X34">
        <f t="shared" ref="X34:X42" si="6">+RANK(W34,$W$33:$W$42)</f>
        <v>7</v>
      </c>
      <c r="Y34" s="127"/>
      <c r="Z34"/>
      <c r="AA34" s="128"/>
      <c r="AF34" s="111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92" customFormat="1" x14ac:dyDescent="0.25">
      <c r="A35"/>
      <c r="B35" s="114" t="s">
        <v>115</v>
      </c>
      <c r="C35" s="114" t="s">
        <v>116</v>
      </c>
      <c r="D35" s="114" t="s">
        <v>117</v>
      </c>
      <c r="E35" s="114" t="s">
        <v>118</v>
      </c>
      <c r="F35" s="114" t="s">
        <v>119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>
        <v>3</v>
      </c>
      <c r="U35" s="126" t="s">
        <v>49</v>
      </c>
      <c r="V35" s="161">
        <f>+PRODUCT(B40:S40)</f>
        <v>2.5180048235498337E-6</v>
      </c>
      <c r="W35">
        <f t="shared" si="4"/>
        <v>2.5950867614520861</v>
      </c>
      <c r="X35">
        <f t="shared" si="6"/>
        <v>10</v>
      </c>
      <c r="Y35" s="127"/>
      <c r="Z35"/>
      <c r="AA35" s="128"/>
      <c r="AF35" s="111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92" customFormat="1" x14ac:dyDescent="0.25">
      <c r="A36"/>
      <c r="B36">
        <f t="shared" ref="B36:F36" si="7">+IFERROR(MIN(B19:B28)/B20,0)</f>
        <v>0.57248968363136188</v>
      </c>
      <c r="C36">
        <f t="shared" si="7"/>
        <v>0.89327146171693728</v>
      </c>
      <c r="D36">
        <f t="shared" si="7"/>
        <v>0.5748078656150819</v>
      </c>
      <c r="E36">
        <f t="shared" si="7"/>
        <v>0.68005578800557887</v>
      </c>
      <c r="F36">
        <f t="shared" si="7"/>
        <v>0.30031201248049921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126" t="s">
        <v>53</v>
      </c>
      <c r="V36" s="161">
        <f>+PRODUCT(B43:S43)</f>
        <v>6.4711183169461897E-6</v>
      </c>
      <c r="W36">
        <f t="shared" si="4"/>
        <v>6.6692141806235936</v>
      </c>
      <c r="X36">
        <f t="shared" si="6"/>
        <v>9</v>
      </c>
      <c r="Y36" s="127"/>
      <c r="Z36"/>
      <c r="AA36" s="128"/>
      <c r="AF36" s="111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92" customFormat="1" x14ac:dyDescent="0.25">
      <c r="A37" t="s">
        <v>192</v>
      </c>
      <c r="B37">
        <f>+(B36^AA20)</f>
        <v>6.1494790328102379E-2</v>
      </c>
      <c r="C37">
        <f t="shared" ref="C37:F37" si="8">+(C36^AB20)</f>
        <v>0.71277158506356564</v>
      </c>
      <c r="D37">
        <f t="shared" si="8"/>
        <v>0.5748078656150819</v>
      </c>
      <c r="E37">
        <f t="shared" si="8"/>
        <v>0.14545300780305354</v>
      </c>
      <c r="F37">
        <f t="shared" si="8"/>
        <v>2.4426628177946687E-3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126" t="s">
        <v>58</v>
      </c>
      <c r="V37" s="161">
        <f>+PRODUCT(B46:S46)</f>
        <v>2.2816162012738362E-5</v>
      </c>
      <c r="W37">
        <f t="shared" si="4"/>
        <v>23.514617379854865</v>
      </c>
      <c r="X37">
        <f t="shared" si="6"/>
        <v>6</v>
      </c>
      <c r="Y37" s="127"/>
      <c r="Z37"/>
      <c r="AA37" s="128"/>
      <c r="AF37" s="111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92" customFormat="1" x14ac:dyDescent="0.25">
      <c r="A38"/>
      <c r="B38" s="114" t="s">
        <v>120</v>
      </c>
      <c r="C38" s="114" t="s">
        <v>121</v>
      </c>
      <c r="D38" s="114" t="s">
        <v>122</v>
      </c>
      <c r="E38" s="114" t="s">
        <v>123</v>
      </c>
      <c r="F38" s="114" t="s">
        <v>124</v>
      </c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>
        <v>6</v>
      </c>
      <c r="U38" s="126" t="s">
        <v>63</v>
      </c>
      <c r="V38" s="161">
        <f>+PRODUCT(B49:S49)</f>
        <v>3.1693997642812758E-5</v>
      </c>
      <c r="W38">
        <f t="shared" si="4"/>
        <v>32.66422404402087</v>
      </c>
      <c r="X38">
        <f t="shared" si="6"/>
        <v>4</v>
      </c>
      <c r="Y38" s="127"/>
      <c r="Z38"/>
      <c r="AA38" s="128"/>
      <c r="AF38" s="111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92" customFormat="1" x14ac:dyDescent="0.25">
      <c r="A39"/>
      <c r="B39">
        <f t="shared" ref="B39:E39" si="9">+IFERROR(MIN(B19:B28)/B21,0)</f>
        <v>0.58557359047390289</v>
      </c>
      <c r="C39">
        <f t="shared" si="9"/>
        <v>0.79653832567997174</v>
      </c>
      <c r="D39">
        <f t="shared" si="9"/>
        <v>0.68718224090851965</v>
      </c>
      <c r="E39">
        <f t="shared" si="9"/>
        <v>0.42175303578812356</v>
      </c>
      <c r="F39">
        <f>+IFERROR(MIN(F19:F28)/F21,0)</f>
        <v>0.37969355110287928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126" t="s">
        <v>66</v>
      </c>
      <c r="V39" s="161">
        <f>+PRODUCT(B52:S52)</f>
        <v>2.6082823932111718E-5</v>
      </c>
      <c r="W39">
        <f t="shared" si="4"/>
        <v>26.881279358347172</v>
      </c>
      <c r="X39">
        <f t="shared" si="6"/>
        <v>5</v>
      </c>
      <c r="Y39" s="127"/>
      <c r="Z39"/>
      <c r="AA39" s="128"/>
      <c r="AF39" s="111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92" customFormat="1" x14ac:dyDescent="0.25">
      <c r="A40" t="s">
        <v>192</v>
      </c>
      <c r="B40" s="111">
        <f>+B39^AA20</f>
        <v>6.8850549141200201E-2</v>
      </c>
      <c r="C40" s="111">
        <f t="shared" ref="C40:F40" si="10">+C39^AB20</f>
        <v>0.50538230347748281</v>
      </c>
      <c r="D40" s="111">
        <f t="shared" si="10"/>
        <v>0.68718224090851965</v>
      </c>
      <c r="E40" s="111">
        <f t="shared" si="10"/>
        <v>1.3344155269429914E-2</v>
      </c>
      <c r="F40" s="111">
        <f t="shared" si="10"/>
        <v>7.8916189078863004E-3</v>
      </c>
      <c r="G40"/>
      <c r="H40"/>
      <c r="I40"/>
      <c r="J40"/>
      <c r="K40"/>
      <c r="L40"/>
      <c r="M40"/>
      <c r="N40"/>
      <c r="O40"/>
      <c r="P40"/>
      <c r="Q40"/>
      <c r="R40"/>
      <c r="S40"/>
      <c r="T40">
        <v>8</v>
      </c>
      <c r="U40" s="126" t="s">
        <v>69</v>
      </c>
      <c r="V40" s="161">
        <f>+PRODUCT(B55:S55)</f>
        <v>8.6107227733650999E-6</v>
      </c>
      <c r="W40">
        <f t="shared" si="4"/>
        <v>8.8743168665544534</v>
      </c>
      <c r="X40">
        <f t="shared" si="6"/>
        <v>8</v>
      </c>
      <c r="Y40" s="127"/>
      <c r="Z40"/>
      <c r="AA40" s="128"/>
      <c r="AF40" s="111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92" customFormat="1" x14ac:dyDescent="0.25">
      <c r="A41"/>
      <c r="B41" s="114" t="s">
        <v>125</v>
      </c>
      <c r="C41" s="114" t="s">
        <v>126</v>
      </c>
      <c r="D41" s="114" t="s">
        <v>127</v>
      </c>
      <c r="E41" s="114" t="s">
        <v>128</v>
      </c>
      <c r="F41" s="114" t="s">
        <v>129</v>
      </c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>
        <v>9</v>
      </c>
      <c r="U41" s="126" t="s">
        <v>74</v>
      </c>
      <c r="V41" s="161">
        <f>+PRODUCT(B58:S58)</f>
        <v>9.7029697078061434E-5</v>
      </c>
      <c r="W41">
        <f t="shared" si="4"/>
        <v>100</v>
      </c>
      <c r="X41">
        <f t="shared" si="6"/>
        <v>1</v>
      </c>
      <c r="Y41" s="127"/>
      <c r="Z41"/>
      <c r="AA41" s="128"/>
      <c r="AF41" s="11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92" customFormat="1" x14ac:dyDescent="0.25">
      <c r="A42"/>
      <c r="B42">
        <f t="shared" ref="B42:F42" si="11">+IFERROR(MIN(B19:B28)/B22,0)</f>
        <v>0.6822182459740489</v>
      </c>
      <c r="C42">
        <f t="shared" si="11"/>
        <v>0.79622057685932135</v>
      </c>
      <c r="D42">
        <f t="shared" si="11"/>
        <v>0.5457474596419446</v>
      </c>
      <c r="E42">
        <f t="shared" si="11"/>
        <v>0.4041153263133388</v>
      </c>
      <c r="F42">
        <f t="shared" si="11"/>
        <v>0.43027769483427886</v>
      </c>
      <c r="G42"/>
      <c r="H42"/>
      <c r="I42"/>
      <c r="J42"/>
      <c r="K42"/>
      <c r="L42"/>
      <c r="M42"/>
      <c r="N42"/>
      <c r="O42"/>
      <c r="P42"/>
      <c r="Q42"/>
      <c r="R42"/>
      <c r="S42"/>
      <c r="T42">
        <v>10</v>
      </c>
      <c r="U42" s="126" t="s">
        <v>79</v>
      </c>
      <c r="V42" s="161">
        <f>+PRODUCT(B61:S61)</f>
        <v>4.0081531402391422E-5</v>
      </c>
      <c r="W42">
        <f t="shared" si="4"/>
        <v>41.308519566072022</v>
      </c>
      <c r="X42">
        <f t="shared" si="6"/>
        <v>3</v>
      </c>
      <c r="Y42" s="127"/>
      <c r="Z42"/>
      <c r="AA42" s="128"/>
      <c r="AF42" s="111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92" customFormat="1" x14ac:dyDescent="0.25">
      <c r="A43" t="s">
        <v>192</v>
      </c>
      <c r="B43" s="111">
        <f>+B42^AA20</f>
        <v>0.14778033690433093</v>
      </c>
      <c r="C43" s="111">
        <f t="shared" ref="C43:E43" si="12">+C42^AB20</f>
        <v>0.50477773527873149</v>
      </c>
      <c r="D43" s="111">
        <f t="shared" si="12"/>
        <v>0.5457474596419446</v>
      </c>
      <c r="E43" s="111">
        <f t="shared" si="12"/>
        <v>1.0777712840641733E-2</v>
      </c>
      <c r="F43" s="111">
        <f>+F42^AE20</f>
        <v>1.4748374819826849E-2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111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92" customFormat="1" x14ac:dyDescent="0.25">
      <c r="A44"/>
      <c r="B44" s="114" t="s">
        <v>130</v>
      </c>
      <c r="C44" s="114" t="s">
        <v>131</v>
      </c>
      <c r="D44" s="114" t="s">
        <v>132</v>
      </c>
      <c r="E44" s="114" t="s">
        <v>133</v>
      </c>
      <c r="F44" s="114" t="s">
        <v>134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/>
      <c r="U44"/>
      <c r="V44" s="3"/>
      <c r="W44" s="102"/>
      <c r="X44" s="102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92" customFormat="1" x14ac:dyDescent="0.25">
      <c r="A45"/>
      <c r="B45">
        <f t="shared" ref="B45:F45" si="13">+IFERROR(MIN(B19:B28)/B23,0)</f>
        <v>1</v>
      </c>
      <c r="C45">
        <f t="shared" si="13"/>
        <v>0.499092558983666</v>
      </c>
      <c r="D45">
        <f t="shared" si="13"/>
        <v>0.51790850165457702</v>
      </c>
      <c r="E45">
        <f t="shared" si="13"/>
        <v>0.51360916828178982</v>
      </c>
      <c r="F45">
        <f t="shared" si="13"/>
        <v>0.39742619227857684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/>
      <c r="W45" s="102"/>
      <c r="X45" s="102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92" customFormat="1" x14ac:dyDescent="0.25">
      <c r="A46" t="s">
        <v>192</v>
      </c>
      <c r="B46" s="111">
        <f>+B45^AA20</f>
        <v>1</v>
      </c>
      <c r="C46" s="111">
        <f t="shared" ref="C46:F46" si="14">+C45^AB20</f>
        <v>0.12432065366431512</v>
      </c>
      <c r="D46" s="111">
        <f t="shared" si="14"/>
        <v>0.51790850165457702</v>
      </c>
      <c r="E46" s="111">
        <f t="shared" si="14"/>
        <v>3.5740764504718692E-2</v>
      </c>
      <c r="F46" s="111">
        <f t="shared" si="14"/>
        <v>9.9147650902261918E-3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/>
      <c r="W46" s="102"/>
      <c r="X46" s="102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92" customFormat="1" x14ac:dyDescent="0.25">
      <c r="A47"/>
      <c r="B47" s="114" t="s">
        <v>138</v>
      </c>
      <c r="C47" s="114" t="s">
        <v>139</v>
      </c>
      <c r="D47" s="114" t="s">
        <v>140</v>
      </c>
      <c r="E47" s="114" t="s">
        <v>141</v>
      </c>
      <c r="F47" s="114" t="s">
        <v>142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/>
      <c r="U47"/>
      <c r="V47" s="111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92" customFormat="1" x14ac:dyDescent="0.25">
      <c r="A48"/>
      <c r="B48">
        <f t="shared" ref="B48:F48" si="15">+IFERROR(MIN(B19:B28)/B24,0)</f>
        <v>0.64946452619653294</v>
      </c>
      <c r="C48">
        <f t="shared" si="15"/>
        <v>0.37083217881222869</v>
      </c>
      <c r="D48">
        <f t="shared" si="15"/>
        <v>0.56110007911599669</v>
      </c>
      <c r="E48">
        <f t="shared" si="15"/>
        <v>0.91899288451012606</v>
      </c>
      <c r="F48">
        <f t="shared" si="15"/>
        <v>0.42954958810313476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111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192</v>
      </c>
      <c r="B49" s="111">
        <f>+ B48^AA20</f>
        <v>0.11555192218670848</v>
      </c>
      <c r="C49" s="111">
        <f t="shared" ref="C49:F49" si="16">+ C48^AB20</f>
        <v>5.099554511343294E-2</v>
      </c>
      <c r="D49" s="111">
        <f t="shared" si="16"/>
        <v>0.56110007911599669</v>
      </c>
      <c r="E49" s="111">
        <f t="shared" si="16"/>
        <v>0.65548196041368567</v>
      </c>
      <c r="F49" s="111">
        <f t="shared" si="16"/>
        <v>1.4624011995512557E-2</v>
      </c>
      <c r="V49" s="111"/>
    </row>
    <row r="50" spans="1:22" x14ac:dyDescent="0.25">
      <c r="B50" s="114" t="s">
        <v>143</v>
      </c>
      <c r="C50" s="114" t="s">
        <v>144</v>
      </c>
      <c r="D50" s="114" t="s">
        <v>145</v>
      </c>
      <c r="E50" s="114" t="s">
        <v>146</v>
      </c>
      <c r="F50" s="114" t="s">
        <v>147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</row>
    <row r="51" spans="1:22" x14ac:dyDescent="0.25">
      <c r="B51">
        <f>+IFERROR(MIN(B19:B28)/B25,0)</f>
        <v>0.50407751312071059</v>
      </c>
      <c r="C51">
        <f t="shared" ref="C51:F51" si="17">+IFERROR(MIN(C19:C28)/C25,0)</f>
        <v>0.45276362210897692</v>
      </c>
      <c r="D51">
        <f t="shared" si="17"/>
        <v>0.523588417048788</v>
      </c>
      <c r="E51">
        <f t="shared" si="17"/>
        <v>1</v>
      </c>
      <c r="F51">
        <f t="shared" si="17"/>
        <v>0.44000000000000006</v>
      </c>
    </row>
    <row r="52" spans="1:22" x14ac:dyDescent="0.25">
      <c r="A52" t="s">
        <v>192</v>
      </c>
      <c r="B52" s="111">
        <f>+B51^AA20</f>
        <v>3.2545175666967553E-2</v>
      </c>
      <c r="C52" s="111">
        <f t="shared" ref="C52:F52" si="18">+C51^AB20</f>
        <v>9.2814232308331135E-2</v>
      </c>
      <c r="D52" s="111">
        <f t="shared" si="18"/>
        <v>0.523588417048788</v>
      </c>
      <c r="E52" s="111">
        <f t="shared" si="18"/>
        <v>1</v>
      </c>
      <c r="F52" s="111">
        <f t="shared" si="18"/>
        <v>1.6491622400000013E-2</v>
      </c>
    </row>
    <row r="53" spans="1:22" x14ac:dyDescent="0.25">
      <c r="B53" s="114" t="s">
        <v>148</v>
      </c>
      <c r="C53" s="114" t="s">
        <v>149</v>
      </c>
      <c r="D53" s="114" t="s">
        <v>150</v>
      </c>
      <c r="E53" s="114" t="s">
        <v>151</v>
      </c>
      <c r="F53" s="114" t="s">
        <v>152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</row>
    <row r="54" spans="1:22" x14ac:dyDescent="0.25">
      <c r="B54">
        <f t="shared" ref="B54:F54" si="19">+IFERROR(MIN(B19:B28)/B26,0)</f>
        <v>0.25229994049241145</v>
      </c>
      <c r="C54">
        <f t="shared" si="19"/>
        <v>0.75627601867036709</v>
      </c>
      <c r="D54">
        <f t="shared" si="19"/>
        <v>1</v>
      </c>
      <c r="E54">
        <f t="shared" si="19"/>
        <v>0.51161886279538105</v>
      </c>
      <c r="F54">
        <f t="shared" si="19"/>
        <v>0.88907014681892327</v>
      </c>
    </row>
    <row r="55" spans="1:22" x14ac:dyDescent="0.25">
      <c r="A55" t="s">
        <v>192</v>
      </c>
      <c r="B55" s="111">
        <f>+B54^AA20</f>
        <v>1.0223173712975194E-3</v>
      </c>
      <c r="C55" s="111">
        <f t="shared" ref="C55:F55" si="20">+C54^AB20</f>
        <v>0.43255465263193255</v>
      </c>
      <c r="D55" s="111">
        <f t="shared" si="20"/>
        <v>1</v>
      </c>
      <c r="E55" s="111">
        <f t="shared" si="20"/>
        <v>3.5053609169562822E-2</v>
      </c>
      <c r="F55" s="111">
        <f t="shared" si="20"/>
        <v>0.55549498026782573</v>
      </c>
    </row>
    <row r="56" spans="1:22" x14ac:dyDescent="0.25">
      <c r="B56" s="114" t="s">
        <v>153</v>
      </c>
      <c r="C56" s="114" t="s">
        <v>154</v>
      </c>
      <c r="D56" s="114" t="s">
        <v>155</v>
      </c>
      <c r="E56" s="114" t="s">
        <v>156</v>
      </c>
      <c r="F56" s="114" t="s">
        <v>157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</row>
    <row r="57" spans="1:22" x14ac:dyDescent="0.25">
      <c r="B57">
        <f t="shared" ref="B57:F57" si="21">+IFERROR(MIN(B19:B28)/B27,0)</f>
        <v>0.21620779220779221</v>
      </c>
      <c r="C57">
        <f t="shared" si="21"/>
        <v>1</v>
      </c>
      <c r="D57">
        <f t="shared" si="21"/>
        <v>0.73948986793023497</v>
      </c>
      <c r="E57">
        <f t="shared" si="21"/>
        <v>0.77396825396825397</v>
      </c>
      <c r="F57">
        <f t="shared" si="21"/>
        <v>1</v>
      </c>
    </row>
    <row r="58" spans="1:22" x14ac:dyDescent="0.25">
      <c r="A58" t="s">
        <v>192</v>
      </c>
      <c r="B58" s="111">
        <f>+B57^AA20</f>
        <v>4.724509321088097E-4</v>
      </c>
      <c r="C58" s="111">
        <f t="shared" ref="C58:F58" si="22">+C57^AB20</f>
        <v>1</v>
      </c>
      <c r="D58" s="111">
        <f t="shared" si="22"/>
        <v>0.73948986793023497</v>
      </c>
      <c r="E58" s="111">
        <f t="shared" si="22"/>
        <v>0.27772548730283397</v>
      </c>
      <c r="F58" s="111">
        <f t="shared" si="22"/>
        <v>1</v>
      </c>
    </row>
    <row r="59" spans="1:22" x14ac:dyDescent="0.25">
      <c r="B59" s="114" t="s">
        <v>158</v>
      </c>
      <c r="C59" s="114" t="s">
        <v>159</v>
      </c>
      <c r="D59" s="114" t="s">
        <v>160</v>
      </c>
      <c r="E59" s="114" t="s">
        <v>161</v>
      </c>
      <c r="F59" s="114" t="s">
        <v>162</v>
      </c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</row>
    <row r="60" spans="1:22" x14ac:dyDescent="0.25">
      <c r="B60">
        <f t="shared" ref="B60:F60" si="23">+IFERROR(MIN(B19:B28)/B28,0)</f>
        <v>0.3285810563610807</v>
      </c>
      <c r="C60">
        <f t="shared" si="23"/>
        <v>0.63147577709325109</v>
      </c>
      <c r="D60">
        <f t="shared" si="23"/>
        <v>0.48893083417467781</v>
      </c>
      <c r="E60">
        <f t="shared" si="23"/>
        <v>0.72670301708469653</v>
      </c>
      <c r="F60">
        <f t="shared" si="23"/>
        <v>0.8404770778978754</v>
      </c>
    </row>
    <row r="61" spans="1:22" x14ac:dyDescent="0.25">
      <c r="A61" t="s">
        <v>192</v>
      </c>
      <c r="B61" s="111">
        <f>+B60^AA20</f>
        <v>3.8301219984909983E-3</v>
      </c>
      <c r="C61" s="111">
        <f t="shared" ref="C61:F61" si="24">+C60^AB20</f>
        <v>0.25180832726413038</v>
      </c>
      <c r="D61" s="111">
        <f t="shared" si="24"/>
        <v>0.48893083417467781</v>
      </c>
      <c r="E61" s="111">
        <f t="shared" si="24"/>
        <v>0.2026678295000176</v>
      </c>
      <c r="F61" s="111">
        <f t="shared" si="24"/>
        <v>0.4194009092895814</v>
      </c>
    </row>
    <row r="63" spans="1:22" x14ac:dyDescent="0.25">
      <c r="V63" s="111"/>
    </row>
    <row r="64" spans="1:22" x14ac:dyDescent="0.25">
      <c r="V64" s="111"/>
    </row>
    <row r="65" spans="22:22" x14ac:dyDescent="0.25">
      <c r="V65" s="111"/>
    </row>
    <row r="66" spans="22:22" x14ac:dyDescent="0.25">
      <c r="V66" s="111"/>
    </row>
    <row r="67" spans="22:22" x14ac:dyDescent="0.25">
      <c r="V67" s="111"/>
    </row>
    <row r="68" spans="22:22" x14ac:dyDescent="0.25">
      <c r="V68" s="111"/>
    </row>
    <row r="69" spans="22:22" x14ac:dyDescent="0.25">
      <c r="V69" s="111"/>
    </row>
  </sheetData>
  <mergeCells count="3">
    <mergeCell ref="A1:U1"/>
    <mergeCell ref="AA32:AD32"/>
    <mergeCell ref="U30:U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8B115-31BC-497B-BA8F-A29F22E16AF8}">
  <dimension ref="A1:BA263"/>
  <sheetViews>
    <sheetView topLeftCell="G188" workbookViewId="0">
      <selection activeCell="Z191" sqref="Z191:Z200"/>
    </sheetView>
  </sheetViews>
  <sheetFormatPr defaultRowHeight="15" outlineLevelRow="1" x14ac:dyDescent="0.25"/>
  <cols>
    <col min="1" max="2" width="2.85546875" style="1" customWidth="1"/>
    <col min="3" max="3" width="30.5703125" style="3" customWidth="1"/>
    <col min="4" max="4" width="7.28515625" style="3" customWidth="1"/>
    <col min="5" max="21" width="5.5703125" style="3" customWidth="1"/>
    <col min="22" max="22" width="11" style="2" customWidth="1"/>
    <col min="23" max="23" width="10" style="3" customWidth="1"/>
    <col min="24" max="24" width="25.28515625" style="3" customWidth="1"/>
    <col min="25" max="25" width="9.140625" style="3" customWidth="1"/>
    <col min="26" max="31" width="9.140625" style="3"/>
    <col min="32" max="32" width="8.85546875" style="3" customWidth="1"/>
    <col min="33" max="16384" width="9.140625" style="3"/>
  </cols>
  <sheetData>
    <row r="1" spans="2:24" s="1" customFormat="1" ht="7.5" customHeight="1" thickBot="1" x14ac:dyDescent="0.3">
      <c r="V1" s="2"/>
      <c r="W1" s="3"/>
    </row>
    <row r="2" spans="2:24" ht="13.5" customHeight="1" thickBot="1" x14ac:dyDescent="0.3">
      <c r="C2" s="217" t="s">
        <v>0</v>
      </c>
      <c r="D2" s="4"/>
      <c r="E2" s="4"/>
      <c r="F2" s="4"/>
      <c r="G2" s="4"/>
      <c r="H2" s="5" t="s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"/>
      <c r="W2" s="6"/>
    </row>
    <row r="3" spans="2:24" ht="15.75" thickBot="1" x14ac:dyDescent="0.3">
      <c r="C3" s="217"/>
      <c r="D3" s="218" t="s">
        <v>2</v>
      </c>
      <c r="E3" s="218"/>
      <c r="F3" s="218"/>
      <c r="G3" s="218"/>
      <c r="H3" s="219" t="s">
        <v>3</v>
      </c>
      <c r="I3" s="219"/>
      <c r="J3" s="219"/>
      <c r="K3" s="219"/>
      <c r="L3" s="220" t="s">
        <v>4</v>
      </c>
      <c r="M3" s="220"/>
      <c r="N3" s="220"/>
      <c r="O3" s="220"/>
      <c r="P3" s="221" t="s">
        <v>5</v>
      </c>
      <c r="Q3" s="221"/>
      <c r="R3" s="221"/>
      <c r="S3" s="216" t="s">
        <v>6</v>
      </c>
      <c r="T3" s="216"/>
      <c r="U3" s="216"/>
      <c r="V3" s="7"/>
      <c r="W3" s="8"/>
    </row>
    <row r="4" spans="2:24" ht="68.25" customHeight="1" thickBot="1" x14ac:dyDescent="0.3">
      <c r="C4" s="217"/>
      <c r="D4" s="168" t="s">
        <v>7</v>
      </c>
      <c r="E4" s="168" t="s">
        <v>8</v>
      </c>
      <c r="F4" s="169" t="s">
        <v>9</v>
      </c>
      <c r="G4" s="170" t="s">
        <v>10</v>
      </c>
      <c r="H4" s="171" t="s">
        <v>11</v>
      </c>
      <c r="I4" s="172" t="s">
        <v>12</v>
      </c>
      <c r="J4" s="172" t="s">
        <v>13</v>
      </c>
      <c r="K4" s="173" t="s">
        <v>14</v>
      </c>
      <c r="L4" s="174" t="s">
        <v>15</v>
      </c>
      <c r="M4" s="175" t="s">
        <v>16</v>
      </c>
      <c r="N4" s="176" t="s">
        <v>17</v>
      </c>
      <c r="O4" s="177" t="s">
        <v>18</v>
      </c>
      <c r="P4" s="178" t="s">
        <v>19</v>
      </c>
      <c r="Q4" s="179" t="s">
        <v>20</v>
      </c>
      <c r="R4" s="180" t="s">
        <v>21</v>
      </c>
      <c r="S4" s="179" t="s">
        <v>22</v>
      </c>
      <c r="T4" s="179" t="s">
        <v>23</v>
      </c>
      <c r="U4" s="180" t="s">
        <v>24</v>
      </c>
      <c r="V4" s="9"/>
      <c r="W4" s="9"/>
    </row>
    <row r="5" spans="2:24" s="1" customFormat="1" x14ac:dyDescent="0.25">
      <c r="C5" s="41" t="s">
        <v>25</v>
      </c>
      <c r="D5" s="10">
        <f>+AVERAGE(D6,D9,D12,D15,D18,D21,D24,D27,D30,D33,D36,D39,D42,D45,D48,D51)</f>
        <v>0.875</v>
      </c>
      <c r="E5" s="10">
        <f t="shared" ref="E5:U5" si="0">+AVERAGE(E6,E9,E12,E15,E18,E21,E24,E27,E30,E33,E36,E39,E42,E45,E48,E51)</f>
        <v>6.25E-2</v>
      </c>
      <c r="F5" s="10">
        <f t="shared" si="0"/>
        <v>0.5625</v>
      </c>
      <c r="G5" s="10">
        <f t="shared" si="0"/>
        <v>0.5</v>
      </c>
      <c r="H5" s="10">
        <f t="shared" si="0"/>
        <v>0.125</v>
      </c>
      <c r="I5" s="10">
        <f t="shared" si="0"/>
        <v>0.4375</v>
      </c>
      <c r="J5" s="10">
        <f t="shared" si="0"/>
        <v>0.5</v>
      </c>
      <c r="K5" s="10">
        <f t="shared" si="0"/>
        <v>0.625</v>
      </c>
      <c r="L5" s="10">
        <f t="shared" si="0"/>
        <v>1.1875</v>
      </c>
      <c r="M5" s="10">
        <f t="shared" si="0"/>
        <v>1.625</v>
      </c>
      <c r="N5" s="10">
        <f t="shared" si="0"/>
        <v>2.0625</v>
      </c>
      <c r="O5" s="10">
        <f t="shared" si="0"/>
        <v>2.8125</v>
      </c>
      <c r="P5" s="10">
        <f t="shared" si="0"/>
        <v>0.625</v>
      </c>
      <c r="Q5" s="10">
        <f t="shared" si="0"/>
        <v>1.0625</v>
      </c>
      <c r="R5" s="10">
        <f t="shared" si="0"/>
        <v>0.3125</v>
      </c>
      <c r="S5" s="10">
        <f t="shared" si="0"/>
        <v>1.8125</v>
      </c>
      <c r="T5" s="10">
        <f t="shared" si="0"/>
        <v>1.1875</v>
      </c>
      <c r="U5" s="10">
        <f t="shared" si="0"/>
        <v>0.75</v>
      </c>
      <c r="V5" s="11">
        <f t="shared" ref="V5:V68" si="1">SUM(D5:U5)</f>
        <v>17.125</v>
      </c>
      <c r="W5" s="12">
        <f>V5/$V$150</f>
        <v>0.6357308584686775</v>
      </c>
      <c r="X5" s="13"/>
    </row>
    <row r="6" spans="2:24" s="1" customFormat="1" ht="57" hidden="1" outlineLevel="1" x14ac:dyDescent="0.25">
      <c r="B6" s="1">
        <v>1</v>
      </c>
      <c r="C6" s="41" t="s">
        <v>26</v>
      </c>
      <c r="D6" s="14">
        <f t="shared" ref="D6:U6" si="2">+D7*D8</f>
        <v>1</v>
      </c>
      <c r="E6" s="15">
        <f t="shared" si="2"/>
        <v>0</v>
      </c>
      <c r="F6" s="16">
        <f t="shared" si="2"/>
        <v>1</v>
      </c>
      <c r="G6" s="17">
        <f t="shared" si="2"/>
        <v>0</v>
      </c>
      <c r="H6" s="15">
        <f t="shared" si="2"/>
        <v>0</v>
      </c>
      <c r="I6" s="14">
        <f t="shared" si="2"/>
        <v>0</v>
      </c>
      <c r="J6" s="14">
        <f t="shared" si="2"/>
        <v>0</v>
      </c>
      <c r="K6" s="17">
        <f t="shared" si="2"/>
        <v>1</v>
      </c>
      <c r="L6" s="15">
        <f t="shared" si="2"/>
        <v>0</v>
      </c>
      <c r="M6" s="14">
        <f t="shared" si="2"/>
        <v>1</v>
      </c>
      <c r="N6" s="15">
        <f t="shared" si="2"/>
        <v>6</v>
      </c>
      <c r="O6" s="17">
        <f t="shared" si="2"/>
        <v>6</v>
      </c>
      <c r="P6" s="18">
        <f t="shared" si="2"/>
        <v>0</v>
      </c>
      <c r="Q6" s="14">
        <f t="shared" si="2"/>
        <v>2</v>
      </c>
      <c r="R6" s="17">
        <f t="shared" si="2"/>
        <v>0</v>
      </c>
      <c r="S6" s="14">
        <f t="shared" si="2"/>
        <v>1</v>
      </c>
      <c r="T6" s="14">
        <f t="shared" si="2"/>
        <v>1</v>
      </c>
      <c r="U6" s="17">
        <f t="shared" si="2"/>
        <v>1</v>
      </c>
      <c r="V6" s="11">
        <f t="shared" si="1"/>
        <v>21</v>
      </c>
      <c r="W6" s="19">
        <f>V6/$V$150</f>
        <v>0.77958236658932711</v>
      </c>
      <c r="X6" s="20"/>
    </row>
    <row r="7" spans="2:24" s="1" customFormat="1" hidden="1" outlineLevel="1" x14ac:dyDescent="0.25">
      <c r="C7" s="41" t="s">
        <v>27</v>
      </c>
      <c r="D7" s="22">
        <v>1</v>
      </c>
      <c r="E7" s="23"/>
      <c r="F7" s="24">
        <v>1</v>
      </c>
      <c r="G7" s="25"/>
      <c r="H7" s="23"/>
      <c r="I7" s="26"/>
      <c r="J7" s="27"/>
      <c r="K7" s="25">
        <v>1</v>
      </c>
      <c r="L7" s="28"/>
      <c r="M7" s="29">
        <v>1</v>
      </c>
      <c r="N7" s="28">
        <v>2</v>
      </c>
      <c r="O7" s="25">
        <v>2</v>
      </c>
      <c r="P7" s="30"/>
      <c r="Q7" s="29">
        <v>2</v>
      </c>
      <c r="R7" s="31"/>
      <c r="S7" s="22">
        <v>1</v>
      </c>
      <c r="T7" s="22">
        <v>1</v>
      </c>
      <c r="U7" s="32">
        <v>1</v>
      </c>
      <c r="V7" s="11">
        <f t="shared" si="1"/>
        <v>13</v>
      </c>
      <c r="W7" s="19"/>
      <c r="X7" s="20"/>
    </row>
    <row r="8" spans="2:24" s="1" customFormat="1" hidden="1" outlineLevel="1" x14ac:dyDescent="0.25">
      <c r="C8" s="41" t="s">
        <v>28</v>
      </c>
      <c r="D8" s="22">
        <v>1</v>
      </c>
      <c r="E8" s="23"/>
      <c r="F8" s="24">
        <v>1</v>
      </c>
      <c r="G8" s="25"/>
      <c r="H8" s="23"/>
      <c r="I8" s="26"/>
      <c r="J8" s="27"/>
      <c r="K8" s="25">
        <v>1</v>
      </c>
      <c r="L8" s="28"/>
      <c r="M8" s="29">
        <v>1</v>
      </c>
      <c r="N8" s="28">
        <v>3</v>
      </c>
      <c r="O8" s="25">
        <v>3</v>
      </c>
      <c r="P8" s="30"/>
      <c r="Q8" s="27">
        <v>1</v>
      </c>
      <c r="R8" s="31"/>
      <c r="S8" s="22">
        <v>1</v>
      </c>
      <c r="T8" s="22">
        <v>1</v>
      </c>
      <c r="U8" s="32">
        <v>1</v>
      </c>
      <c r="V8" s="11">
        <f t="shared" si="1"/>
        <v>14</v>
      </c>
      <c r="W8" s="19"/>
      <c r="X8" s="20"/>
    </row>
    <row r="9" spans="2:24" s="1" customFormat="1" ht="88.5" hidden="1" outlineLevel="1" x14ac:dyDescent="0.25">
      <c r="B9" s="1">
        <v>2</v>
      </c>
      <c r="C9" s="41" t="s">
        <v>29</v>
      </c>
      <c r="D9" s="14">
        <f t="shared" ref="D9:U9" si="3">+D10*D11</f>
        <v>2</v>
      </c>
      <c r="E9" s="15">
        <f t="shared" si="3"/>
        <v>0</v>
      </c>
      <c r="F9" s="16">
        <f t="shared" si="3"/>
        <v>1</v>
      </c>
      <c r="G9" s="17">
        <f t="shared" si="3"/>
        <v>2</v>
      </c>
      <c r="H9" s="15">
        <f t="shared" si="3"/>
        <v>0</v>
      </c>
      <c r="I9" s="14">
        <f t="shared" si="3"/>
        <v>0</v>
      </c>
      <c r="J9" s="14">
        <f t="shared" si="3"/>
        <v>0</v>
      </c>
      <c r="K9" s="17">
        <f t="shared" si="3"/>
        <v>0</v>
      </c>
      <c r="L9" s="15">
        <f t="shared" si="3"/>
        <v>2</v>
      </c>
      <c r="M9" s="14">
        <f t="shared" si="3"/>
        <v>1</v>
      </c>
      <c r="N9" s="15">
        <f t="shared" si="3"/>
        <v>4</v>
      </c>
      <c r="O9" s="17">
        <f t="shared" si="3"/>
        <v>4</v>
      </c>
      <c r="P9" s="18">
        <f t="shared" si="3"/>
        <v>0</v>
      </c>
      <c r="Q9" s="14">
        <f t="shared" si="3"/>
        <v>1</v>
      </c>
      <c r="R9" s="17">
        <f t="shared" si="3"/>
        <v>0</v>
      </c>
      <c r="S9" s="14">
        <f t="shared" si="3"/>
        <v>1</v>
      </c>
      <c r="T9" s="14">
        <f t="shared" si="3"/>
        <v>1</v>
      </c>
      <c r="U9" s="17">
        <f t="shared" si="3"/>
        <v>0</v>
      </c>
      <c r="V9" s="11">
        <f t="shared" si="1"/>
        <v>19</v>
      </c>
      <c r="W9" s="19">
        <f>V9/$V$150</f>
        <v>0.7053364269141531</v>
      </c>
      <c r="X9" s="20"/>
    </row>
    <row r="10" spans="2:24" s="1" customFormat="1" hidden="1" outlineLevel="1" x14ac:dyDescent="0.25">
      <c r="C10" s="41" t="s">
        <v>27</v>
      </c>
      <c r="D10" s="27">
        <v>1</v>
      </c>
      <c r="E10" s="33"/>
      <c r="F10" s="27">
        <v>1</v>
      </c>
      <c r="G10" s="32">
        <v>1</v>
      </c>
      <c r="H10" s="23"/>
      <c r="I10" s="26"/>
      <c r="J10" s="27"/>
      <c r="K10" s="25"/>
      <c r="L10" s="28">
        <v>1</v>
      </c>
      <c r="M10" s="27">
        <v>1</v>
      </c>
      <c r="N10" s="28">
        <v>2</v>
      </c>
      <c r="O10" s="25">
        <v>2</v>
      </c>
      <c r="P10" s="30"/>
      <c r="Q10" s="29">
        <v>1</v>
      </c>
      <c r="R10" s="31"/>
      <c r="S10" s="27">
        <v>1</v>
      </c>
      <c r="T10" s="27">
        <v>1</v>
      </c>
      <c r="U10" s="31"/>
      <c r="V10" s="11">
        <f t="shared" si="1"/>
        <v>12</v>
      </c>
      <c r="W10" s="19"/>
      <c r="X10" s="20"/>
    </row>
    <row r="11" spans="2:24" s="1" customFormat="1" hidden="1" outlineLevel="1" x14ac:dyDescent="0.25">
      <c r="C11" s="41" t="s">
        <v>28</v>
      </c>
      <c r="D11" s="27">
        <v>2</v>
      </c>
      <c r="E11" s="33"/>
      <c r="F11" s="27">
        <v>1</v>
      </c>
      <c r="G11" s="32">
        <v>2</v>
      </c>
      <c r="H11" s="23"/>
      <c r="I11" s="26"/>
      <c r="J11" s="27"/>
      <c r="K11" s="25"/>
      <c r="L11" s="28">
        <v>2</v>
      </c>
      <c r="M11" s="26">
        <v>1</v>
      </c>
      <c r="N11" s="28">
        <v>2</v>
      </c>
      <c r="O11" s="25">
        <v>2</v>
      </c>
      <c r="P11" s="30"/>
      <c r="Q11" s="29">
        <v>1</v>
      </c>
      <c r="R11" s="31"/>
      <c r="S11" s="27">
        <v>1</v>
      </c>
      <c r="T11" s="27">
        <v>1</v>
      </c>
      <c r="U11" s="31"/>
      <c r="V11" s="11">
        <f t="shared" si="1"/>
        <v>15</v>
      </c>
      <c r="W11" s="19"/>
      <c r="X11" s="20"/>
    </row>
    <row r="12" spans="2:24" s="1" customFormat="1" ht="42.75" hidden="1" outlineLevel="1" x14ac:dyDescent="0.25">
      <c r="B12" s="1">
        <v>3</v>
      </c>
      <c r="C12" s="41" t="s">
        <v>30</v>
      </c>
      <c r="D12" s="14">
        <f t="shared" ref="D12:U12" si="4">+D13*D14</f>
        <v>2</v>
      </c>
      <c r="E12" s="15">
        <f t="shared" si="4"/>
        <v>1</v>
      </c>
      <c r="F12" s="16">
        <f t="shared" si="4"/>
        <v>1</v>
      </c>
      <c r="G12" s="17">
        <f t="shared" si="4"/>
        <v>0</v>
      </c>
      <c r="H12" s="15">
        <f t="shared" si="4"/>
        <v>0</v>
      </c>
      <c r="I12" s="14">
        <f t="shared" si="4"/>
        <v>0</v>
      </c>
      <c r="J12" s="14">
        <f t="shared" si="4"/>
        <v>1</v>
      </c>
      <c r="K12" s="17">
        <f t="shared" si="4"/>
        <v>0</v>
      </c>
      <c r="L12" s="15">
        <f t="shared" si="4"/>
        <v>0</v>
      </c>
      <c r="M12" s="14">
        <f t="shared" si="4"/>
        <v>6</v>
      </c>
      <c r="N12" s="15">
        <f t="shared" si="4"/>
        <v>6</v>
      </c>
      <c r="O12" s="17">
        <f t="shared" si="4"/>
        <v>1</v>
      </c>
      <c r="P12" s="18">
        <f t="shared" si="4"/>
        <v>1</v>
      </c>
      <c r="Q12" s="14">
        <f t="shared" si="4"/>
        <v>4</v>
      </c>
      <c r="R12" s="17">
        <f t="shared" si="4"/>
        <v>1</v>
      </c>
      <c r="S12" s="14">
        <f t="shared" si="4"/>
        <v>2</v>
      </c>
      <c r="T12" s="14">
        <f t="shared" si="4"/>
        <v>4</v>
      </c>
      <c r="U12" s="17">
        <f t="shared" si="4"/>
        <v>0</v>
      </c>
      <c r="V12" s="11">
        <f t="shared" si="1"/>
        <v>30</v>
      </c>
      <c r="W12" s="19">
        <f>V12/$V$150</f>
        <v>1.1136890951276102</v>
      </c>
      <c r="X12" s="20"/>
    </row>
    <row r="13" spans="2:24" s="1" customFormat="1" hidden="1" outlineLevel="1" x14ac:dyDescent="0.25">
      <c r="C13" s="41" t="s">
        <v>27</v>
      </c>
      <c r="D13" s="22">
        <v>1</v>
      </c>
      <c r="E13" s="34">
        <v>1</v>
      </c>
      <c r="F13" s="24">
        <v>1</v>
      </c>
      <c r="G13" s="25"/>
      <c r="H13" s="23"/>
      <c r="I13" s="27"/>
      <c r="J13" s="29">
        <v>1</v>
      </c>
      <c r="K13" s="31"/>
      <c r="L13" s="23"/>
      <c r="M13" s="27">
        <v>2</v>
      </c>
      <c r="N13" s="28">
        <v>2</v>
      </c>
      <c r="O13" s="25">
        <v>1</v>
      </c>
      <c r="P13" s="35">
        <v>1</v>
      </c>
      <c r="Q13" s="27">
        <v>2</v>
      </c>
      <c r="R13" s="32">
        <v>1</v>
      </c>
      <c r="S13" s="27">
        <v>1</v>
      </c>
      <c r="T13" s="27">
        <v>2</v>
      </c>
      <c r="U13" s="31"/>
      <c r="V13" s="11">
        <f t="shared" si="1"/>
        <v>16</v>
      </c>
      <c r="W13" s="19"/>
      <c r="X13" s="20"/>
    </row>
    <row r="14" spans="2:24" s="1" customFormat="1" hidden="1" outlineLevel="1" x14ac:dyDescent="0.25">
      <c r="C14" s="41" t="s">
        <v>28</v>
      </c>
      <c r="D14" s="22">
        <v>2</v>
      </c>
      <c r="E14" s="34">
        <v>1</v>
      </c>
      <c r="F14" s="24">
        <v>1</v>
      </c>
      <c r="G14" s="25"/>
      <c r="H14" s="23"/>
      <c r="I14" s="27"/>
      <c r="J14" s="29">
        <v>1</v>
      </c>
      <c r="K14" s="31"/>
      <c r="L14" s="23"/>
      <c r="M14" s="27">
        <v>3</v>
      </c>
      <c r="N14" s="28">
        <v>3</v>
      </c>
      <c r="O14" s="25">
        <v>1</v>
      </c>
      <c r="P14" s="35">
        <v>1</v>
      </c>
      <c r="Q14" s="27">
        <v>2</v>
      </c>
      <c r="R14" s="32">
        <v>1</v>
      </c>
      <c r="S14" s="27">
        <v>2</v>
      </c>
      <c r="T14" s="27">
        <v>2</v>
      </c>
      <c r="U14" s="31"/>
      <c r="V14" s="11">
        <f t="shared" si="1"/>
        <v>20</v>
      </c>
      <c r="W14" s="19"/>
      <c r="X14" s="20"/>
    </row>
    <row r="15" spans="2:24" s="1" customFormat="1" ht="28.5" hidden="1" outlineLevel="1" x14ac:dyDescent="0.25">
      <c r="B15" s="1">
        <v>4</v>
      </c>
      <c r="C15" s="41" t="s">
        <v>31</v>
      </c>
      <c r="D15" s="14">
        <f t="shared" ref="D15:U15" si="5">+D16*D17</f>
        <v>0</v>
      </c>
      <c r="E15" s="15">
        <f t="shared" si="5"/>
        <v>0</v>
      </c>
      <c r="F15" s="16">
        <f t="shared" si="5"/>
        <v>0</v>
      </c>
      <c r="G15" s="17">
        <f t="shared" si="5"/>
        <v>0</v>
      </c>
      <c r="H15" s="15">
        <f t="shared" si="5"/>
        <v>0</v>
      </c>
      <c r="I15" s="14">
        <f t="shared" si="5"/>
        <v>1</v>
      </c>
      <c r="J15" s="14">
        <f t="shared" si="5"/>
        <v>1</v>
      </c>
      <c r="K15" s="17">
        <f t="shared" si="5"/>
        <v>1</v>
      </c>
      <c r="L15" s="15">
        <f t="shared" si="5"/>
        <v>6</v>
      </c>
      <c r="M15" s="14">
        <f t="shared" si="5"/>
        <v>4</v>
      </c>
      <c r="N15" s="15">
        <f t="shared" si="5"/>
        <v>2</v>
      </c>
      <c r="O15" s="17">
        <f t="shared" si="5"/>
        <v>6</v>
      </c>
      <c r="P15" s="18">
        <f t="shared" si="5"/>
        <v>2</v>
      </c>
      <c r="Q15" s="14">
        <f t="shared" si="5"/>
        <v>6</v>
      </c>
      <c r="R15" s="17">
        <f t="shared" si="5"/>
        <v>0</v>
      </c>
      <c r="S15" s="14">
        <f t="shared" si="5"/>
        <v>4</v>
      </c>
      <c r="T15" s="14">
        <f t="shared" si="5"/>
        <v>2</v>
      </c>
      <c r="U15" s="17">
        <f t="shared" si="5"/>
        <v>1</v>
      </c>
      <c r="V15" s="11">
        <f t="shared" si="1"/>
        <v>36</v>
      </c>
      <c r="W15" s="19">
        <f>V15/$V$150</f>
        <v>1.3364269141531322</v>
      </c>
      <c r="X15" s="20"/>
    </row>
    <row r="16" spans="2:24" s="1" customFormat="1" hidden="1" outlineLevel="1" x14ac:dyDescent="0.25">
      <c r="C16" s="41" t="s">
        <v>27</v>
      </c>
      <c r="D16" s="26"/>
      <c r="E16" s="23"/>
      <c r="F16" s="34"/>
      <c r="G16" s="25"/>
      <c r="H16" s="23"/>
      <c r="I16" s="27">
        <v>1</v>
      </c>
      <c r="J16" s="27">
        <v>1</v>
      </c>
      <c r="K16" s="25">
        <v>1</v>
      </c>
      <c r="L16" s="28">
        <v>2</v>
      </c>
      <c r="M16" s="27">
        <v>2</v>
      </c>
      <c r="N16" s="28">
        <v>1</v>
      </c>
      <c r="O16" s="25">
        <v>2</v>
      </c>
      <c r="P16" s="36">
        <v>1</v>
      </c>
      <c r="Q16" s="27">
        <v>2</v>
      </c>
      <c r="R16" s="31"/>
      <c r="S16" s="27">
        <v>2</v>
      </c>
      <c r="T16" s="27">
        <v>1</v>
      </c>
      <c r="U16" s="25">
        <v>1</v>
      </c>
      <c r="V16" s="11">
        <f t="shared" si="1"/>
        <v>17</v>
      </c>
      <c r="W16" s="19"/>
      <c r="X16" s="20"/>
    </row>
    <row r="17" spans="2:24" s="1" customFormat="1" hidden="1" outlineLevel="1" x14ac:dyDescent="0.25">
      <c r="C17" s="41" t="s">
        <v>28</v>
      </c>
      <c r="D17" s="26"/>
      <c r="E17" s="23"/>
      <c r="F17" s="34"/>
      <c r="G17" s="25"/>
      <c r="H17" s="23"/>
      <c r="I17" s="27">
        <v>1</v>
      </c>
      <c r="J17" s="27">
        <v>1</v>
      </c>
      <c r="K17" s="25">
        <v>1</v>
      </c>
      <c r="L17" s="28">
        <v>3</v>
      </c>
      <c r="M17" s="27">
        <v>2</v>
      </c>
      <c r="N17" s="28">
        <v>2</v>
      </c>
      <c r="O17" s="25">
        <v>3</v>
      </c>
      <c r="P17" s="36">
        <v>2</v>
      </c>
      <c r="Q17" s="29">
        <v>3</v>
      </c>
      <c r="R17" s="31"/>
      <c r="S17" s="27">
        <v>2</v>
      </c>
      <c r="T17" s="27">
        <v>2</v>
      </c>
      <c r="U17" s="25">
        <v>1</v>
      </c>
      <c r="V17" s="11">
        <f t="shared" si="1"/>
        <v>23</v>
      </c>
      <c r="W17" s="19"/>
      <c r="X17" s="20"/>
    </row>
    <row r="18" spans="2:24" s="1" customFormat="1" ht="57" hidden="1" outlineLevel="1" x14ac:dyDescent="0.25">
      <c r="B18" s="1">
        <v>5</v>
      </c>
      <c r="C18" s="41" t="s">
        <v>32</v>
      </c>
      <c r="D18" s="14">
        <f t="shared" ref="D18:U18" si="6">+D19*D20</f>
        <v>0</v>
      </c>
      <c r="E18" s="15">
        <f t="shared" si="6"/>
        <v>0</v>
      </c>
      <c r="F18" s="16">
        <f t="shared" si="6"/>
        <v>0</v>
      </c>
      <c r="G18" s="17">
        <f t="shared" si="6"/>
        <v>0</v>
      </c>
      <c r="H18" s="15">
        <f t="shared" si="6"/>
        <v>0</v>
      </c>
      <c r="I18" s="14">
        <f t="shared" si="6"/>
        <v>0</v>
      </c>
      <c r="J18" s="14">
        <f t="shared" si="6"/>
        <v>0</v>
      </c>
      <c r="K18" s="17">
        <f t="shared" si="6"/>
        <v>0</v>
      </c>
      <c r="L18" s="15">
        <f t="shared" si="6"/>
        <v>1</v>
      </c>
      <c r="M18" s="14">
        <f t="shared" si="6"/>
        <v>6</v>
      </c>
      <c r="N18" s="15">
        <f t="shared" si="6"/>
        <v>1</v>
      </c>
      <c r="O18" s="17">
        <f t="shared" si="6"/>
        <v>4</v>
      </c>
      <c r="P18" s="18">
        <f t="shared" si="6"/>
        <v>2</v>
      </c>
      <c r="Q18" s="14">
        <f t="shared" si="6"/>
        <v>2</v>
      </c>
      <c r="R18" s="17">
        <f t="shared" si="6"/>
        <v>1</v>
      </c>
      <c r="S18" s="14">
        <f t="shared" si="6"/>
        <v>4</v>
      </c>
      <c r="T18" s="14">
        <f t="shared" si="6"/>
        <v>4</v>
      </c>
      <c r="U18" s="17">
        <f t="shared" si="6"/>
        <v>4</v>
      </c>
      <c r="V18" s="11">
        <f t="shared" si="1"/>
        <v>29</v>
      </c>
      <c r="W18" s="19">
        <f>V18/$V$150</f>
        <v>1.0765661252900232</v>
      </c>
      <c r="X18" s="20"/>
    </row>
    <row r="19" spans="2:24" s="1" customFormat="1" hidden="1" outlineLevel="1" x14ac:dyDescent="0.25">
      <c r="C19" s="41" t="s">
        <v>27</v>
      </c>
      <c r="D19" s="26"/>
      <c r="E19" s="23"/>
      <c r="F19" s="34"/>
      <c r="G19" s="25"/>
      <c r="H19" s="23"/>
      <c r="I19" s="26"/>
      <c r="J19" s="27"/>
      <c r="K19" s="31"/>
      <c r="L19" s="37">
        <v>1</v>
      </c>
      <c r="M19" s="27">
        <v>2</v>
      </c>
      <c r="N19" s="28">
        <v>1</v>
      </c>
      <c r="O19" s="25">
        <v>2</v>
      </c>
      <c r="P19" s="36">
        <v>1</v>
      </c>
      <c r="Q19" s="22">
        <v>1</v>
      </c>
      <c r="R19" s="38">
        <v>1</v>
      </c>
      <c r="S19" s="27">
        <v>2</v>
      </c>
      <c r="T19" s="27">
        <v>2</v>
      </c>
      <c r="U19" s="25">
        <v>2</v>
      </c>
      <c r="V19" s="11">
        <f t="shared" si="1"/>
        <v>15</v>
      </c>
      <c r="W19" s="19"/>
      <c r="X19" s="20"/>
    </row>
    <row r="20" spans="2:24" s="1" customFormat="1" hidden="1" outlineLevel="1" x14ac:dyDescent="0.25">
      <c r="C20" s="41" t="s">
        <v>28</v>
      </c>
      <c r="D20" s="26"/>
      <c r="E20" s="23"/>
      <c r="F20" s="34"/>
      <c r="G20" s="25"/>
      <c r="H20" s="23"/>
      <c r="I20" s="26"/>
      <c r="J20" s="27"/>
      <c r="K20" s="31"/>
      <c r="L20" s="37">
        <v>1</v>
      </c>
      <c r="M20" s="27">
        <v>3</v>
      </c>
      <c r="N20" s="28">
        <v>1</v>
      </c>
      <c r="O20" s="25">
        <v>2</v>
      </c>
      <c r="P20" s="36">
        <v>2</v>
      </c>
      <c r="Q20" s="22">
        <v>2</v>
      </c>
      <c r="R20" s="38">
        <v>1</v>
      </c>
      <c r="S20" s="27">
        <v>2</v>
      </c>
      <c r="T20" s="27">
        <v>2</v>
      </c>
      <c r="U20" s="25">
        <v>2</v>
      </c>
      <c r="V20" s="11">
        <f t="shared" si="1"/>
        <v>18</v>
      </c>
      <c r="W20" s="19"/>
      <c r="X20" s="20"/>
    </row>
    <row r="21" spans="2:24" s="1" customFormat="1" ht="57" hidden="1" outlineLevel="1" x14ac:dyDescent="0.25">
      <c r="B21" s="1">
        <v>6</v>
      </c>
      <c r="C21" s="41" t="s">
        <v>33</v>
      </c>
      <c r="D21" s="14">
        <f t="shared" ref="D21:U21" si="7">+D22*D23</f>
        <v>0</v>
      </c>
      <c r="E21" s="15">
        <f t="shared" si="7"/>
        <v>0</v>
      </c>
      <c r="F21" s="16">
        <f t="shared" si="7"/>
        <v>0</v>
      </c>
      <c r="G21" s="17">
        <f t="shared" si="7"/>
        <v>0</v>
      </c>
      <c r="H21" s="15">
        <f t="shared" si="7"/>
        <v>2</v>
      </c>
      <c r="I21" s="14">
        <f t="shared" si="7"/>
        <v>0</v>
      </c>
      <c r="J21" s="14">
        <f t="shared" si="7"/>
        <v>0</v>
      </c>
      <c r="K21" s="17">
        <f t="shared" si="7"/>
        <v>2</v>
      </c>
      <c r="L21" s="15">
        <f t="shared" si="7"/>
        <v>0</v>
      </c>
      <c r="M21" s="14">
        <f t="shared" si="7"/>
        <v>0</v>
      </c>
      <c r="N21" s="15">
        <f t="shared" si="7"/>
        <v>2</v>
      </c>
      <c r="O21" s="17">
        <f t="shared" si="7"/>
        <v>2</v>
      </c>
      <c r="P21" s="18">
        <f t="shared" si="7"/>
        <v>1</v>
      </c>
      <c r="Q21" s="14">
        <f t="shared" si="7"/>
        <v>0</v>
      </c>
      <c r="R21" s="17">
        <f t="shared" si="7"/>
        <v>0</v>
      </c>
      <c r="S21" s="14">
        <f t="shared" si="7"/>
        <v>0</v>
      </c>
      <c r="T21" s="14">
        <f t="shared" si="7"/>
        <v>0</v>
      </c>
      <c r="U21" s="17">
        <f t="shared" si="7"/>
        <v>0</v>
      </c>
      <c r="V21" s="11">
        <f t="shared" si="1"/>
        <v>9</v>
      </c>
      <c r="W21" s="19">
        <f>V21/$V$150</f>
        <v>0.33410672853828305</v>
      </c>
      <c r="X21" s="20"/>
    </row>
    <row r="22" spans="2:24" s="1" customFormat="1" hidden="1" outlineLevel="1" x14ac:dyDescent="0.25">
      <c r="C22" s="41" t="s">
        <v>27</v>
      </c>
      <c r="D22" s="26"/>
      <c r="E22" s="23"/>
      <c r="F22" s="34"/>
      <c r="G22" s="25"/>
      <c r="H22" s="39">
        <v>2</v>
      </c>
      <c r="I22" s="26"/>
      <c r="J22" s="26"/>
      <c r="K22" s="25">
        <v>1</v>
      </c>
      <c r="L22" s="23"/>
      <c r="M22" s="26"/>
      <c r="N22" s="28">
        <v>2</v>
      </c>
      <c r="O22" s="25">
        <v>2</v>
      </c>
      <c r="P22" s="36">
        <v>1</v>
      </c>
      <c r="Q22" s="26"/>
      <c r="R22" s="31"/>
      <c r="S22" s="26"/>
      <c r="T22" s="26"/>
      <c r="U22" s="31"/>
      <c r="V22" s="11">
        <f t="shared" si="1"/>
        <v>8</v>
      </c>
      <c r="W22" s="19"/>
      <c r="X22" s="20"/>
    </row>
    <row r="23" spans="2:24" s="1" customFormat="1" hidden="1" outlineLevel="1" x14ac:dyDescent="0.25">
      <c r="C23" s="41" t="s">
        <v>28</v>
      </c>
      <c r="D23" s="26"/>
      <c r="E23" s="23"/>
      <c r="F23" s="34"/>
      <c r="G23" s="25"/>
      <c r="H23" s="39">
        <v>1</v>
      </c>
      <c r="I23" s="26"/>
      <c r="J23" s="26"/>
      <c r="K23" s="25">
        <v>2</v>
      </c>
      <c r="L23" s="23"/>
      <c r="M23" s="26"/>
      <c r="N23" s="28">
        <v>1</v>
      </c>
      <c r="O23" s="25">
        <v>1</v>
      </c>
      <c r="P23" s="36">
        <v>1</v>
      </c>
      <c r="Q23" s="26"/>
      <c r="R23" s="31"/>
      <c r="S23" s="26"/>
      <c r="T23" s="26"/>
      <c r="U23" s="31"/>
      <c r="V23" s="11">
        <f t="shared" si="1"/>
        <v>6</v>
      </c>
      <c r="W23" s="19"/>
      <c r="X23" s="20"/>
    </row>
    <row r="24" spans="2:24" s="1" customFormat="1" ht="42.75" hidden="1" outlineLevel="1" x14ac:dyDescent="0.25">
      <c r="B24" s="1">
        <v>7</v>
      </c>
      <c r="C24" s="41" t="s">
        <v>34</v>
      </c>
      <c r="D24" s="14">
        <f t="shared" ref="D24:U24" si="8">+D25*D26</f>
        <v>2</v>
      </c>
      <c r="E24" s="15">
        <f t="shared" si="8"/>
        <v>0</v>
      </c>
      <c r="F24" s="16">
        <f t="shared" si="8"/>
        <v>1</v>
      </c>
      <c r="G24" s="17">
        <f t="shared" si="8"/>
        <v>2</v>
      </c>
      <c r="H24" s="15">
        <f t="shared" si="8"/>
        <v>0</v>
      </c>
      <c r="I24" s="14">
        <f t="shared" si="8"/>
        <v>0</v>
      </c>
      <c r="J24" s="14">
        <f t="shared" si="8"/>
        <v>0</v>
      </c>
      <c r="K24" s="17">
        <f t="shared" si="8"/>
        <v>2</v>
      </c>
      <c r="L24" s="15">
        <f t="shared" si="8"/>
        <v>0</v>
      </c>
      <c r="M24" s="14">
        <f t="shared" si="8"/>
        <v>0</v>
      </c>
      <c r="N24" s="15">
        <f t="shared" si="8"/>
        <v>0</v>
      </c>
      <c r="O24" s="17">
        <f t="shared" si="8"/>
        <v>0</v>
      </c>
      <c r="P24" s="18">
        <f t="shared" si="8"/>
        <v>1</v>
      </c>
      <c r="Q24" s="14">
        <f t="shared" si="8"/>
        <v>0</v>
      </c>
      <c r="R24" s="17">
        <f t="shared" si="8"/>
        <v>0</v>
      </c>
      <c r="S24" s="14">
        <f t="shared" si="8"/>
        <v>0</v>
      </c>
      <c r="T24" s="14">
        <f t="shared" si="8"/>
        <v>0</v>
      </c>
      <c r="U24" s="17">
        <f t="shared" si="8"/>
        <v>0</v>
      </c>
      <c r="V24" s="11">
        <f t="shared" si="1"/>
        <v>8</v>
      </c>
      <c r="W24" s="19">
        <f>V24/$V$150</f>
        <v>0.29698375870069604</v>
      </c>
      <c r="X24" s="20"/>
    </row>
    <row r="25" spans="2:24" s="1" customFormat="1" hidden="1" outlineLevel="1" x14ac:dyDescent="0.25">
      <c r="C25" s="41" t="s">
        <v>27</v>
      </c>
      <c r="D25" s="29">
        <v>1</v>
      </c>
      <c r="E25" s="23"/>
      <c r="F25" s="24">
        <v>1</v>
      </c>
      <c r="G25" s="38">
        <v>2</v>
      </c>
      <c r="H25" s="23"/>
      <c r="I25" s="26"/>
      <c r="J25" s="26"/>
      <c r="K25" s="25">
        <v>2</v>
      </c>
      <c r="L25" s="23"/>
      <c r="M25" s="26"/>
      <c r="N25" s="23"/>
      <c r="O25" s="31"/>
      <c r="P25" s="30">
        <v>1</v>
      </c>
      <c r="Q25" s="26"/>
      <c r="R25" s="31"/>
      <c r="S25" s="26"/>
      <c r="T25" s="26"/>
      <c r="U25" s="25"/>
      <c r="V25" s="11">
        <f t="shared" si="1"/>
        <v>7</v>
      </c>
      <c r="W25" s="19"/>
      <c r="X25" s="20"/>
    </row>
    <row r="26" spans="2:24" s="1" customFormat="1" hidden="1" outlineLevel="1" x14ac:dyDescent="0.25">
      <c r="C26" s="41" t="s">
        <v>28</v>
      </c>
      <c r="D26" s="29">
        <v>2</v>
      </c>
      <c r="E26" s="23"/>
      <c r="F26" s="24">
        <v>1</v>
      </c>
      <c r="G26" s="38">
        <v>1</v>
      </c>
      <c r="H26" s="23"/>
      <c r="I26" s="26"/>
      <c r="J26" s="26"/>
      <c r="K26" s="25">
        <v>1</v>
      </c>
      <c r="L26" s="23"/>
      <c r="M26" s="26"/>
      <c r="N26" s="23"/>
      <c r="O26" s="31"/>
      <c r="P26" s="30">
        <v>1</v>
      </c>
      <c r="Q26" s="26"/>
      <c r="R26" s="31"/>
      <c r="S26" s="26"/>
      <c r="T26" s="26"/>
      <c r="U26" s="25"/>
      <c r="V26" s="11">
        <f t="shared" si="1"/>
        <v>6</v>
      </c>
      <c r="W26" s="19"/>
      <c r="X26" s="20"/>
    </row>
    <row r="27" spans="2:24" s="1" customFormat="1" ht="42.75" hidden="1" outlineLevel="1" x14ac:dyDescent="0.25">
      <c r="B27" s="1">
        <v>8</v>
      </c>
      <c r="C27" s="41" t="s">
        <v>35</v>
      </c>
      <c r="D27" s="14">
        <f t="shared" ref="D27:U27" si="9">+D28*D29</f>
        <v>2</v>
      </c>
      <c r="E27" s="15">
        <f t="shared" si="9"/>
        <v>0</v>
      </c>
      <c r="F27" s="16">
        <f t="shared" si="9"/>
        <v>1</v>
      </c>
      <c r="G27" s="17">
        <f t="shared" si="9"/>
        <v>2</v>
      </c>
      <c r="H27" s="15">
        <f t="shared" si="9"/>
        <v>0</v>
      </c>
      <c r="I27" s="14">
        <f t="shared" si="9"/>
        <v>0</v>
      </c>
      <c r="J27" s="14">
        <f t="shared" si="9"/>
        <v>1</v>
      </c>
      <c r="K27" s="17">
        <f t="shared" si="9"/>
        <v>2</v>
      </c>
      <c r="L27" s="15">
        <f t="shared" si="9"/>
        <v>0</v>
      </c>
      <c r="M27" s="14">
        <f t="shared" si="9"/>
        <v>0</v>
      </c>
      <c r="N27" s="15">
        <f t="shared" si="9"/>
        <v>1</v>
      </c>
      <c r="O27" s="17">
        <f t="shared" si="9"/>
        <v>1</v>
      </c>
      <c r="P27" s="18">
        <f t="shared" si="9"/>
        <v>0</v>
      </c>
      <c r="Q27" s="14">
        <f t="shared" si="9"/>
        <v>0</v>
      </c>
      <c r="R27" s="17">
        <f t="shared" si="9"/>
        <v>0</v>
      </c>
      <c r="S27" s="14">
        <f t="shared" si="9"/>
        <v>0</v>
      </c>
      <c r="T27" s="14">
        <f t="shared" si="9"/>
        <v>0</v>
      </c>
      <c r="U27" s="17">
        <f t="shared" si="9"/>
        <v>0</v>
      </c>
      <c r="V27" s="11">
        <f t="shared" si="1"/>
        <v>10</v>
      </c>
      <c r="W27" s="19">
        <f>V27/$V$150</f>
        <v>0.37122969837587005</v>
      </c>
      <c r="X27" s="20"/>
    </row>
    <row r="28" spans="2:24" s="1" customFormat="1" hidden="1" outlineLevel="1" x14ac:dyDescent="0.25">
      <c r="C28" s="41" t="s">
        <v>27</v>
      </c>
      <c r="D28" s="22">
        <v>1</v>
      </c>
      <c r="E28" s="23"/>
      <c r="F28" s="24">
        <v>1</v>
      </c>
      <c r="G28" s="24">
        <v>2</v>
      </c>
      <c r="H28" s="23"/>
      <c r="I28" s="26"/>
      <c r="J28" s="29">
        <v>1</v>
      </c>
      <c r="K28" s="25">
        <v>2</v>
      </c>
      <c r="L28" s="23"/>
      <c r="M28" s="26"/>
      <c r="N28" s="28">
        <v>1</v>
      </c>
      <c r="O28" s="25">
        <v>1</v>
      </c>
      <c r="P28" s="30"/>
      <c r="Q28" s="26"/>
      <c r="R28" s="31"/>
      <c r="S28" s="26"/>
      <c r="T28" s="26"/>
      <c r="U28" s="31"/>
      <c r="V28" s="11">
        <f t="shared" si="1"/>
        <v>9</v>
      </c>
      <c r="W28" s="19"/>
      <c r="X28" s="20"/>
    </row>
    <row r="29" spans="2:24" s="1" customFormat="1" hidden="1" outlineLevel="1" x14ac:dyDescent="0.25">
      <c r="C29" s="41" t="s">
        <v>28</v>
      </c>
      <c r="D29" s="22">
        <v>2</v>
      </c>
      <c r="E29" s="23"/>
      <c r="F29" s="24">
        <v>1</v>
      </c>
      <c r="G29" s="24">
        <v>1</v>
      </c>
      <c r="H29" s="23"/>
      <c r="I29" s="26"/>
      <c r="J29" s="29">
        <v>1</v>
      </c>
      <c r="K29" s="25">
        <v>1</v>
      </c>
      <c r="L29" s="23"/>
      <c r="M29" s="26"/>
      <c r="N29" s="28">
        <v>1</v>
      </c>
      <c r="O29" s="25">
        <v>1</v>
      </c>
      <c r="P29" s="30"/>
      <c r="Q29" s="26"/>
      <c r="R29" s="31"/>
      <c r="S29" s="26"/>
      <c r="T29" s="26"/>
      <c r="U29" s="31"/>
      <c r="V29" s="11">
        <f t="shared" si="1"/>
        <v>8</v>
      </c>
      <c r="W29" s="19"/>
      <c r="X29" s="20"/>
    </row>
    <row r="30" spans="2:24" s="1" customFormat="1" ht="57" hidden="1" outlineLevel="1" x14ac:dyDescent="0.25">
      <c r="B30" s="1">
        <v>9</v>
      </c>
      <c r="C30" s="41" t="s">
        <v>36</v>
      </c>
      <c r="D30" s="14">
        <f t="shared" ref="D30:U30" si="10">+D31*D32</f>
        <v>0</v>
      </c>
      <c r="E30" s="15">
        <f t="shared" si="10"/>
        <v>0</v>
      </c>
      <c r="F30" s="16">
        <f t="shared" si="10"/>
        <v>0</v>
      </c>
      <c r="G30" s="17">
        <f t="shared" si="10"/>
        <v>0</v>
      </c>
      <c r="H30" s="15">
        <f t="shared" si="10"/>
        <v>0</v>
      </c>
      <c r="I30" s="14">
        <f t="shared" si="10"/>
        <v>0</v>
      </c>
      <c r="J30" s="14">
        <f t="shared" si="10"/>
        <v>0</v>
      </c>
      <c r="K30" s="17">
        <f t="shared" si="10"/>
        <v>0</v>
      </c>
      <c r="L30" s="15">
        <f t="shared" si="10"/>
        <v>0</v>
      </c>
      <c r="M30" s="14">
        <f t="shared" si="10"/>
        <v>2</v>
      </c>
      <c r="N30" s="15">
        <f t="shared" si="10"/>
        <v>1</v>
      </c>
      <c r="O30" s="17">
        <f t="shared" si="10"/>
        <v>2</v>
      </c>
      <c r="P30" s="18">
        <f t="shared" si="10"/>
        <v>1</v>
      </c>
      <c r="Q30" s="14">
        <f t="shared" si="10"/>
        <v>1</v>
      </c>
      <c r="R30" s="17">
        <f t="shared" si="10"/>
        <v>1</v>
      </c>
      <c r="S30" s="14">
        <f t="shared" si="10"/>
        <v>4</v>
      </c>
      <c r="T30" s="14">
        <f t="shared" si="10"/>
        <v>2</v>
      </c>
      <c r="U30" s="17">
        <f t="shared" si="10"/>
        <v>4</v>
      </c>
      <c r="V30" s="11">
        <f t="shared" si="1"/>
        <v>18</v>
      </c>
      <c r="W30" s="19">
        <f>V30/$V$150</f>
        <v>0.6682134570765661</v>
      </c>
      <c r="X30" s="20"/>
    </row>
    <row r="31" spans="2:24" s="1" customFormat="1" hidden="1" outlineLevel="1" x14ac:dyDescent="0.25">
      <c r="C31" s="41" t="s">
        <v>27</v>
      </c>
      <c r="D31" s="26"/>
      <c r="E31" s="23"/>
      <c r="F31" s="34"/>
      <c r="G31" s="25"/>
      <c r="H31" s="23"/>
      <c r="I31" s="26"/>
      <c r="J31" s="26"/>
      <c r="K31" s="31"/>
      <c r="L31" s="23"/>
      <c r="M31" s="27">
        <v>2</v>
      </c>
      <c r="N31" s="28">
        <v>1</v>
      </c>
      <c r="O31" s="25">
        <v>2</v>
      </c>
      <c r="P31" s="36">
        <v>1</v>
      </c>
      <c r="Q31" s="29">
        <v>1</v>
      </c>
      <c r="R31" s="32">
        <v>1</v>
      </c>
      <c r="S31" s="27">
        <v>2</v>
      </c>
      <c r="T31" s="27">
        <v>2</v>
      </c>
      <c r="U31" s="32">
        <v>2</v>
      </c>
      <c r="V31" s="11">
        <f t="shared" si="1"/>
        <v>14</v>
      </c>
      <c r="W31" s="19"/>
      <c r="X31" s="20"/>
    </row>
    <row r="32" spans="2:24" s="1" customFormat="1" hidden="1" outlineLevel="1" x14ac:dyDescent="0.25">
      <c r="C32" s="41" t="s">
        <v>28</v>
      </c>
      <c r="D32" s="26"/>
      <c r="E32" s="23"/>
      <c r="F32" s="34"/>
      <c r="G32" s="25"/>
      <c r="H32" s="23"/>
      <c r="I32" s="26"/>
      <c r="J32" s="26"/>
      <c r="K32" s="31"/>
      <c r="L32" s="23"/>
      <c r="M32" s="27">
        <v>1</v>
      </c>
      <c r="N32" s="28">
        <v>1</v>
      </c>
      <c r="O32" s="25">
        <v>1</v>
      </c>
      <c r="P32" s="36">
        <v>1</v>
      </c>
      <c r="Q32" s="29">
        <v>1</v>
      </c>
      <c r="R32" s="32">
        <v>1</v>
      </c>
      <c r="S32" s="27">
        <v>2</v>
      </c>
      <c r="T32" s="27">
        <v>1</v>
      </c>
      <c r="U32" s="32">
        <v>2</v>
      </c>
      <c r="V32" s="11">
        <f t="shared" si="1"/>
        <v>11</v>
      </c>
      <c r="W32" s="19"/>
      <c r="X32" s="20"/>
    </row>
    <row r="33" spans="2:24" s="1" customFormat="1" ht="114" hidden="1" outlineLevel="1" x14ac:dyDescent="0.25">
      <c r="B33" s="1">
        <v>10</v>
      </c>
      <c r="C33" s="41" t="s">
        <v>37</v>
      </c>
      <c r="D33" s="14">
        <f t="shared" ref="D33:U33" si="11">+D34*D35</f>
        <v>2</v>
      </c>
      <c r="E33" s="15">
        <f t="shared" si="11"/>
        <v>0</v>
      </c>
      <c r="F33" s="16">
        <f t="shared" si="11"/>
        <v>1</v>
      </c>
      <c r="G33" s="17">
        <f t="shared" si="11"/>
        <v>0</v>
      </c>
      <c r="H33" s="15">
        <f t="shared" si="11"/>
        <v>0</v>
      </c>
      <c r="I33" s="14">
        <f t="shared" si="11"/>
        <v>0</v>
      </c>
      <c r="J33" s="14">
        <f t="shared" si="11"/>
        <v>1</v>
      </c>
      <c r="K33" s="17">
        <f t="shared" si="11"/>
        <v>0</v>
      </c>
      <c r="L33" s="15">
        <f t="shared" si="11"/>
        <v>0</v>
      </c>
      <c r="M33" s="14">
        <f t="shared" si="11"/>
        <v>4</v>
      </c>
      <c r="N33" s="15">
        <f t="shared" si="11"/>
        <v>4</v>
      </c>
      <c r="O33" s="17">
        <f t="shared" si="11"/>
        <v>4</v>
      </c>
      <c r="P33" s="18">
        <f t="shared" si="11"/>
        <v>0</v>
      </c>
      <c r="Q33" s="14">
        <f t="shared" si="11"/>
        <v>0</v>
      </c>
      <c r="R33" s="17">
        <f t="shared" si="11"/>
        <v>0</v>
      </c>
      <c r="S33" s="14">
        <f t="shared" si="11"/>
        <v>2</v>
      </c>
      <c r="T33" s="14">
        <f t="shared" si="11"/>
        <v>4</v>
      </c>
      <c r="U33" s="17">
        <f t="shared" si="11"/>
        <v>0</v>
      </c>
      <c r="V33" s="11">
        <f t="shared" si="1"/>
        <v>22</v>
      </c>
      <c r="W33" s="19">
        <f>V33/$V$150</f>
        <v>0.81670533642691412</v>
      </c>
      <c r="X33" s="20"/>
    </row>
    <row r="34" spans="2:24" s="1" customFormat="1" hidden="1" outlineLevel="1" x14ac:dyDescent="0.25">
      <c r="C34" s="41" t="s">
        <v>27</v>
      </c>
      <c r="D34" s="22">
        <v>1</v>
      </c>
      <c r="E34" s="28"/>
      <c r="F34" s="40">
        <v>1</v>
      </c>
      <c r="G34" s="31"/>
      <c r="H34" s="23"/>
      <c r="I34" s="26"/>
      <c r="J34" s="29">
        <v>1</v>
      </c>
      <c r="K34" s="31"/>
      <c r="L34" s="23"/>
      <c r="M34" s="27">
        <v>2</v>
      </c>
      <c r="N34" s="28">
        <v>2</v>
      </c>
      <c r="O34" s="25">
        <v>2</v>
      </c>
      <c r="P34" s="36"/>
      <c r="Q34" s="27"/>
      <c r="R34" s="25"/>
      <c r="S34" s="27">
        <v>1</v>
      </c>
      <c r="T34" s="27">
        <v>2</v>
      </c>
      <c r="U34" s="31"/>
      <c r="V34" s="11">
        <f t="shared" si="1"/>
        <v>12</v>
      </c>
      <c r="W34" s="19"/>
      <c r="X34" s="20"/>
    </row>
    <row r="35" spans="2:24" s="1" customFormat="1" hidden="1" outlineLevel="1" x14ac:dyDescent="0.25">
      <c r="C35" s="41" t="s">
        <v>28</v>
      </c>
      <c r="D35" s="22">
        <v>2</v>
      </c>
      <c r="E35" s="28"/>
      <c r="F35" s="40">
        <v>1</v>
      </c>
      <c r="G35" s="31"/>
      <c r="H35" s="23"/>
      <c r="I35" s="26"/>
      <c r="J35" s="29">
        <v>1</v>
      </c>
      <c r="K35" s="31"/>
      <c r="L35" s="23"/>
      <c r="M35" s="27">
        <v>2</v>
      </c>
      <c r="N35" s="28">
        <v>2</v>
      </c>
      <c r="O35" s="25">
        <v>2</v>
      </c>
      <c r="P35" s="36"/>
      <c r="Q35" s="27"/>
      <c r="R35" s="25"/>
      <c r="S35" s="27">
        <v>2</v>
      </c>
      <c r="T35" s="27">
        <v>2</v>
      </c>
      <c r="U35" s="31"/>
      <c r="V35" s="11">
        <f t="shared" si="1"/>
        <v>14</v>
      </c>
      <c r="W35" s="19"/>
      <c r="X35" s="20"/>
    </row>
    <row r="36" spans="2:24" s="1" customFormat="1" ht="85.5" hidden="1" outlineLevel="1" x14ac:dyDescent="0.25">
      <c r="B36" s="1">
        <v>11</v>
      </c>
      <c r="C36" s="41" t="s">
        <v>38</v>
      </c>
      <c r="D36" s="14">
        <f t="shared" ref="D36:U36" si="12">+D37*D38</f>
        <v>2</v>
      </c>
      <c r="E36" s="15">
        <f t="shared" si="12"/>
        <v>0</v>
      </c>
      <c r="F36" s="16">
        <f t="shared" si="12"/>
        <v>1</v>
      </c>
      <c r="G36" s="17">
        <f t="shared" si="12"/>
        <v>0</v>
      </c>
      <c r="H36" s="15">
        <f t="shared" si="12"/>
        <v>0</v>
      </c>
      <c r="I36" s="14">
        <f t="shared" si="12"/>
        <v>0</v>
      </c>
      <c r="J36" s="14">
        <f t="shared" si="12"/>
        <v>0</v>
      </c>
      <c r="K36" s="17">
        <f t="shared" si="12"/>
        <v>0</v>
      </c>
      <c r="L36" s="15">
        <f t="shared" si="12"/>
        <v>4</v>
      </c>
      <c r="M36" s="14">
        <f t="shared" si="12"/>
        <v>0</v>
      </c>
      <c r="N36" s="15">
        <f t="shared" si="12"/>
        <v>1</v>
      </c>
      <c r="O36" s="17">
        <f t="shared" si="12"/>
        <v>4</v>
      </c>
      <c r="P36" s="18">
        <f t="shared" si="12"/>
        <v>1</v>
      </c>
      <c r="Q36" s="14">
        <f t="shared" si="12"/>
        <v>0</v>
      </c>
      <c r="R36" s="17">
        <f t="shared" si="12"/>
        <v>0</v>
      </c>
      <c r="S36" s="14">
        <f t="shared" si="12"/>
        <v>2</v>
      </c>
      <c r="T36" s="14">
        <f t="shared" si="12"/>
        <v>0</v>
      </c>
      <c r="U36" s="17">
        <f t="shared" si="12"/>
        <v>0</v>
      </c>
      <c r="V36" s="11">
        <f t="shared" si="1"/>
        <v>15</v>
      </c>
      <c r="W36" s="19">
        <f>V36/$V$150</f>
        <v>0.55684454756380508</v>
      </c>
      <c r="X36" s="20"/>
    </row>
    <row r="37" spans="2:24" s="1" customFormat="1" hidden="1" outlineLevel="1" x14ac:dyDescent="0.25">
      <c r="C37" s="41" t="s">
        <v>27</v>
      </c>
      <c r="D37" s="22">
        <v>1</v>
      </c>
      <c r="E37" s="23"/>
      <c r="F37" s="40">
        <v>1</v>
      </c>
      <c r="G37" s="31"/>
      <c r="H37" s="23"/>
      <c r="I37" s="26"/>
      <c r="J37" s="27"/>
      <c r="K37" s="25"/>
      <c r="L37" s="28">
        <v>2</v>
      </c>
      <c r="M37" s="27"/>
      <c r="N37" s="28">
        <v>1</v>
      </c>
      <c r="O37" s="25">
        <v>2</v>
      </c>
      <c r="P37" s="36">
        <v>1</v>
      </c>
      <c r="Q37" s="26"/>
      <c r="R37" s="31"/>
      <c r="S37" s="27">
        <v>2</v>
      </c>
      <c r="T37" s="27"/>
      <c r="U37" s="31"/>
      <c r="V37" s="11">
        <f t="shared" si="1"/>
        <v>10</v>
      </c>
      <c r="W37" s="19"/>
      <c r="X37" s="20"/>
    </row>
    <row r="38" spans="2:24" s="1" customFormat="1" hidden="1" outlineLevel="1" x14ac:dyDescent="0.25">
      <c r="C38" s="41" t="s">
        <v>28</v>
      </c>
      <c r="D38" s="22">
        <v>2</v>
      </c>
      <c r="E38" s="23"/>
      <c r="F38" s="40">
        <v>1</v>
      </c>
      <c r="G38" s="31"/>
      <c r="H38" s="23"/>
      <c r="I38" s="26"/>
      <c r="J38" s="27"/>
      <c r="K38" s="25"/>
      <c r="L38" s="28">
        <v>2</v>
      </c>
      <c r="M38" s="27"/>
      <c r="N38" s="28">
        <v>1</v>
      </c>
      <c r="O38" s="25">
        <v>2</v>
      </c>
      <c r="P38" s="36">
        <v>1</v>
      </c>
      <c r="Q38" s="26"/>
      <c r="R38" s="31"/>
      <c r="S38" s="27">
        <v>1</v>
      </c>
      <c r="T38" s="27"/>
      <c r="U38" s="31"/>
      <c r="V38" s="11">
        <f t="shared" si="1"/>
        <v>10</v>
      </c>
      <c r="W38" s="19"/>
      <c r="X38" s="20"/>
    </row>
    <row r="39" spans="2:24" s="1" customFormat="1" ht="71.25" hidden="1" outlineLevel="1" x14ac:dyDescent="0.25">
      <c r="B39" s="1">
        <v>12</v>
      </c>
      <c r="C39" s="41" t="s">
        <v>39</v>
      </c>
      <c r="D39" s="14">
        <f t="shared" ref="D39:U39" si="13">+D40*D41</f>
        <v>0</v>
      </c>
      <c r="E39" s="15">
        <f t="shared" si="13"/>
        <v>0</v>
      </c>
      <c r="F39" s="16">
        <f t="shared" si="13"/>
        <v>0</v>
      </c>
      <c r="G39" s="17">
        <f t="shared" si="13"/>
        <v>0</v>
      </c>
      <c r="H39" s="15">
        <f t="shared" si="13"/>
        <v>0</v>
      </c>
      <c r="I39" s="14">
        <f t="shared" si="13"/>
        <v>4</v>
      </c>
      <c r="J39" s="14">
        <f t="shared" si="13"/>
        <v>4</v>
      </c>
      <c r="K39" s="17">
        <f t="shared" si="13"/>
        <v>2</v>
      </c>
      <c r="L39" s="15">
        <f t="shared" si="13"/>
        <v>4</v>
      </c>
      <c r="M39" s="14">
        <f t="shared" si="13"/>
        <v>1</v>
      </c>
      <c r="N39" s="15">
        <f t="shared" si="13"/>
        <v>0</v>
      </c>
      <c r="O39" s="17">
        <f t="shared" si="13"/>
        <v>4</v>
      </c>
      <c r="P39" s="18">
        <f t="shared" si="13"/>
        <v>1</v>
      </c>
      <c r="Q39" s="14">
        <f t="shared" si="13"/>
        <v>0</v>
      </c>
      <c r="R39" s="17">
        <f t="shared" si="13"/>
        <v>0</v>
      </c>
      <c r="S39" s="14">
        <f t="shared" si="13"/>
        <v>4</v>
      </c>
      <c r="T39" s="14">
        <f t="shared" si="13"/>
        <v>0</v>
      </c>
      <c r="U39" s="17">
        <f t="shared" si="13"/>
        <v>0</v>
      </c>
      <c r="V39" s="11">
        <f t="shared" si="1"/>
        <v>24</v>
      </c>
      <c r="W39" s="19">
        <f>V39/$V$150</f>
        <v>0.89095127610208813</v>
      </c>
      <c r="X39" s="20"/>
    </row>
    <row r="40" spans="2:24" s="1" customFormat="1" hidden="1" outlineLevel="1" x14ac:dyDescent="0.25">
      <c r="C40" s="41" t="s">
        <v>27</v>
      </c>
      <c r="D40" s="26"/>
      <c r="E40" s="23"/>
      <c r="F40" s="34"/>
      <c r="G40" s="31"/>
      <c r="H40" s="23"/>
      <c r="I40" s="26">
        <v>2</v>
      </c>
      <c r="J40" s="27">
        <v>2</v>
      </c>
      <c r="K40" s="25">
        <v>1</v>
      </c>
      <c r="L40" s="28">
        <v>2</v>
      </c>
      <c r="M40" s="28">
        <v>1</v>
      </c>
      <c r="N40" s="28"/>
      <c r="O40" s="25">
        <v>2</v>
      </c>
      <c r="P40" s="36">
        <v>1</v>
      </c>
      <c r="Q40" s="26"/>
      <c r="R40" s="31"/>
      <c r="S40" s="27">
        <v>2</v>
      </c>
      <c r="T40" s="27"/>
      <c r="U40" s="31"/>
      <c r="V40" s="11">
        <f t="shared" si="1"/>
        <v>13</v>
      </c>
      <c r="W40" s="19"/>
      <c r="X40" s="20"/>
    </row>
    <row r="41" spans="2:24" s="1" customFormat="1" hidden="1" outlineLevel="1" x14ac:dyDescent="0.25">
      <c r="C41" s="41" t="s">
        <v>28</v>
      </c>
      <c r="D41" s="26"/>
      <c r="E41" s="23"/>
      <c r="F41" s="34"/>
      <c r="G41" s="31"/>
      <c r="H41" s="23"/>
      <c r="I41" s="26">
        <v>2</v>
      </c>
      <c r="J41" s="27">
        <v>2</v>
      </c>
      <c r="K41" s="25">
        <v>2</v>
      </c>
      <c r="L41" s="28">
        <v>2</v>
      </c>
      <c r="M41" s="27">
        <v>1</v>
      </c>
      <c r="N41" s="28"/>
      <c r="O41" s="25">
        <v>2</v>
      </c>
      <c r="P41" s="36">
        <v>1</v>
      </c>
      <c r="Q41" s="26"/>
      <c r="R41" s="31"/>
      <c r="S41" s="27">
        <v>2</v>
      </c>
      <c r="T41" s="27"/>
      <c r="U41" s="31"/>
      <c r="V41" s="11">
        <f t="shared" si="1"/>
        <v>14</v>
      </c>
      <c r="W41" s="19"/>
      <c r="X41" s="20"/>
    </row>
    <row r="42" spans="2:24" s="1" customFormat="1" ht="171" hidden="1" outlineLevel="1" x14ac:dyDescent="0.25">
      <c r="B42" s="1">
        <v>13</v>
      </c>
      <c r="C42" s="41" t="s">
        <v>40</v>
      </c>
      <c r="D42" s="14">
        <f t="shared" ref="D42:U42" si="14">+D43*D44</f>
        <v>0</v>
      </c>
      <c r="E42" s="15">
        <f t="shared" si="14"/>
        <v>0</v>
      </c>
      <c r="F42" s="16">
        <f t="shared" si="14"/>
        <v>0</v>
      </c>
      <c r="G42" s="17">
        <f t="shared" si="14"/>
        <v>0</v>
      </c>
      <c r="H42" s="15">
        <f t="shared" si="14"/>
        <v>0</v>
      </c>
      <c r="I42" s="14">
        <f t="shared" si="14"/>
        <v>2</v>
      </c>
      <c r="J42" s="14">
        <f t="shared" si="14"/>
        <v>0</v>
      </c>
      <c r="K42" s="17">
        <f t="shared" si="14"/>
        <v>0</v>
      </c>
      <c r="L42" s="15">
        <f t="shared" si="14"/>
        <v>0</v>
      </c>
      <c r="M42" s="14">
        <f t="shared" si="14"/>
        <v>0</v>
      </c>
      <c r="N42" s="15">
        <f t="shared" si="14"/>
        <v>1</v>
      </c>
      <c r="O42" s="17">
        <f t="shared" si="14"/>
        <v>2</v>
      </c>
      <c r="P42" s="18">
        <f t="shared" si="14"/>
        <v>0</v>
      </c>
      <c r="Q42" s="14">
        <f t="shared" si="14"/>
        <v>0</v>
      </c>
      <c r="R42" s="17">
        <f t="shared" si="14"/>
        <v>0</v>
      </c>
      <c r="S42" s="14">
        <f t="shared" si="14"/>
        <v>2</v>
      </c>
      <c r="T42" s="14">
        <f t="shared" si="14"/>
        <v>0</v>
      </c>
      <c r="U42" s="17">
        <f t="shared" si="14"/>
        <v>0</v>
      </c>
      <c r="V42" s="11">
        <f t="shared" si="1"/>
        <v>7</v>
      </c>
      <c r="W42" s="19">
        <f>V42/$V$150</f>
        <v>0.25986078886310904</v>
      </c>
      <c r="X42" s="20"/>
    </row>
    <row r="43" spans="2:24" s="1" customFormat="1" hidden="1" outlineLevel="1" x14ac:dyDescent="0.25">
      <c r="C43" s="41" t="s">
        <v>27</v>
      </c>
      <c r="D43" s="26"/>
      <c r="E43" s="23"/>
      <c r="F43" s="34"/>
      <c r="G43" s="31"/>
      <c r="H43" s="23"/>
      <c r="I43" s="29">
        <v>1</v>
      </c>
      <c r="J43" s="27"/>
      <c r="K43" s="25"/>
      <c r="L43" s="28"/>
      <c r="M43" s="27"/>
      <c r="N43" s="28">
        <v>1</v>
      </c>
      <c r="O43" s="25">
        <v>2</v>
      </c>
      <c r="P43" s="30"/>
      <c r="Q43" s="26"/>
      <c r="R43" s="31"/>
      <c r="S43" s="27">
        <v>1</v>
      </c>
      <c r="T43" s="26"/>
      <c r="U43" s="31"/>
      <c r="V43" s="11">
        <f t="shared" si="1"/>
        <v>5</v>
      </c>
      <c r="W43" s="19"/>
      <c r="X43" s="20"/>
    </row>
    <row r="44" spans="2:24" s="1" customFormat="1" hidden="1" outlineLevel="1" x14ac:dyDescent="0.25">
      <c r="C44" s="41" t="s">
        <v>28</v>
      </c>
      <c r="D44" s="26"/>
      <c r="E44" s="23"/>
      <c r="F44" s="34"/>
      <c r="G44" s="31"/>
      <c r="H44" s="23"/>
      <c r="I44" s="29">
        <v>2</v>
      </c>
      <c r="J44" s="27"/>
      <c r="K44" s="25"/>
      <c r="L44" s="28"/>
      <c r="M44" s="27"/>
      <c r="N44" s="28">
        <v>1</v>
      </c>
      <c r="O44" s="25">
        <v>1</v>
      </c>
      <c r="P44" s="30"/>
      <c r="Q44" s="26"/>
      <c r="R44" s="31"/>
      <c r="S44" s="27">
        <v>2</v>
      </c>
      <c r="T44" s="26"/>
      <c r="U44" s="31"/>
      <c r="V44" s="11">
        <f t="shared" si="1"/>
        <v>6</v>
      </c>
      <c r="W44" s="19"/>
      <c r="X44" s="20"/>
    </row>
    <row r="45" spans="2:24" s="1" customFormat="1" ht="71.25" hidden="1" outlineLevel="1" x14ac:dyDescent="0.25">
      <c r="B45" s="1">
        <v>14</v>
      </c>
      <c r="C45" s="41" t="s">
        <v>41</v>
      </c>
      <c r="D45" s="14">
        <f t="shared" ref="D45:U45" si="15">+D46*D47</f>
        <v>1</v>
      </c>
      <c r="E45" s="15">
        <f t="shared" si="15"/>
        <v>0</v>
      </c>
      <c r="F45" s="16">
        <f t="shared" si="15"/>
        <v>2</v>
      </c>
      <c r="G45" s="17">
        <f t="shared" si="15"/>
        <v>2</v>
      </c>
      <c r="H45" s="15">
        <f t="shared" si="15"/>
        <v>0</v>
      </c>
      <c r="I45" s="14">
        <f t="shared" si="15"/>
        <v>0</v>
      </c>
      <c r="J45" s="14">
        <f t="shared" si="15"/>
        <v>0</v>
      </c>
      <c r="K45" s="17">
        <f t="shared" si="15"/>
        <v>0</v>
      </c>
      <c r="L45" s="15">
        <f t="shared" si="15"/>
        <v>0</v>
      </c>
      <c r="M45" s="14">
        <f t="shared" si="15"/>
        <v>1</v>
      </c>
      <c r="N45" s="15">
        <f t="shared" si="15"/>
        <v>2</v>
      </c>
      <c r="O45" s="17">
        <f t="shared" si="15"/>
        <v>1</v>
      </c>
      <c r="P45" s="18">
        <f t="shared" si="15"/>
        <v>0</v>
      </c>
      <c r="Q45" s="14">
        <f t="shared" si="15"/>
        <v>0</v>
      </c>
      <c r="R45" s="17">
        <f t="shared" si="15"/>
        <v>2</v>
      </c>
      <c r="S45" s="14">
        <f t="shared" si="15"/>
        <v>1</v>
      </c>
      <c r="T45" s="14">
        <f t="shared" si="15"/>
        <v>1</v>
      </c>
      <c r="U45" s="17">
        <f t="shared" si="15"/>
        <v>0</v>
      </c>
      <c r="V45" s="11">
        <f t="shared" si="1"/>
        <v>13</v>
      </c>
      <c r="W45" s="19">
        <f>V45/$V$150</f>
        <v>0.48259860788863107</v>
      </c>
      <c r="X45" s="20"/>
    </row>
    <row r="46" spans="2:24" s="1" customFormat="1" hidden="1" outlineLevel="1" x14ac:dyDescent="0.25">
      <c r="C46" s="41" t="s">
        <v>27</v>
      </c>
      <c r="D46" s="22">
        <v>1</v>
      </c>
      <c r="E46" s="23"/>
      <c r="F46" s="40">
        <v>1</v>
      </c>
      <c r="G46" s="32">
        <v>2</v>
      </c>
      <c r="H46" s="23"/>
      <c r="I46" s="26"/>
      <c r="J46" s="27"/>
      <c r="K46" s="25"/>
      <c r="L46" s="28"/>
      <c r="M46" s="27">
        <v>1</v>
      </c>
      <c r="N46" s="28">
        <v>2</v>
      </c>
      <c r="O46" s="25">
        <v>1</v>
      </c>
      <c r="P46" s="36"/>
      <c r="Q46" s="27"/>
      <c r="R46" s="32">
        <v>1</v>
      </c>
      <c r="S46" s="27">
        <v>1</v>
      </c>
      <c r="T46" s="27">
        <v>1</v>
      </c>
      <c r="U46" s="25"/>
      <c r="V46" s="11">
        <f t="shared" si="1"/>
        <v>11</v>
      </c>
      <c r="W46" s="19"/>
      <c r="X46" s="20"/>
    </row>
    <row r="47" spans="2:24" s="1" customFormat="1" hidden="1" outlineLevel="1" x14ac:dyDescent="0.25">
      <c r="C47" s="41" t="s">
        <v>28</v>
      </c>
      <c r="D47" s="22">
        <v>1</v>
      </c>
      <c r="E47" s="23"/>
      <c r="F47" s="40">
        <v>2</v>
      </c>
      <c r="G47" s="32">
        <v>1</v>
      </c>
      <c r="H47" s="23"/>
      <c r="I47" s="26"/>
      <c r="J47" s="27"/>
      <c r="K47" s="25"/>
      <c r="L47" s="28"/>
      <c r="M47" s="27">
        <v>1</v>
      </c>
      <c r="N47" s="28">
        <v>1</v>
      </c>
      <c r="O47" s="25">
        <v>1</v>
      </c>
      <c r="P47" s="36"/>
      <c r="Q47" s="27"/>
      <c r="R47" s="32">
        <v>2</v>
      </c>
      <c r="S47" s="27">
        <v>1</v>
      </c>
      <c r="T47" s="27">
        <v>1</v>
      </c>
      <c r="U47" s="25"/>
      <c r="V47" s="11">
        <f t="shared" si="1"/>
        <v>11</v>
      </c>
      <c r="W47" s="19"/>
      <c r="X47" s="20"/>
    </row>
    <row r="48" spans="2:24" s="1" customFormat="1" ht="57" hidden="1" outlineLevel="1" x14ac:dyDescent="0.25">
      <c r="B48" s="1">
        <v>15</v>
      </c>
      <c r="C48" s="41" t="s">
        <v>42</v>
      </c>
      <c r="D48" s="14">
        <f t="shared" ref="D48:U48" si="16">+D49*D50</f>
        <v>0</v>
      </c>
      <c r="E48" s="15">
        <f t="shared" si="16"/>
        <v>0</v>
      </c>
      <c r="F48" s="16">
        <f t="shared" si="16"/>
        <v>0</v>
      </c>
      <c r="G48" s="17">
        <f t="shared" si="16"/>
        <v>0</v>
      </c>
      <c r="H48" s="15">
        <f t="shared" si="16"/>
        <v>0</v>
      </c>
      <c r="I48" s="14">
        <f t="shared" si="16"/>
        <v>0</v>
      </c>
      <c r="J48" s="14">
        <f t="shared" si="16"/>
        <v>0</v>
      </c>
      <c r="K48" s="17">
        <f t="shared" si="16"/>
        <v>0</v>
      </c>
      <c r="L48" s="15">
        <f t="shared" si="16"/>
        <v>2</v>
      </c>
      <c r="M48" s="14">
        <f t="shared" si="16"/>
        <v>0</v>
      </c>
      <c r="N48" s="15">
        <f t="shared" si="16"/>
        <v>0</v>
      </c>
      <c r="O48" s="17">
        <f t="shared" si="16"/>
        <v>2</v>
      </c>
      <c r="P48" s="18">
        <f t="shared" si="16"/>
        <v>0</v>
      </c>
      <c r="Q48" s="14">
        <f t="shared" si="16"/>
        <v>0</v>
      </c>
      <c r="R48" s="17">
        <f t="shared" si="16"/>
        <v>0</v>
      </c>
      <c r="S48" s="14">
        <f t="shared" si="16"/>
        <v>2</v>
      </c>
      <c r="T48" s="14">
        <f t="shared" si="16"/>
        <v>0</v>
      </c>
      <c r="U48" s="17">
        <f t="shared" si="16"/>
        <v>0</v>
      </c>
      <c r="V48" s="11">
        <f t="shared" si="1"/>
        <v>6</v>
      </c>
      <c r="W48" s="19">
        <f>V48/$V$150</f>
        <v>0.22273781902552203</v>
      </c>
      <c r="X48" s="20"/>
    </row>
    <row r="49" spans="2:24" s="1" customFormat="1" hidden="1" outlineLevel="1" x14ac:dyDescent="0.25">
      <c r="C49" s="41" t="s">
        <v>27</v>
      </c>
      <c r="D49" s="26"/>
      <c r="E49" s="23"/>
      <c r="F49" s="34"/>
      <c r="G49" s="31"/>
      <c r="H49" s="23"/>
      <c r="I49" s="26"/>
      <c r="J49" s="27"/>
      <c r="K49" s="25"/>
      <c r="L49" s="28">
        <v>2</v>
      </c>
      <c r="M49" s="27"/>
      <c r="N49" s="28"/>
      <c r="O49" s="25">
        <v>2</v>
      </c>
      <c r="P49" s="36"/>
      <c r="Q49" s="27"/>
      <c r="R49" s="25"/>
      <c r="S49" s="27">
        <v>2</v>
      </c>
      <c r="T49" s="27"/>
      <c r="U49" s="25"/>
      <c r="V49" s="11">
        <f t="shared" si="1"/>
        <v>6</v>
      </c>
      <c r="W49" s="19"/>
      <c r="X49" s="20"/>
    </row>
    <row r="50" spans="2:24" s="1" customFormat="1" hidden="1" outlineLevel="1" x14ac:dyDescent="0.25">
      <c r="C50" s="41" t="s">
        <v>28</v>
      </c>
      <c r="D50" s="26"/>
      <c r="E50" s="23"/>
      <c r="F50" s="34"/>
      <c r="G50" s="31"/>
      <c r="H50" s="23"/>
      <c r="I50" s="26"/>
      <c r="J50" s="27"/>
      <c r="K50" s="25"/>
      <c r="L50" s="28">
        <v>1</v>
      </c>
      <c r="M50" s="27"/>
      <c r="N50" s="28"/>
      <c r="O50" s="25">
        <v>1</v>
      </c>
      <c r="P50" s="36"/>
      <c r="Q50" s="27"/>
      <c r="R50" s="25"/>
      <c r="S50" s="27">
        <v>1</v>
      </c>
      <c r="T50" s="27"/>
      <c r="U50" s="25"/>
      <c r="V50" s="11">
        <f t="shared" si="1"/>
        <v>3</v>
      </c>
      <c r="W50" s="19"/>
      <c r="X50" s="20"/>
    </row>
    <row r="51" spans="2:24" s="1" customFormat="1" ht="42.75" hidden="1" outlineLevel="1" x14ac:dyDescent="0.25">
      <c r="B51" s="1">
        <v>16</v>
      </c>
      <c r="C51" s="41" t="s">
        <v>43</v>
      </c>
      <c r="D51" s="14">
        <f t="shared" ref="D51:U51" si="17">+D52*D53</f>
        <v>0</v>
      </c>
      <c r="E51" s="15">
        <f t="shared" si="17"/>
        <v>0</v>
      </c>
      <c r="F51" s="16">
        <f t="shared" si="17"/>
        <v>0</v>
      </c>
      <c r="G51" s="17">
        <f t="shared" si="17"/>
        <v>0</v>
      </c>
      <c r="H51" s="15">
        <f t="shared" si="17"/>
        <v>0</v>
      </c>
      <c r="I51" s="14">
        <f t="shared" si="17"/>
        <v>0</v>
      </c>
      <c r="J51" s="14">
        <f t="shared" si="17"/>
        <v>0</v>
      </c>
      <c r="K51" s="17">
        <f t="shared" si="17"/>
        <v>0</v>
      </c>
      <c r="L51" s="15">
        <f t="shared" si="17"/>
        <v>0</v>
      </c>
      <c r="M51" s="14">
        <f t="shared" si="17"/>
        <v>0</v>
      </c>
      <c r="N51" s="15">
        <f t="shared" si="17"/>
        <v>2</v>
      </c>
      <c r="O51" s="17">
        <f t="shared" si="17"/>
        <v>2</v>
      </c>
      <c r="P51" s="18">
        <f t="shared" si="17"/>
        <v>0</v>
      </c>
      <c r="Q51" s="14">
        <f t="shared" si="17"/>
        <v>1</v>
      </c>
      <c r="R51" s="17">
        <f t="shared" si="17"/>
        <v>0</v>
      </c>
      <c r="S51" s="14">
        <f t="shared" si="17"/>
        <v>0</v>
      </c>
      <c r="T51" s="14">
        <f t="shared" si="17"/>
        <v>0</v>
      </c>
      <c r="U51" s="17">
        <f t="shared" si="17"/>
        <v>2</v>
      </c>
      <c r="V51" s="11">
        <f t="shared" si="1"/>
        <v>7</v>
      </c>
      <c r="W51" s="19">
        <f>V51/$V$150</f>
        <v>0.25986078886310904</v>
      </c>
      <c r="X51" s="20"/>
    </row>
    <row r="52" spans="2:24" s="1" customFormat="1" hidden="1" outlineLevel="1" x14ac:dyDescent="0.25">
      <c r="C52" s="41" t="s">
        <v>27</v>
      </c>
      <c r="D52" s="26"/>
      <c r="E52" s="23"/>
      <c r="F52" s="34"/>
      <c r="G52" s="31"/>
      <c r="H52" s="23"/>
      <c r="I52" s="26"/>
      <c r="J52" s="26"/>
      <c r="K52" s="31"/>
      <c r="L52" s="23"/>
      <c r="M52" s="26"/>
      <c r="N52" s="28">
        <v>2</v>
      </c>
      <c r="O52" s="25">
        <v>2</v>
      </c>
      <c r="P52" s="30"/>
      <c r="Q52" s="27">
        <v>1</v>
      </c>
      <c r="R52" s="31"/>
      <c r="S52" s="26"/>
      <c r="T52" s="26"/>
      <c r="U52" s="38">
        <v>1</v>
      </c>
      <c r="V52" s="11">
        <f t="shared" si="1"/>
        <v>6</v>
      </c>
      <c r="W52" s="19"/>
      <c r="X52" s="20"/>
    </row>
    <row r="53" spans="2:24" s="1" customFormat="1" hidden="1" outlineLevel="1" x14ac:dyDescent="0.25">
      <c r="C53" s="41" t="s">
        <v>28</v>
      </c>
      <c r="D53" s="26"/>
      <c r="E53" s="23"/>
      <c r="F53" s="34"/>
      <c r="G53" s="31"/>
      <c r="H53" s="23"/>
      <c r="I53" s="26"/>
      <c r="J53" s="26"/>
      <c r="K53" s="31"/>
      <c r="L53" s="23"/>
      <c r="M53" s="26"/>
      <c r="N53" s="28">
        <v>1</v>
      </c>
      <c r="O53" s="25">
        <v>1</v>
      </c>
      <c r="P53" s="30"/>
      <c r="Q53" s="27">
        <v>1</v>
      </c>
      <c r="R53" s="31"/>
      <c r="S53" s="26"/>
      <c r="T53" s="26"/>
      <c r="U53" s="38">
        <v>2</v>
      </c>
      <c r="V53" s="11">
        <f t="shared" si="1"/>
        <v>5</v>
      </c>
      <c r="W53" s="19"/>
      <c r="X53" s="20"/>
    </row>
    <row r="54" spans="2:24" s="1" customFormat="1" collapsed="1" x14ac:dyDescent="0.25">
      <c r="C54" s="41" t="s">
        <v>44</v>
      </c>
      <c r="D54" s="10">
        <f t="shared" ref="D54:U54" si="18">+AVERAGE(D55,D58,D61,D64)</f>
        <v>2</v>
      </c>
      <c r="E54" s="10">
        <f t="shared" si="18"/>
        <v>0.5</v>
      </c>
      <c r="F54" s="10">
        <f t="shared" si="18"/>
        <v>2</v>
      </c>
      <c r="G54" s="10">
        <f t="shared" si="18"/>
        <v>0.5</v>
      </c>
      <c r="H54" s="10">
        <f t="shared" si="18"/>
        <v>0</v>
      </c>
      <c r="I54" s="10">
        <f t="shared" si="18"/>
        <v>0.5</v>
      </c>
      <c r="J54" s="10">
        <f t="shared" si="18"/>
        <v>0.5</v>
      </c>
      <c r="K54" s="10">
        <f t="shared" si="18"/>
        <v>0</v>
      </c>
      <c r="L54" s="10">
        <f t="shared" si="18"/>
        <v>0</v>
      </c>
      <c r="M54" s="10">
        <f t="shared" si="18"/>
        <v>5</v>
      </c>
      <c r="N54" s="10">
        <f t="shared" si="18"/>
        <v>0.5</v>
      </c>
      <c r="O54" s="10">
        <f t="shared" si="18"/>
        <v>0.75</v>
      </c>
      <c r="P54" s="10">
        <f t="shared" si="18"/>
        <v>1.75</v>
      </c>
      <c r="Q54" s="10">
        <f t="shared" si="18"/>
        <v>0.75</v>
      </c>
      <c r="R54" s="10">
        <f t="shared" si="18"/>
        <v>0.75</v>
      </c>
      <c r="S54" s="10">
        <f t="shared" si="18"/>
        <v>2.5</v>
      </c>
      <c r="T54" s="10">
        <f t="shared" si="18"/>
        <v>5.5</v>
      </c>
      <c r="U54" s="10">
        <f t="shared" si="18"/>
        <v>4.5</v>
      </c>
      <c r="V54" s="11">
        <f t="shared" si="1"/>
        <v>28</v>
      </c>
      <c r="W54" s="19">
        <f>V54/$V$150</f>
        <v>1.0394431554524362</v>
      </c>
      <c r="X54" s="13"/>
    </row>
    <row r="55" spans="2:24" s="1" customFormat="1" ht="57" hidden="1" outlineLevel="1" x14ac:dyDescent="0.25">
      <c r="B55" s="1">
        <v>1</v>
      </c>
      <c r="C55" s="41" t="s">
        <v>45</v>
      </c>
      <c r="D55" s="43">
        <f t="shared" ref="D55:U55" si="19">+D56*D57</f>
        <v>1</v>
      </c>
      <c r="E55" s="44">
        <f t="shared" si="19"/>
        <v>0</v>
      </c>
      <c r="F55" s="45">
        <f t="shared" si="19"/>
        <v>1</v>
      </c>
      <c r="G55" s="46">
        <f t="shared" si="19"/>
        <v>0</v>
      </c>
      <c r="H55" s="44">
        <f t="shared" si="19"/>
        <v>0</v>
      </c>
      <c r="I55" s="43">
        <f t="shared" si="19"/>
        <v>0</v>
      </c>
      <c r="J55" s="43">
        <f t="shared" si="19"/>
        <v>0</v>
      </c>
      <c r="K55" s="46">
        <f t="shared" si="19"/>
        <v>0</v>
      </c>
      <c r="L55" s="44">
        <f t="shared" si="19"/>
        <v>0</v>
      </c>
      <c r="M55" s="43">
        <f t="shared" si="19"/>
        <v>4</v>
      </c>
      <c r="N55" s="44">
        <f t="shared" si="19"/>
        <v>0</v>
      </c>
      <c r="O55" s="46">
        <f t="shared" si="19"/>
        <v>0</v>
      </c>
      <c r="P55" s="47">
        <f t="shared" si="19"/>
        <v>1</v>
      </c>
      <c r="Q55" s="43">
        <f t="shared" si="19"/>
        <v>1</v>
      </c>
      <c r="R55" s="46">
        <f t="shared" si="19"/>
        <v>0</v>
      </c>
      <c r="S55" s="43">
        <f t="shared" si="19"/>
        <v>4</v>
      </c>
      <c r="T55" s="43">
        <f t="shared" si="19"/>
        <v>6</v>
      </c>
      <c r="U55" s="46">
        <f t="shared" si="19"/>
        <v>6</v>
      </c>
      <c r="V55" s="11">
        <f t="shared" si="1"/>
        <v>24</v>
      </c>
      <c r="W55" s="19">
        <f>V55/$V$150</f>
        <v>0.89095127610208813</v>
      </c>
      <c r="X55" s="20"/>
    </row>
    <row r="56" spans="2:24" s="1" customFormat="1" hidden="1" outlineLevel="1" x14ac:dyDescent="0.25">
      <c r="C56" s="41" t="s">
        <v>27</v>
      </c>
      <c r="D56" s="34">
        <v>1</v>
      </c>
      <c r="E56" s="34"/>
      <c r="F56" s="34">
        <v>1</v>
      </c>
      <c r="G56" s="25"/>
      <c r="H56" s="28"/>
      <c r="I56" s="27"/>
      <c r="J56" s="27"/>
      <c r="K56" s="25"/>
      <c r="L56" s="28"/>
      <c r="M56" s="27">
        <v>2</v>
      </c>
      <c r="N56" s="28"/>
      <c r="O56" s="25"/>
      <c r="P56" s="35">
        <v>1</v>
      </c>
      <c r="Q56" s="27">
        <v>1</v>
      </c>
      <c r="R56" s="25"/>
      <c r="S56" s="27">
        <v>2</v>
      </c>
      <c r="T56" s="27">
        <v>2</v>
      </c>
      <c r="U56" s="25">
        <v>2</v>
      </c>
      <c r="V56" s="11">
        <f t="shared" si="1"/>
        <v>12</v>
      </c>
      <c r="W56" s="19"/>
      <c r="X56" s="20"/>
    </row>
    <row r="57" spans="2:24" s="1" customFormat="1" hidden="1" outlineLevel="1" x14ac:dyDescent="0.25">
      <c r="C57" s="41" t="s">
        <v>28</v>
      </c>
      <c r="D57" s="34">
        <v>1</v>
      </c>
      <c r="E57" s="34"/>
      <c r="F57" s="34">
        <v>1</v>
      </c>
      <c r="G57" s="25"/>
      <c r="H57" s="28"/>
      <c r="I57" s="27"/>
      <c r="J57" s="27"/>
      <c r="K57" s="25"/>
      <c r="L57" s="28"/>
      <c r="M57" s="27">
        <v>2</v>
      </c>
      <c r="N57" s="28"/>
      <c r="O57" s="25"/>
      <c r="P57" s="35">
        <v>1</v>
      </c>
      <c r="Q57" s="27">
        <v>1</v>
      </c>
      <c r="R57" s="25"/>
      <c r="S57" s="27">
        <v>2</v>
      </c>
      <c r="T57" s="27">
        <v>3</v>
      </c>
      <c r="U57" s="25">
        <v>3</v>
      </c>
      <c r="V57" s="11">
        <f t="shared" si="1"/>
        <v>14</v>
      </c>
      <c r="W57" s="19"/>
      <c r="X57" s="20"/>
    </row>
    <row r="58" spans="2:24" s="1" customFormat="1" ht="42.75" hidden="1" outlineLevel="1" x14ac:dyDescent="0.25">
      <c r="B58" s="1">
        <v>2</v>
      </c>
      <c r="C58" s="41" t="s">
        <v>46</v>
      </c>
      <c r="D58" s="14">
        <f t="shared" ref="D58:U58" si="20">+D59*D60</f>
        <v>2</v>
      </c>
      <c r="E58" s="15">
        <f t="shared" si="20"/>
        <v>0</v>
      </c>
      <c r="F58" s="16">
        <f t="shared" si="20"/>
        <v>4</v>
      </c>
      <c r="G58" s="17">
        <f t="shared" si="20"/>
        <v>0</v>
      </c>
      <c r="H58" s="15">
        <f t="shared" si="20"/>
        <v>0</v>
      </c>
      <c r="I58" s="14">
        <f t="shared" si="20"/>
        <v>0</v>
      </c>
      <c r="J58" s="14">
        <f t="shared" si="20"/>
        <v>0</v>
      </c>
      <c r="K58" s="17">
        <f t="shared" si="20"/>
        <v>0</v>
      </c>
      <c r="L58" s="15">
        <f t="shared" si="20"/>
        <v>0</v>
      </c>
      <c r="M58" s="14">
        <f t="shared" si="20"/>
        <v>6</v>
      </c>
      <c r="N58" s="15">
        <f t="shared" si="20"/>
        <v>0</v>
      </c>
      <c r="O58" s="17">
        <f t="shared" si="20"/>
        <v>0</v>
      </c>
      <c r="P58" s="18">
        <f t="shared" si="20"/>
        <v>1</v>
      </c>
      <c r="Q58" s="14">
        <f t="shared" si="20"/>
        <v>0</v>
      </c>
      <c r="R58" s="17">
        <f t="shared" si="20"/>
        <v>0</v>
      </c>
      <c r="S58" s="14">
        <f t="shared" si="20"/>
        <v>2</v>
      </c>
      <c r="T58" s="14">
        <f t="shared" si="20"/>
        <v>4</v>
      </c>
      <c r="U58" s="17">
        <f t="shared" si="20"/>
        <v>4</v>
      </c>
      <c r="V58" s="11">
        <f t="shared" si="1"/>
        <v>23</v>
      </c>
      <c r="W58" s="19">
        <f>V58/$V$150</f>
        <v>0.85382830626450112</v>
      </c>
      <c r="X58" s="20"/>
    </row>
    <row r="59" spans="2:24" s="1" customFormat="1" hidden="1" outlineLevel="1" x14ac:dyDescent="0.25">
      <c r="C59" s="41" t="s">
        <v>27</v>
      </c>
      <c r="D59" s="34">
        <v>2</v>
      </c>
      <c r="E59" s="34"/>
      <c r="F59" s="34">
        <v>2</v>
      </c>
      <c r="G59" s="31"/>
      <c r="H59" s="23"/>
      <c r="I59" s="26"/>
      <c r="J59" s="26"/>
      <c r="K59" s="31"/>
      <c r="L59" s="23"/>
      <c r="M59" s="26">
        <v>2</v>
      </c>
      <c r="N59" s="23"/>
      <c r="O59" s="31"/>
      <c r="P59" s="48">
        <v>1</v>
      </c>
      <c r="Q59" s="26"/>
      <c r="R59" s="31"/>
      <c r="S59" s="27">
        <v>2</v>
      </c>
      <c r="T59" s="27">
        <v>2</v>
      </c>
      <c r="U59" s="25">
        <v>2</v>
      </c>
      <c r="V59" s="11">
        <f t="shared" si="1"/>
        <v>13</v>
      </c>
      <c r="W59" s="19"/>
      <c r="X59" s="20"/>
    </row>
    <row r="60" spans="2:24" s="1" customFormat="1" hidden="1" outlineLevel="1" x14ac:dyDescent="0.25">
      <c r="C60" s="41" t="s">
        <v>28</v>
      </c>
      <c r="D60" s="34">
        <v>1</v>
      </c>
      <c r="E60" s="34"/>
      <c r="F60" s="34">
        <v>2</v>
      </c>
      <c r="G60" s="31"/>
      <c r="H60" s="23"/>
      <c r="I60" s="26"/>
      <c r="J60" s="26"/>
      <c r="K60" s="31"/>
      <c r="L60" s="23"/>
      <c r="M60" s="26">
        <v>3</v>
      </c>
      <c r="N60" s="23"/>
      <c r="O60" s="31"/>
      <c r="P60" s="48">
        <v>1</v>
      </c>
      <c r="Q60" s="26"/>
      <c r="R60" s="31"/>
      <c r="S60" s="27">
        <v>1</v>
      </c>
      <c r="T60" s="27">
        <v>2</v>
      </c>
      <c r="U60" s="25">
        <v>2</v>
      </c>
      <c r="V60" s="11">
        <f t="shared" si="1"/>
        <v>12</v>
      </c>
      <c r="W60" s="19"/>
      <c r="X60" s="20"/>
    </row>
    <row r="61" spans="2:24" s="1" customFormat="1" ht="85.5" hidden="1" outlineLevel="1" x14ac:dyDescent="0.25">
      <c r="B61" s="1">
        <v>3</v>
      </c>
      <c r="C61" s="41" t="s">
        <v>47</v>
      </c>
      <c r="D61" s="14">
        <f t="shared" ref="D61:U61" si="21">+D62*D63</f>
        <v>1</v>
      </c>
      <c r="E61" s="15">
        <f t="shared" si="21"/>
        <v>0</v>
      </c>
      <c r="F61" s="16">
        <f t="shared" si="21"/>
        <v>2</v>
      </c>
      <c r="G61" s="17">
        <f t="shared" si="21"/>
        <v>0</v>
      </c>
      <c r="H61" s="15">
        <f t="shared" si="21"/>
        <v>0</v>
      </c>
      <c r="I61" s="14">
        <f t="shared" si="21"/>
        <v>2</v>
      </c>
      <c r="J61" s="14">
        <f t="shared" si="21"/>
        <v>2</v>
      </c>
      <c r="K61" s="17">
        <f t="shared" si="21"/>
        <v>0</v>
      </c>
      <c r="L61" s="15">
        <f t="shared" si="21"/>
        <v>0</v>
      </c>
      <c r="M61" s="14">
        <f t="shared" si="21"/>
        <v>6</v>
      </c>
      <c r="N61" s="15">
        <f t="shared" si="21"/>
        <v>2</v>
      </c>
      <c r="O61" s="17">
        <f t="shared" si="21"/>
        <v>3</v>
      </c>
      <c r="P61" s="18">
        <f t="shared" si="21"/>
        <v>1</v>
      </c>
      <c r="Q61" s="14">
        <f t="shared" si="21"/>
        <v>0</v>
      </c>
      <c r="R61" s="17">
        <f t="shared" si="21"/>
        <v>2</v>
      </c>
      <c r="S61" s="14">
        <f t="shared" si="21"/>
        <v>4</v>
      </c>
      <c r="T61" s="14">
        <f t="shared" si="21"/>
        <v>6</v>
      </c>
      <c r="U61" s="17">
        <f t="shared" si="21"/>
        <v>4</v>
      </c>
      <c r="V61" s="11">
        <f t="shared" si="1"/>
        <v>35</v>
      </c>
      <c r="W61" s="19">
        <f>V61/$V$150</f>
        <v>1.2993039443155452</v>
      </c>
      <c r="X61" s="20"/>
    </row>
    <row r="62" spans="2:24" s="1" customFormat="1" hidden="1" outlineLevel="1" x14ac:dyDescent="0.25">
      <c r="C62" s="41" t="s">
        <v>27</v>
      </c>
      <c r="D62" s="26">
        <v>1</v>
      </c>
      <c r="E62" s="23"/>
      <c r="F62" s="34">
        <v>1</v>
      </c>
      <c r="G62" s="31"/>
      <c r="H62" s="28"/>
      <c r="I62" s="27">
        <v>1</v>
      </c>
      <c r="J62" s="27">
        <v>1</v>
      </c>
      <c r="K62" s="25"/>
      <c r="L62" s="23"/>
      <c r="M62" s="26">
        <v>2</v>
      </c>
      <c r="N62" s="23">
        <v>1</v>
      </c>
      <c r="O62" s="31">
        <v>1</v>
      </c>
      <c r="P62" s="30">
        <v>1</v>
      </c>
      <c r="Q62" s="26"/>
      <c r="R62" s="38">
        <v>1</v>
      </c>
      <c r="S62" s="26">
        <v>2</v>
      </c>
      <c r="T62" s="26">
        <v>2</v>
      </c>
      <c r="U62" s="31">
        <v>2</v>
      </c>
      <c r="V62" s="11">
        <f t="shared" si="1"/>
        <v>16</v>
      </c>
      <c r="W62" s="19"/>
      <c r="X62" s="20"/>
    </row>
    <row r="63" spans="2:24" s="1" customFormat="1" hidden="1" outlineLevel="1" x14ac:dyDescent="0.25">
      <c r="C63" s="41" t="s">
        <v>28</v>
      </c>
      <c r="D63" s="26">
        <v>1</v>
      </c>
      <c r="E63" s="23"/>
      <c r="F63" s="34">
        <v>2</v>
      </c>
      <c r="G63" s="31"/>
      <c r="H63" s="28"/>
      <c r="I63" s="27">
        <v>2</v>
      </c>
      <c r="J63" s="27">
        <v>2</v>
      </c>
      <c r="K63" s="25"/>
      <c r="L63" s="23"/>
      <c r="M63" s="26">
        <v>3</v>
      </c>
      <c r="N63" s="23">
        <v>2</v>
      </c>
      <c r="O63" s="31">
        <v>3</v>
      </c>
      <c r="P63" s="30">
        <v>1</v>
      </c>
      <c r="Q63" s="26"/>
      <c r="R63" s="38">
        <v>2</v>
      </c>
      <c r="S63" s="26">
        <v>2</v>
      </c>
      <c r="T63" s="26">
        <v>3</v>
      </c>
      <c r="U63" s="31">
        <v>2</v>
      </c>
      <c r="V63" s="11">
        <f t="shared" si="1"/>
        <v>25</v>
      </c>
      <c r="W63" s="19"/>
      <c r="X63" s="20"/>
    </row>
    <row r="64" spans="2:24" s="1" customFormat="1" ht="85.5" hidden="1" outlineLevel="1" x14ac:dyDescent="0.25">
      <c r="B64" s="1">
        <v>4</v>
      </c>
      <c r="C64" s="41" t="s">
        <v>48</v>
      </c>
      <c r="D64" s="49">
        <f t="shared" ref="D64:U64" si="22">+D65*D66</f>
        <v>4</v>
      </c>
      <c r="E64" s="49">
        <f t="shared" si="22"/>
        <v>2</v>
      </c>
      <c r="F64" s="50">
        <f t="shared" si="22"/>
        <v>1</v>
      </c>
      <c r="G64" s="51">
        <f t="shared" si="22"/>
        <v>2</v>
      </c>
      <c r="H64" s="49">
        <f t="shared" si="22"/>
        <v>0</v>
      </c>
      <c r="I64" s="52">
        <f t="shared" si="22"/>
        <v>0</v>
      </c>
      <c r="J64" s="52">
        <f t="shared" si="22"/>
        <v>0</v>
      </c>
      <c r="K64" s="51">
        <f t="shared" si="22"/>
        <v>0</v>
      </c>
      <c r="L64" s="49">
        <f t="shared" si="22"/>
        <v>0</v>
      </c>
      <c r="M64" s="52">
        <f t="shared" si="22"/>
        <v>4</v>
      </c>
      <c r="N64" s="49">
        <f t="shared" si="22"/>
        <v>0</v>
      </c>
      <c r="O64" s="51">
        <f t="shared" si="22"/>
        <v>0</v>
      </c>
      <c r="P64" s="53">
        <f t="shared" si="22"/>
        <v>4</v>
      </c>
      <c r="Q64" s="52">
        <f t="shared" si="22"/>
        <v>2</v>
      </c>
      <c r="R64" s="51">
        <f t="shared" si="22"/>
        <v>1</v>
      </c>
      <c r="S64" s="52">
        <f t="shared" si="22"/>
        <v>0</v>
      </c>
      <c r="T64" s="52">
        <f t="shared" si="22"/>
        <v>6</v>
      </c>
      <c r="U64" s="51">
        <f t="shared" si="22"/>
        <v>4</v>
      </c>
      <c r="V64" s="11">
        <f t="shared" si="1"/>
        <v>30</v>
      </c>
      <c r="W64" s="19">
        <f>V64/$V$150</f>
        <v>1.1136890951276102</v>
      </c>
      <c r="X64" s="20"/>
    </row>
    <row r="65" spans="2:24" s="1" customFormat="1" hidden="1" outlineLevel="1" x14ac:dyDescent="0.25">
      <c r="C65" s="41" t="s">
        <v>27</v>
      </c>
      <c r="D65" s="24">
        <v>2</v>
      </c>
      <c r="E65" s="24">
        <v>2</v>
      </c>
      <c r="F65" s="24">
        <v>1</v>
      </c>
      <c r="G65" s="38">
        <v>2</v>
      </c>
      <c r="H65" s="23"/>
      <c r="I65" s="26"/>
      <c r="J65" s="26"/>
      <c r="K65" s="31"/>
      <c r="L65" s="23"/>
      <c r="M65" s="26">
        <v>2</v>
      </c>
      <c r="N65" s="23"/>
      <c r="O65" s="31"/>
      <c r="P65" s="30">
        <v>2</v>
      </c>
      <c r="Q65" s="26">
        <v>2</v>
      </c>
      <c r="R65" s="38">
        <v>1</v>
      </c>
      <c r="S65" s="26"/>
      <c r="T65" s="26">
        <v>2</v>
      </c>
      <c r="U65" s="31">
        <v>2</v>
      </c>
      <c r="V65" s="11">
        <f t="shared" si="1"/>
        <v>18</v>
      </c>
      <c r="W65" s="19"/>
      <c r="X65" s="20"/>
    </row>
    <row r="66" spans="2:24" s="1" customFormat="1" hidden="1" outlineLevel="1" x14ac:dyDescent="0.25">
      <c r="C66" s="41" t="s">
        <v>28</v>
      </c>
      <c r="D66" s="24">
        <v>2</v>
      </c>
      <c r="E66" s="24">
        <v>1</v>
      </c>
      <c r="F66" s="24">
        <v>1</v>
      </c>
      <c r="G66" s="38">
        <v>1</v>
      </c>
      <c r="H66" s="23"/>
      <c r="I66" s="26"/>
      <c r="J66" s="26"/>
      <c r="K66" s="31"/>
      <c r="L66" s="23"/>
      <c r="M66" s="26">
        <v>2</v>
      </c>
      <c r="N66" s="23"/>
      <c r="O66" s="31"/>
      <c r="P66" s="30">
        <v>2</v>
      </c>
      <c r="Q66" s="26">
        <v>1</v>
      </c>
      <c r="R66" s="38">
        <v>1</v>
      </c>
      <c r="S66" s="26"/>
      <c r="T66" s="26">
        <v>3</v>
      </c>
      <c r="U66" s="31">
        <v>2</v>
      </c>
      <c r="V66" s="11">
        <f t="shared" si="1"/>
        <v>16</v>
      </c>
      <c r="W66" s="19"/>
      <c r="X66" s="20"/>
    </row>
    <row r="67" spans="2:24" s="1" customFormat="1" collapsed="1" x14ac:dyDescent="0.25">
      <c r="C67" s="41" t="s">
        <v>49</v>
      </c>
      <c r="D67" s="10">
        <f t="shared" ref="D67:U67" si="23">+AVERAGE(D68,D71,D74,)</f>
        <v>1.5</v>
      </c>
      <c r="E67" s="10">
        <f t="shared" si="23"/>
        <v>0</v>
      </c>
      <c r="F67" s="10">
        <f t="shared" si="23"/>
        <v>1.5</v>
      </c>
      <c r="G67" s="10">
        <f t="shared" si="23"/>
        <v>0.5</v>
      </c>
      <c r="H67" s="10">
        <f t="shared" si="23"/>
        <v>0</v>
      </c>
      <c r="I67" s="10">
        <f t="shared" si="23"/>
        <v>0.5</v>
      </c>
      <c r="J67" s="10">
        <f t="shared" si="23"/>
        <v>0.5</v>
      </c>
      <c r="K67" s="10">
        <f t="shared" si="23"/>
        <v>0.25</v>
      </c>
      <c r="L67" s="10">
        <f t="shared" si="23"/>
        <v>2</v>
      </c>
      <c r="M67" s="10">
        <f t="shared" si="23"/>
        <v>1</v>
      </c>
      <c r="N67" s="10">
        <f t="shared" si="23"/>
        <v>0</v>
      </c>
      <c r="O67" s="10">
        <f t="shared" si="23"/>
        <v>0.25</v>
      </c>
      <c r="P67" s="10">
        <f t="shared" si="23"/>
        <v>2.5</v>
      </c>
      <c r="Q67" s="10">
        <f t="shared" si="23"/>
        <v>2.5</v>
      </c>
      <c r="R67" s="10">
        <f t="shared" si="23"/>
        <v>1</v>
      </c>
      <c r="S67" s="10">
        <f t="shared" si="23"/>
        <v>2.5</v>
      </c>
      <c r="T67" s="10">
        <f t="shared" si="23"/>
        <v>2.5</v>
      </c>
      <c r="U67" s="10">
        <f t="shared" si="23"/>
        <v>1.5</v>
      </c>
      <c r="V67" s="11">
        <f t="shared" si="1"/>
        <v>20.5</v>
      </c>
      <c r="W67" s="19">
        <f>V67/$V$150</f>
        <v>0.76102088167053361</v>
      </c>
      <c r="X67" s="13"/>
    </row>
    <row r="68" spans="2:24" s="1" customFormat="1" ht="114" hidden="1" outlineLevel="1" x14ac:dyDescent="0.25">
      <c r="B68" s="1">
        <v>1</v>
      </c>
      <c r="C68" s="41" t="s">
        <v>50</v>
      </c>
      <c r="D68" s="43">
        <f t="shared" ref="D68:U68" si="24">+D69*D70</f>
        <v>2</v>
      </c>
      <c r="E68" s="44">
        <f t="shared" si="24"/>
        <v>0</v>
      </c>
      <c r="F68" s="45">
        <f t="shared" si="24"/>
        <v>2</v>
      </c>
      <c r="G68" s="46">
        <f t="shared" si="24"/>
        <v>0</v>
      </c>
      <c r="H68" s="44">
        <f t="shared" si="24"/>
        <v>0</v>
      </c>
      <c r="I68" s="43">
        <f t="shared" si="24"/>
        <v>0</v>
      </c>
      <c r="J68" s="43">
        <f t="shared" si="24"/>
        <v>0</v>
      </c>
      <c r="K68" s="46">
        <f t="shared" si="24"/>
        <v>0</v>
      </c>
      <c r="L68" s="44">
        <f t="shared" si="24"/>
        <v>1</v>
      </c>
      <c r="M68" s="43">
        <f t="shared" si="24"/>
        <v>0</v>
      </c>
      <c r="N68" s="44">
        <f t="shared" si="24"/>
        <v>0</v>
      </c>
      <c r="O68" s="46">
        <f t="shared" si="24"/>
        <v>0</v>
      </c>
      <c r="P68" s="47">
        <f t="shared" si="24"/>
        <v>2</v>
      </c>
      <c r="Q68" s="43">
        <f t="shared" si="24"/>
        <v>2</v>
      </c>
      <c r="R68" s="46">
        <f t="shared" si="24"/>
        <v>1</v>
      </c>
      <c r="S68" s="43">
        <f t="shared" si="24"/>
        <v>2</v>
      </c>
      <c r="T68" s="43">
        <f t="shared" si="24"/>
        <v>2</v>
      </c>
      <c r="U68" s="46">
        <f t="shared" si="24"/>
        <v>0</v>
      </c>
      <c r="V68" s="11">
        <f t="shared" si="1"/>
        <v>14</v>
      </c>
      <c r="W68" s="19">
        <f>V68/$V$150</f>
        <v>0.51972157772621808</v>
      </c>
      <c r="X68" s="20"/>
    </row>
    <row r="69" spans="2:24" s="1" customFormat="1" hidden="1" outlineLevel="1" x14ac:dyDescent="0.25">
      <c r="C69" s="41" t="s">
        <v>27</v>
      </c>
      <c r="D69" s="34">
        <v>1</v>
      </c>
      <c r="E69" s="34"/>
      <c r="F69" s="34">
        <v>1</v>
      </c>
      <c r="G69" s="31"/>
      <c r="H69" s="23"/>
      <c r="I69" s="26"/>
      <c r="J69" s="26"/>
      <c r="K69" s="31"/>
      <c r="L69" s="37">
        <v>1</v>
      </c>
      <c r="M69" s="26"/>
      <c r="N69" s="23"/>
      <c r="O69" s="31"/>
      <c r="P69" s="30">
        <v>1</v>
      </c>
      <c r="Q69" s="26">
        <v>1</v>
      </c>
      <c r="R69" s="38">
        <v>1</v>
      </c>
      <c r="S69" s="26">
        <v>1</v>
      </c>
      <c r="T69" s="26">
        <v>1</v>
      </c>
      <c r="U69" s="31"/>
      <c r="V69" s="11">
        <f t="shared" ref="V69:V77" si="25">SUM(D69:U69)</f>
        <v>8</v>
      </c>
      <c r="W69" s="19"/>
      <c r="X69" s="20"/>
    </row>
    <row r="70" spans="2:24" s="1" customFormat="1" hidden="1" outlineLevel="1" x14ac:dyDescent="0.25">
      <c r="C70" s="41" t="s">
        <v>28</v>
      </c>
      <c r="D70" s="34">
        <v>2</v>
      </c>
      <c r="E70" s="34"/>
      <c r="F70" s="34">
        <v>2</v>
      </c>
      <c r="G70" s="31"/>
      <c r="H70" s="23"/>
      <c r="I70" s="26"/>
      <c r="J70" s="26"/>
      <c r="K70" s="31"/>
      <c r="L70" s="37">
        <v>1</v>
      </c>
      <c r="M70" s="26"/>
      <c r="N70" s="23"/>
      <c r="O70" s="31"/>
      <c r="P70" s="30">
        <v>2</v>
      </c>
      <c r="Q70" s="26">
        <v>2</v>
      </c>
      <c r="R70" s="38">
        <v>1</v>
      </c>
      <c r="S70" s="26">
        <v>2</v>
      </c>
      <c r="T70" s="26">
        <v>2</v>
      </c>
      <c r="U70" s="31"/>
      <c r="V70" s="11">
        <f t="shared" si="25"/>
        <v>14</v>
      </c>
      <c r="W70" s="19"/>
      <c r="X70" s="20"/>
    </row>
    <row r="71" spans="2:24" s="1" customFormat="1" ht="57.75" hidden="1" outlineLevel="1" x14ac:dyDescent="0.25">
      <c r="B71" s="1">
        <v>2</v>
      </c>
      <c r="C71" s="41" t="s">
        <v>51</v>
      </c>
      <c r="D71" s="14">
        <f t="shared" ref="D71:U71" si="26">+D72*D73</f>
        <v>4</v>
      </c>
      <c r="E71" s="15">
        <f t="shared" si="26"/>
        <v>0</v>
      </c>
      <c r="F71" s="16">
        <f t="shared" si="26"/>
        <v>4</v>
      </c>
      <c r="G71" s="17">
        <f t="shared" si="26"/>
        <v>0</v>
      </c>
      <c r="H71" s="15">
        <f t="shared" si="26"/>
        <v>0</v>
      </c>
      <c r="I71" s="14">
        <f t="shared" si="26"/>
        <v>0</v>
      </c>
      <c r="J71" s="14">
        <f t="shared" si="26"/>
        <v>0</v>
      </c>
      <c r="K71" s="17">
        <f t="shared" si="26"/>
        <v>0</v>
      </c>
      <c r="L71" s="15">
        <f t="shared" si="26"/>
        <v>1</v>
      </c>
      <c r="M71" s="14">
        <f t="shared" si="26"/>
        <v>2</v>
      </c>
      <c r="N71" s="15">
        <f t="shared" si="26"/>
        <v>0</v>
      </c>
      <c r="O71" s="17">
        <f t="shared" si="26"/>
        <v>0</v>
      </c>
      <c r="P71" s="18">
        <f t="shared" si="26"/>
        <v>4</v>
      </c>
      <c r="Q71" s="14">
        <f t="shared" si="26"/>
        <v>4</v>
      </c>
      <c r="R71" s="17">
        <f t="shared" si="26"/>
        <v>2</v>
      </c>
      <c r="S71" s="14">
        <f t="shared" si="26"/>
        <v>4</v>
      </c>
      <c r="T71" s="14">
        <f t="shared" si="26"/>
        <v>4</v>
      </c>
      <c r="U71" s="17">
        <f t="shared" si="26"/>
        <v>6</v>
      </c>
      <c r="V71" s="11">
        <f t="shared" si="25"/>
        <v>35</v>
      </c>
      <c r="W71" s="19">
        <f>V71/$V$150</f>
        <v>1.2993039443155452</v>
      </c>
      <c r="X71" s="20"/>
    </row>
    <row r="72" spans="2:24" s="1" customFormat="1" hidden="1" outlineLevel="1" x14ac:dyDescent="0.25">
      <c r="C72" s="41" t="s">
        <v>27</v>
      </c>
      <c r="D72" s="26">
        <v>2</v>
      </c>
      <c r="E72" s="23"/>
      <c r="F72" s="34">
        <v>2</v>
      </c>
      <c r="G72" s="31"/>
      <c r="H72" s="23"/>
      <c r="I72" s="26"/>
      <c r="J72" s="26"/>
      <c r="K72" s="31"/>
      <c r="L72" s="37">
        <v>1</v>
      </c>
      <c r="M72" s="26">
        <v>2</v>
      </c>
      <c r="N72" s="23"/>
      <c r="O72" s="31"/>
      <c r="P72" s="30">
        <v>2</v>
      </c>
      <c r="Q72" s="26">
        <v>2</v>
      </c>
      <c r="R72" s="38">
        <v>1</v>
      </c>
      <c r="S72" s="26">
        <v>2</v>
      </c>
      <c r="T72" s="26">
        <v>2</v>
      </c>
      <c r="U72" s="31">
        <v>2</v>
      </c>
      <c r="V72" s="11">
        <f t="shared" si="25"/>
        <v>18</v>
      </c>
      <c r="W72" s="19"/>
      <c r="X72" s="20"/>
    </row>
    <row r="73" spans="2:24" s="1" customFormat="1" hidden="1" outlineLevel="1" x14ac:dyDescent="0.25">
      <c r="C73" s="41" t="s">
        <v>28</v>
      </c>
      <c r="D73" s="26">
        <v>2</v>
      </c>
      <c r="E73" s="23"/>
      <c r="F73" s="34">
        <v>2</v>
      </c>
      <c r="G73" s="31"/>
      <c r="H73" s="23"/>
      <c r="I73" s="26"/>
      <c r="J73" s="26"/>
      <c r="K73" s="31"/>
      <c r="L73" s="37">
        <v>1</v>
      </c>
      <c r="M73" s="26">
        <v>1</v>
      </c>
      <c r="N73" s="23"/>
      <c r="O73" s="31"/>
      <c r="P73" s="30">
        <v>2</v>
      </c>
      <c r="Q73" s="26">
        <v>2</v>
      </c>
      <c r="R73" s="38">
        <v>2</v>
      </c>
      <c r="S73" s="26">
        <v>2</v>
      </c>
      <c r="T73" s="26">
        <v>2</v>
      </c>
      <c r="U73" s="31">
        <v>3</v>
      </c>
      <c r="V73" s="11">
        <f t="shared" si="25"/>
        <v>19</v>
      </c>
      <c r="W73" s="19"/>
      <c r="X73" s="20"/>
    </row>
    <row r="74" spans="2:24" s="1" customFormat="1" ht="42.75" hidden="1" outlineLevel="1" x14ac:dyDescent="0.25">
      <c r="B74" s="1">
        <v>3</v>
      </c>
      <c r="C74" s="41" t="s">
        <v>52</v>
      </c>
      <c r="D74" s="52">
        <f t="shared" ref="D74:U74" si="27">+D75*D76</f>
        <v>0</v>
      </c>
      <c r="E74" s="49">
        <f t="shared" si="27"/>
        <v>0</v>
      </c>
      <c r="F74" s="50">
        <f t="shared" si="27"/>
        <v>0</v>
      </c>
      <c r="G74" s="51">
        <f t="shared" si="27"/>
        <v>2</v>
      </c>
      <c r="H74" s="49">
        <f t="shared" si="27"/>
        <v>0</v>
      </c>
      <c r="I74" s="52">
        <f t="shared" si="27"/>
        <v>2</v>
      </c>
      <c r="J74" s="52">
        <f t="shared" si="27"/>
        <v>2</v>
      </c>
      <c r="K74" s="51">
        <f t="shared" si="27"/>
        <v>1</v>
      </c>
      <c r="L74" s="49">
        <f t="shared" si="27"/>
        <v>6</v>
      </c>
      <c r="M74" s="52">
        <f t="shared" si="27"/>
        <v>2</v>
      </c>
      <c r="N74" s="49">
        <f t="shared" si="27"/>
        <v>0</v>
      </c>
      <c r="O74" s="51">
        <f t="shared" si="27"/>
        <v>1</v>
      </c>
      <c r="P74" s="53">
        <f t="shared" si="27"/>
        <v>4</v>
      </c>
      <c r="Q74" s="52">
        <f t="shared" si="27"/>
        <v>4</v>
      </c>
      <c r="R74" s="51">
        <f t="shared" si="27"/>
        <v>1</v>
      </c>
      <c r="S74" s="52">
        <f t="shared" si="27"/>
        <v>4</v>
      </c>
      <c r="T74" s="52">
        <f t="shared" si="27"/>
        <v>4</v>
      </c>
      <c r="U74" s="51">
        <f t="shared" si="27"/>
        <v>0</v>
      </c>
      <c r="V74" s="11">
        <f t="shared" si="25"/>
        <v>33</v>
      </c>
      <c r="W74" s="19">
        <f>V74/$V$150</f>
        <v>1.2250580046403712</v>
      </c>
      <c r="X74" s="20"/>
    </row>
    <row r="75" spans="2:24" s="1" customFormat="1" hidden="1" outlineLevel="1" x14ac:dyDescent="0.25">
      <c r="C75" s="41" t="s">
        <v>27</v>
      </c>
      <c r="D75" s="23"/>
      <c r="E75" s="34"/>
      <c r="F75" s="34"/>
      <c r="G75" s="38">
        <v>2</v>
      </c>
      <c r="H75" s="23"/>
      <c r="I75" s="26">
        <v>1</v>
      </c>
      <c r="J75" s="26">
        <v>1</v>
      </c>
      <c r="K75" s="31">
        <v>1</v>
      </c>
      <c r="L75" s="23">
        <v>2</v>
      </c>
      <c r="M75" s="26">
        <v>1</v>
      </c>
      <c r="N75" s="23"/>
      <c r="O75" s="32">
        <v>1</v>
      </c>
      <c r="P75" s="30">
        <v>2</v>
      </c>
      <c r="Q75" s="26">
        <v>2</v>
      </c>
      <c r="R75" s="38">
        <v>1</v>
      </c>
      <c r="S75" s="26">
        <v>2</v>
      </c>
      <c r="T75" s="26">
        <v>2</v>
      </c>
      <c r="U75" s="31"/>
      <c r="V75" s="11">
        <f t="shared" si="25"/>
        <v>18</v>
      </c>
      <c r="W75" s="19"/>
      <c r="X75" s="20"/>
    </row>
    <row r="76" spans="2:24" s="1" customFormat="1" hidden="1" outlineLevel="1" x14ac:dyDescent="0.25">
      <c r="C76" s="41" t="s">
        <v>28</v>
      </c>
      <c r="D76" s="23"/>
      <c r="E76" s="34"/>
      <c r="F76" s="34"/>
      <c r="G76" s="38">
        <v>1</v>
      </c>
      <c r="H76" s="23"/>
      <c r="I76" s="26">
        <v>2</v>
      </c>
      <c r="J76" s="26">
        <v>2</v>
      </c>
      <c r="K76" s="31">
        <v>1</v>
      </c>
      <c r="L76" s="23">
        <v>3</v>
      </c>
      <c r="M76" s="26">
        <v>2</v>
      </c>
      <c r="N76" s="23"/>
      <c r="O76" s="32">
        <v>1</v>
      </c>
      <c r="P76" s="30">
        <v>2</v>
      </c>
      <c r="Q76" s="26">
        <v>2</v>
      </c>
      <c r="R76" s="38">
        <v>1</v>
      </c>
      <c r="S76" s="26">
        <v>2</v>
      </c>
      <c r="T76" s="26">
        <v>2</v>
      </c>
      <c r="U76" s="31"/>
      <c r="V76" s="11">
        <f t="shared" si="25"/>
        <v>21</v>
      </c>
      <c r="W76" s="19"/>
      <c r="X76" s="20"/>
    </row>
    <row r="77" spans="2:24" s="1" customFormat="1" collapsed="1" x14ac:dyDescent="0.25">
      <c r="C77" s="41" t="s">
        <v>53</v>
      </c>
      <c r="D77" s="10">
        <f t="shared" ref="D77:U77" si="28">+AVERAGE(D78,D81,D84,D87)</f>
        <v>1.5</v>
      </c>
      <c r="E77" s="10">
        <f t="shared" si="28"/>
        <v>1</v>
      </c>
      <c r="F77" s="10">
        <f t="shared" si="28"/>
        <v>0.75</v>
      </c>
      <c r="G77" s="10">
        <f t="shared" si="28"/>
        <v>0.75</v>
      </c>
      <c r="H77" s="10">
        <f t="shared" si="28"/>
        <v>1</v>
      </c>
      <c r="I77" s="10">
        <f t="shared" si="28"/>
        <v>0</v>
      </c>
      <c r="J77" s="10">
        <f t="shared" si="28"/>
        <v>0.25</v>
      </c>
      <c r="K77" s="10">
        <f t="shared" si="28"/>
        <v>0.75</v>
      </c>
      <c r="L77" s="10">
        <f t="shared" si="28"/>
        <v>2.5</v>
      </c>
      <c r="M77" s="10">
        <f t="shared" si="28"/>
        <v>1</v>
      </c>
      <c r="N77" s="10">
        <f t="shared" si="28"/>
        <v>2.5</v>
      </c>
      <c r="O77" s="10">
        <f t="shared" si="28"/>
        <v>2</v>
      </c>
      <c r="P77" s="10">
        <f t="shared" si="28"/>
        <v>4.5</v>
      </c>
      <c r="Q77" s="10">
        <f t="shared" si="28"/>
        <v>4.5</v>
      </c>
      <c r="R77" s="10">
        <f t="shared" si="28"/>
        <v>1.25</v>
      </c>
      <c r="S77" s="10">
        <f t="shared" si="28"/>
        <v>4.5</v>
      </c>
      <c r="T77" s="10">
        <f t="shared" si="28"/>
        <v>2.5</v>
      </c>
      <c r="U77" s="10">
        <f t="shared" si="28"/>
        <v>1.5</v>
      </c>
      <c r="V77" s="11">
        <f t="shared" si="25"/>
        <v>32.75</v>
      </c>
      <c r="W77" s="19">
        <f>V77/$V$150</f>
        <v>1.2157772621809744</v>
      </c>
      <c r="X77" s="13"/>
    </row>
    <row r="78" spans="2:24" s="1" customFormat="1" ht="70.5" hidden="1" customHeight="1" outlineLevel="1" x14ac:dyDescent="0.25">
      <c r="B78" s="1">
        <v>1</v>
      </c>
      <c r="C78" s="41" t="s">
        <v>54</v>
      </c>
      <c r="D78" s="43">
        <f t="shared" ref="D78:U78" si="29">+D79*D80</f>
        <v>2</v>
      </c>
      <c r="E78" s="44">
        <f t="shared" si="29"/>
        <v>0</v>
      </c>
      <c r="F78" s="45">
        <f t="shared" si="29"/>
        <v>2</v>
      </c>
      <c r="G78" s="46">
        <f t="shared" si="29"/>
        <v>0</v>
      </c>
      <c r="H78" s="44">
        <f t="shared" si="29"/>
        <v>0</v>
      </c>
      <c r="I78" s="43">
        <f t="shared" si="29"/>
        <v>0</v>
      </c>
      <c r="J78" s="43">
        <f t="shared" si="29"/>
        <v>0</v>
      </c>
      <c r="K78" s="46">
        <f t="shared" si="29"/>
        <v>0</v>
      </c>
      <c r="L78" s="44">
        <f t="shared" si="29"/>
        <v>2</v>
      </c>
      <c r="M78" s="43">
        <f t="shared" si="29"/>
        <v>0</v>
      </c>
      <c r="N78" s="44">
        <f t="shared" si="29"/>
        <v>2</v>
      </c>
      <c r="O78" s="46">
        <f t="shared" si="29"/>
        <v>2</v>
      </c>
      <c r="P78" s="47">
        <f t="shared" si="29"/>
        <v>3</v>
      </c>
      <c r="Q78" s="43">
        <f t="shared" si="29"/>
        <v>3</v>
      </c>
      <c r="R78" s="46">
        <f t="shared" si="29"/>
        <v>3</v>
      </c>
      <c r="S78" s="43">
        <f t="shared" si="29"/>
        <v>3</v>
      </c>
      <c r="T78" s="43">
        <f t="shared" si="29"/>
        <v>1</v>
      </c>
      <c r="U78" s="46">
        <f t="shared" si="29"/>
        <v>0</v>
      </c>
      <c r="V78" s="55">
        <f>+AVERAGE(H78:U78)</f>
        <v>1.3571428571428572</v>
      </c>
      <c r="W78" s="19">
        <f>V78/$V$150</f>
        <v>5.0381173351010937E-2</v>
      </c>
      <c r="X78" s="20"/>
    </row>
    <row r="79" spans="2:24" s="1" customFormat="1" hidden="1" outlineLevel="1" x14ac:dyDescent="0.25">
      <c r="C79" s="41" t="s">
        <v>27</v>
      </c>
      <c r="D79" s="26">
        <v>1</v>
      </c>
      <c r="E79" s="23"/>
      <c r="F79" s="34">
        <v>1</v>
      </c>
      <c r="G79" s="31"/>
      <c r="H79" s="23"/>
      <c r="I79" s="26"/>
      <c r="J79" s="26"/>
      <c r="K79" s="31"/>
      <c r="L79" s="23">
        <v>1</v>
      </c>
      <c r="M79" s="26"/>
      <c r="N79" s="23">
        <v>1</v>
      </c>
      <c r="O79" s="31">
        <v>1</v>
      </c>
      <c r="P79" s="30">
        <v>1</v>
      </c>
      <c r="Q79" s="26">
        <v>1</v>
      </c>
      <c r="R79" s="31">
        <v>1</v>
      </c>
      <c r="S79" s="26">
        <v>1</v>
      </c>
      <c r="T79" s="26">
        <v>1</v>
      </c>
      <c r="U79" s="31"/>
      <c r="V79" s="55"/>
      <c r="W79" s="19"/>
      <c r="X79" s="20"/>
    </row>
    <row r="80" spans="2:24" s="1" customFormat="1" hidden="1" outlineLevel="1" x14ac:dyDescent="0.25">
      <c r="C80" s="41" t="s">
        <v>28</v>
      </c>
      <c r="D80" s="26">
        <v>2</v>
      </c>
      <c r="E80" s="23"/>
      <c r="F80" s="34">
        <v>2</v>
      </c>
      <c r="G80" s="31"/>
      <c r="H80" s="23"/>
      <c r="I80" s="26"/>
      <c r="J80" s="26"/>
      <c r="K80" s="31"/>
      <c r="L80" s="23">
        <v>2</v>
      </c>
      <c r="M80" s="26"/>
      <c r="N80" s="23">
        <v>2</v>
      </c>
      <c r="O80" s="31">
        <v>2</v>
      </c>
      <c r="P80" s="30">
        <v>3</v>
      </c>
      <c r="Q80" s="26">
        <v>3</v>
      </c>
      <c r="R80" s="31">
        <v>3</v>
      </c>
      <c r="S80" s="26">
        <v>3</v>
      </c>
      <c r="T80" s="26">
        <v>1</v>
      </c>
      <c r="U80" s="31"/>
      <c r="V80" s="55"/>
      <c r="W80" s="19"/>
      <c r="X80" s="20"/>
    </row>
    <row r="81" spans="2:24" s="1" customFormat="1" ht="71.25" hidden="1" outlineLevel="1" x14ac:dyDescent="0.25">
      <c r="B81" s="1">
        <v>2</v>
      </c>
      <c r="C81" s="41" t="s">
        <v>55</v>
      </c>
      <c r="D81" s="14">
        <f t="shared" ref="D81:U81" si="30">+D82*D83</f>
        <v>0</v>
      </c>
      <c r="E81" s="15">
        <f t="shared" si="30"/>
        <v>0</v>
      </c>
      <c r="F81" s="16">
        <f t="shared" si="30"/>
        <v>0</v>
      </c>
      <c r="G81" s="17">
        <f t="shared" si="30"/>
        <v>0</v>
      </c>
      <c r="H81" s="15">
        <f t="shared" si="30"/>
        <v>0</v>
      </c>
      <c r="I81" s="14">
        <f t="shared" si="30"/>
        <v>0</v>
      </c>
      <c r="J81" s="14">
        <f t="shared" si="30"/>
        <v>0</v>
      </c>
      <c r="K81" s="17">
        <f t="shared" si="30"/>
        <v>0</v>
      </c>
      <c r="L81" s="15">
        <f t="shared" si="30"/>
        <v>2</v>
      </c>
      <c r="M81" s="14">
        <f t="shared" si="30"/>
        <v>0</v>
      </c>
      <c r="N81" s="15">
        <f t="shared" si="30"/>
        <v>2</v>
      </c>
      <c r="O81" s="17">
        <f t="shared" si="30"/>
        <v>2</v>
      </c>
      <c r="P81" s="18">
        <f t="shared" si="30"/>
        <v>3</v>
      </c>
      <c r="Q81" s="14">
        <f t="shared" si="30"/>
        <v>3</v>
      </c>
      <c r="R81" s="17">
        <f t="shared" si="30"/>
        <v>0</v>
      </c>
      <c r="S81" s="14">
        <f t="shared" si="30"/>
        <v>3</v>
      </c>
      <c r="T81" s="14">
        <f t="shared" si="30"/>
        <v>1</v>
      </c>
      <c r="U81" s="17">
        <f t="shared" si="30"/>
        <v>1</v>
      </c>
      <c r="V81" s="55">
        <f>+AVERAGE(H81:U81)</f>
        <v>1.2142857142857142</v>
      </c>
      <c r="W81" s="19">
        <f>V81/$V$150</f>
        <v>4.5077891945641359E-2</v>
      </c>
      <c r="X81" s="20"/>
    </row>
    <row r="82" spans="2:24" s="1" customFormat="1" hidden="1" outlineLevel="1" x14ac:dyDescent="0.25">
      <c r="C82" s="41" t="s">
        <v>27</v>
      </c>
      <c r="D82" s="26"/>
      <c r="E82" s="23"/>
      <c r="F82" s="34"/>
      <c r="G82" s="31"/>
      <c r="H82" s="23"/>
      <c r="I82" s="26"/>
      <c r="J82" s="26">
        <v>1</v>
      </c>
      <c r="K82" s="31"/>
      <c r="L82" s="23">
        <v>1</v>
      </c>
      <c r="M82" s="26"/>
      <c r="N82" s="23">
        <v>1</v>
      </c>
      <c r="O82" s="31">
        <v>1</v>
      </c>
      <c r="P82" s="30">
        <v>1</v>
      </c>
      <c r="Q82" s="26">
        <v>1</v>
      </c>
      <c r="R82" s="31"/>
      <c r="S82" s="26">
        <v>1</v>
      </c>
      <c r="T82" s="26">
        <v>1</v>
      </c>
      <c r="U82" s="32">
        <v>1</v>
      </c>
      <c r="V82" s="55"/>
      <c r="W82" s="19"/>
      <c r="X82" s="20"/>
    </row>
    <row r="83" spans="2:24" s="1" customFormat="1" hidden="1" outlineLevel="1" x14ac:dyDescent="0.25">
      <c r="C83" s="41" t="s">
        <v>28</v>
      </c>
      <c r="D83" s="26"/>
      <c r="E83" s="23"/>
      <c r="F83" s="34"/>
      <c r="G83" s="31"/>
      <c r="H83" s="23"/>
      <c r="I83" s="26"/>
      <c r="J83" s="26"/>
      <c r="K83" s="31"/>
      <c r="L83" s="23">
        <v>2</v>
      </c>
      <c r="M83" s="26"/>
      <c r="N83" s="23">
        <v>2</v>
      </c>
      <c r="O83" s="31">
        <v>2</v>
      </c>
      <c r="P83" s="30">
        <v>3</v>
      </c>
      <c r="Q83" s="26">
        <v>3</v>
      </c>
      <c r="R83" s="31"/>
      <c r="S83" s="26">
        <v>3</v>
      </c>
      <c r="T83" s="26">
        <v>1</v>
      </c>
      <c r="U83" s="32">
        <v>1</v>
      </c>
      <c r="V83" s="55"/>
      <c r="W83" s="19"/>
      <c r="X83" s="20"/>
    </row>
    <row r="84" spans="2:24" s="1" customFormat="1" ht="85.5" hidden="1" outlineLevel="1" x14ac:dyDescent="0.25">
      <c r="B84" s="1">
        <v>3</v>
      </c>
      <c r="C84" s="41" t="s">
        <v>56</v>
      </c>
      <c r="D84" s="14">
        <f t="shared" ref="D84:U84" si="31">+D85*D86</f>
        <v>0</v>
      </c>
      <c r="E84" s="15">
        <f t="shared" si="31"/>
        <v>0</v>
      </c>
      <c r="F84" s="16">
        <f t="shared" si="31"/>
        <v>0</v>
      </c>
      <c r="G84" s="17">
        <f t="shared" si="31"/>
        <v>1</v>
      </c>
      <c r="H84" s="15">
        <f t="shared" si="31"/>
        <v>0</v>
      </c>
      <c r="I84" s="14">
        <f t="shared" si="31"/>
        <v>0</v>
      </c>
      <c r="J84" s="14">
        <f t="shared" si="31"/>
        <v>0</v>
      </c>
      <c r="K84" s="17">
        <f t="shared" si="31"/>
        <v>1</v>
      </c>
      <c r="L84" s="15">
        <f t="shared" si="31"/>
        <v>2</v>
      </c>
      <c r="M84" s="14">
        <f t="shared" si="31"/>
        <v>0</v>
      </c>
      <c r="N84" s="15">
        <f t="shared" si="31"/>
        <v>2</v>
      </c>
      <c r="O84" s="17">
        <f t="shared" si="31"/>
        <v>2</v>
      </c>
      <c r="P84" s="18">
        <f t="shared" si="31"/>
        <v>6</v>
      </c>
      <c r="Q84" s="14">
        <f t="shared" si="31"/>
        <v>6</v>
      </c>
      <c r="R84" s="17">
        <f t="shared" si="31"/>
        <v>0</v>
      </c>
      <c r="S84" s="14">
        <f t="shared" si="31"/>
        <v>6</v>
      </c>
      <c r="T84" s="14">
        <f t="shared" si="31"/>
        <v>4</v>
      </c>
      <c r="U84" s="17">
        <f t="shared" si="31"/>
        <v>1</v>
      </c>
      <c r="V84" s="55">
        <f>+AVERAGE(H84:U84)</f>
        <v>2.1428571428571428</v>
      </c>
      <c r="W84" s="19">
        <f>V84/$V$150</f>
        <v>7.9549221080543589E-2</v>
      </c>
      <c r="X84" s="20"/>
    </row>
    <row r="85" spans="2:24" s="1" customFormat="1" hidden="1" outlineLevel="1" x14ac:dyDescent="0.25">
      <c r="C85" s="41" t="s">
        <v>27</v>
      </c>
      <c r="D85" s="26"/>
      <c r="E85" s="23"/>
      <c r="F85" s="34"/>
      <c r="G85" s="31">
        <v>1</v>
      </c>
      <c r="H85" s="23"/>
      <c r="I85" s="26"/>
      <c r="J85" s="26"/>
      <c r="K85" s="31">
        <v>1</v>
      </c>
      <c r="L85" s="23">
        <v>1</v>
      </c>
      <c r="M85" s="26"/>
      <c r="N85" s="23">
        <v>1</v>
      </c>
      <c r="O85" s="31">
        <v>1</v>
      </c>
      <c r="P85" s="30">
        <v>2</v>
      </c>
      <c r="Q85" s="26">
        <v>2</v>
      </c>
      <c r="R85" s="31"/>
      <c r="S85" s="26">
        <v>2</v>
      </c>
      <c r="T85" s="26">
        <v>2</v>
      </c>
      <c r="U85" s="32">
        <v>1</v>
      </c>
      <c r="V85" s="55"/>
      <c r="W85" s="19"/>
      <c r="X85" s="20"/>
    </row>
    <row r="86" spans="2:24" s="1" customFormat="1" hidden="1" outlineLevel="1" x14ac:dyDescent="0.25">
      <c r="C86" s="41" t="s">
        <v>28</v>
      </c>
      <c r="D86" s="26"/>
      <c r="E86" s="23"/>
      <c r="F86" s="34"/>
      <c r="G86" s="31">
        <v>1</v>
      </c>
      <c r="H86" s="23"/>
      <c r="I86" s="26"/>
      <c r="J86" s="26"/>
      <c r="K86" s="31">
        <v>1</v>
      </c>
      <c r="L86" s="23">
        <v>2</v>
      </c>
      <c r="M86" s="26"/>
      <c r="N86" s="23">
        <v>2</v>
      </c>
      <c r="O86" s="31">
        <v>2</v>
      </c>
      <c r="P86" s="30">
        <v>3</v>
      </c>
      <c r="Q86" s="26">
        <v>3</v>
      </c>
      <c r="R86" s="31"/>
      <c r="S86" s="26">
        <v>3</v>
      </c>
      <c r="T86" s="26">
        <v>2</v>
      </c>
      <c r="U86" s="32">
        <v>1</v>
      </c>
      <c r="V86" s="55"/>
      <c r="W86" s="19"/>
      <c r="X86" s="20"/>
    </row>
    <row r="87" spans="2:24" s="1" customFormat="1" ht="85.5" hidden="1" outlineLevel="1" x14ac:dyDescent="0.25">
      <c r="B87" s="1">
        <v>4</v>
      </c>
      <c r="C87" s="41" t="s">
        <v>57</v>
      </c>
      <c r="D87" s="52">
        <f t="shared" ref="D87:U87" si="32">+D88*D89</f>
        <v>4</v>
      </c>
      <c r="E87" s="49">
        <f t="shared" si="32"/>
        <v>4</v>
      </c>
      <c r="F87" s="50">
        <f t="shared" si="32"/>
        <v>1</v>
      </c>
      <c r="G87" s="51">
        <f t="shared" si="32"/>
        <v>2</v>
      </c>
      <c r="H87" s="49">
        <f t="shared" si="32"/>
        <v>4</v>
      </c>
      <c r="I87" s="52">
        <f t="shared" si="32"/>
        <v>0</v>
      </c>
      <c r="J87" s="52">
        <f t="shared" si="32"/>
        <v>1</v>
      </c>
      <c r="K87" s="51">
        <f t="shared" si="32"/>
        <v>2</v>
      </c>
      <c r="L87" s="49">
        <f t="shared" si="32"/>
        <v>4</v>
      </c>
      <c r="M87" s="52">
        <f t="shared" si="32"/>
        <v>4</v>
      </c>
      <c r="N87" s="49">
        <f t="shared" si="32"/>
        <v>4</v>
      </c>
      <c r="O87" s="51">
        <f t="shared" si="32"/>
        <v>2</v>
      </c>
      <c r="P87" s="53">
        <f t="shared" si="32"/>
        <v>6</v>
      </c>
      <c r="Q87" s="52">
        <f t="shared" si="32"/>
        <v>6</v>
      </c>
      <c r="R87" s="51">
        <f t="shared" si="32"/>
        <v>2</v>
      </c>
      <c r="S87" s="52">
        <f t="shared" si="32"/>
        <v>6</v>
      </c>
      <c r="T87" s="52">
        <f t="shared" si="32"/>
        <v>4</v>
      </c>
      <c r="U87" s="51">
        <f t="shared" si="32"/>
        <v>4</v>
      </c>
      <c r="V87" s="55">
        <f>+AVERAGE(H87:U87)</f>
        <v>3.5</v>
      </c>
      <c r="W87" s="19">
        <f>V87/$V$150</f>
        <v>0.12993039443155452</v>
      </c>
      <c r="X87" s="20"/>
    </row>
    <row r="88" spans="2:24" s="1" customFormat="1" hidden="1" outlineLevel="1" x14ac:dyDescent="0.25">
      <c r="C88" s="41" t="s">
        <v>27</v>
      </c>
      <c r="D88" s="26">
        <v>2</v>
      </c>
      <c r="E88" s="23">
        <v>2</v>
      </c>
      <c r="F88" s="34">
        <v>1</v>
      </c>
      <c r="G88" s="31">
        <v>1</v>
      </c>
      <c r="H88" s="23">
        <v>2</v>
      </c>
      <c r="I88" s="26"/>
      <c r="J88" s="26">
        <v>1</v>
      </c>
      <c r="K88" s="31">
        <v>1</v>
      </c>
      <c r="L88" s="23">
        <v>2</v>
      </c>
      <c r="M88" s="26">
        <v>2</v>
      </c>
      <c r="N88" s="23">
        <v>2</v>
      </c>
      <c r="O88" s="31">
        <v>1</v>
      </c>
      <c r="P88" s="30">
        <v>2</v>
      </c>
      <c r="Q88" s="26">
        <v>2</v>
      </c>
      <c r="R88" s="31">
        <v>2</v>
      </c>
      <c r="S88" s="26">
        <v>2</v>
      </c>
      <c r="T88" s="26">
        <v>2</v>
      </c>
      <c r="U88" s="31">
        <v>2</v>
      </c>
      <c r="V88" s="55"/>
      <c r="W88" s="19"/>
      <c r="X88" s="20"/>
    </row>
    <row r="89" spans="2:24" s="1" customFormat="1" hidden="1" outlineLevel="1" x14ac:dyDescent="0.25">
      <c r="C89" s="41" t="s">
        <v>28</v>
      </c>
      <c r="D89" s="26">
        <v>2</v>
      </c>
      <c r="E89" s="23">
        <v>2</v>
      </c>
      <c r="F89" s="34">
        <v>1</v>
      </c>
      <c r="G89" s="31">
        <v>2</v>
      </c>
      <c r="H89" s="23">
        <v>2</v>
      </c>
      <c r="I89" s="26"/>
      <c r="J89" s="26">
        <v>1</v>
      </c>
      <c r="K89" s="31">
        <v>2</v>
      </c>
      <c r="L89" s="23">
        <v>2</v>
      </c>
      <c r="M89" s="26">
        <v>2</v>
      </c>
      <c r="N89" s="23">
        <v>2</v>
      </c>
      <c r="O89" s="31">
        <v>2</v>
      </c>
      <c r="P89" s="30">
        <v>3</v>
      </c>
      <c r="Q89" s="26">
        <v>3</v>
      </c>
      <c r="R89" s="31">
        <v>1</v>
      </c>
      <c r="S89" s="26">
        <v>3</v>
      </c>
      <c r="T89" s="26">
        <v>2</v>
      </c>
      <c r="U89" s="31">
        <v>2</v>
      </c>
      <c r="V89" s="55"/>
      <c r="W89" s="19"/>
      <c r="X89" s="20"/>
    </row>
    <row r="90" spans="2:24" s="1" customFormat="1" collapsed="1" x14ac:dyDescent="0.25">
      <c r="C90" s="41" t="s">
        <v>58</v>
      </c>
      <c r="D90" s="10">
        <f t="shared" ref="D90:U90" si="33">+AVERAGE(D91,D94,D97,D100)</f>
        <v>0</v>
      </c>
      <c r="E90" s="10">
        <f t="shared" si="33"/>
        <v>0</v>
      </c>
      <c r="F90" s="10">
        <f t="shared" si="33"/>
        <v>0.5</v>
      </c>
      <c r="G90" s="10">
        <f t="shared" si="33"/>
        <v>0.25</v>
      </c>
      <c r="H90" s="10">
        <f t="shared" si="33"/>
        <v>0.25</v>
      </c>
      <c r="I90" s="10">
        <f t="shared" si="33"/>
        <v>1.5</v>
      </c>
      <c r="J90" s="10">
        <f t="shared" si="33"/>
        <v>2.25</v>
      </c>
      <c r="K90" s="10">
        <f t="shared" si="33"/>
        <v>1.25</v>
      </c>
      <c r="L90" s="10">
        <f t="shared" si="33"/>
        <v>1</v>
      </c>
      <c r="M90" s="10">
        <f t="shared" si="33"/>
        <v>3.25</v>
      </c>
      <c r="N90" s="10">
        <f t="shared" si="33"/>
        <v>0.25</v>
      </c>
      <c r="O90" s="10">
        <f t="shared" si="33"/>
        <v>2.5</v>
      </c>
      <c r="P90" s="10">
        <f t="shared" si="33"/>
        <v>3.25</v>
      </c>
      <c r="Q90" s="10">
        <f t="shared" si="33"/>
        <v>1.5</v>
      </c>
      <c r="R90" s="10">
        <f t="shared" si="33"/>
        <v>0.75</v>
      </c>
      <c r="S90" s="10">
        <f t="shared" si="33"/>
        <v>4.5</v>
      </c>
      <c r="T90" s="10">
        <f t="shared" si="33"/>
        <v>1</v>
      </c>
      <c r="U90" s="10">
        <f t="shared" si="33"/>
        <v>2.25</v>
      </c>
      <c r="V90" s="11">
        <f t="shared" ref="V90:V143" si="34">SUM(D90:U90)</f>
        <v>26.25</v>
      </c>
      <c r="W90" s="19">
        <f>V90/$V$150</f>
        <v>0.97447795823665895</v>
      </c>
      <c r="X90" s="13"/>
    </row>
    <row r="91" spans="2:24" s="1" customFormat="1" ht="85.5" hidden="1" outlineLevel="1" x14ac:dyDescent="0.25">
      <c r="B91" s="1">
        <v>1</v>
      </c>
      <c r="C91" s="41" t="s">
        <v>59</v>
      </c>
      <c r="D91" s="43">
        <f t="shared" ref="D91:U91" si="35">+D92*D93</f>
        <v>0</v>
      </c>
      <c r="E91" s="44">
        <f t="shared" si="35"/>
        <v>0</v>
      </c>
      <c r="F91" s="45">
        <f t="shared" si="35"/>
        <v>1</v>
      </c>
      <c r="G91" s="46">
        <f t="shared" si="35"/>
        <v>0</v>
      </c>
      <c r="H91" s="44">
        <f t="shared" si="35"/>
        <v>1</v>
      </c>
      <c r="I91" s="43">
        <f t="shared" si="35"/>
        <v>2</v>
      </c>
      <c r="J91" s="43">
        <f t="shared" si="35"/>
        <v>3</v>
      </c>
      <c r="K91" s="46">
        <f t="shared" si="35"/>
        <v>1</v>
      </c>
      <c r="L91" s="44">
        <f t="shared" si="35"/>
        <v>2</v>
      </c>
      <c r="M91" s="43">
        <f t="shared" si="35"/>
        <v>3</v>
      </c>
      <c r="N91" s="44">
        <f t="shared" si="35"/>
        <v>0</v>
      </c>
      <c r="O91" s="46">
        <f t="shared" si="35"/>
        <v>3</v>
      </c>
      <c r="P91" s="47">
        <f t="shared" si="35"/>
        <v>3</v>
      </c>
      <c r="Q91" s="43">
        <f t="shared" si="35"/>
        <v>1</v>
      </c>
      <c r="R91" s="46">
        <f t="shared" si="35"/>
        <v>0</v>
      </c>
      <c r="S91" s="43">
        <f t="shared" si="35"/>
        <v>3</v>
      </c>
      <c r="T91" s="43">
        <f t="shared" si="35"/>
        <v>1</v>
      </c>
      <c r="U91" s="46">
        <f t="shared" si="35"/>
        <v>4</v>
      </c>
      <c r="V91" s="11">
        <f t="shared" si="34"/>
        <v>28</v>
      </c>
      <c r="W91" s="19">
        <f>V91/$V$150</f>
        <v>1.0394431554524362</v>
      </c>
      <c r="X91" s="20"/>
    </row>
    <row r="92" spans="2:24" s="1" customFormat="1" hidden="1" outlineLevel="1" x14ac:dyDescent="0.25">
      <c r="C92" s="41" t="s">
        <v>27</v>
      </c>
      <c r="D92" s="27"/>
      <c r="E92" s="28"/>
      <c r="F92" s="34">
        <v>1</v>
      </c>
      <c r="G92" s="25"/>
      <c r="H92" s="28">
        <v>1</v>
      </c>
      <c r="I92" s="27">
        <v>1</v>
      </c>
      <c r="J92" s="27">
        <v>1</v>
      </c>
      <c r="K92" s="25">
        <v>1</v>
      </c>
      <c r="L92" s="28">
        <v>1</v>
      </c>
      <c r="M92" s="27">
        <v>1</v>
      </c>
      <c r="N92" s="28"/>
      <c r="O92" s="25">
        <v>1</v>
      </c>
      <c r="P92" s="36">
        <v>1</v>
      </c>
      <c r="Q92" s="27">
        <v>1</v>
      </c>
      <c r="R92" s="25"/>
      <c r="S92" s="27">
        <v>1</v>
      </c>
      <c r="T92" s="27">
        <v>1</v>
      </c>
      <c r="U92" s="25">
        <v>2</v>
      </c>
      <c r="V92" s="11">
        <f t="shared" si="34"/>
        <v>14</v>
      </c>
      <c r="W92" s="19"/>
      <c r="X92" s="20"/>
    </row>
    <row r="93" spans="2:24" s="1" customFormat="1" hidden="1" outlineLevel="1" x14ac:dyDescent="0.25">
      <c r="C93" s="41" t="s">
        <v>28</v>
      </c>
      <c r="D93" s="27"/>
      <c r="E93" s="28"/>
      <c r="F93" s="34">
        <v>1</v>
      </c>
      <c r="G93" s="25"/>
      <c r="H93" s="28">
        <v>1</v>
      </c>
      <c r="I93" s="27">
        <v>2</v>
      </c>
      <c r="J93" s="27">
        <v>3</v>
      </c>
      <c r="K93" s="25">
        <v>1</v>
      </c>
      <c r="L93" s="28">
        <v>2</v>
      </c>
      <c r="M93" s="27">
        <v>3</v>
      </c>
      <c r="N93" s="28"/>
      <c r="O93" s="25">
        <v>3</v>
      </c>
      <c r="P93" s="36">
        <v>3</v>
      </c>
      <c r="Q93" s="27">
        <v>1</v>
      </c>
      <c r="R93" s="25"/>
      <c r="S93" s="27">
        <v>3</v>
      </c>
      <c r="T93" s="27">
        <v>1</v>
      </c>
      <c r="U93" s="25">
        <v>2</v>
      </c>
      <c r="V93" s="11">
        <f t="shared" si="34"/>
        <v>26</v>
      </c>
      <c r="W93" s="19"/>
      <c r="X93" s="20"/>
    </row>
    <row r="94" spans="2:24" s="1" customFormat="1" ht="71.25" hidden="1" outlineLevel="1" x14ac:dyDescent="0.25">
      <c r="B94" s="1">
        <v>2</v>
      </c>
      <c r="C94" s="41" t="s">
        <v>60</v>
      </c>
      <c r="D94" s="14">
        <f t="shared" ref="D94:U94" si="36">+D95*D96</f>
        <v>0</v>
      </c>
      <c r="E94" s="15">
        <f t="shared" si="36"/>
        <v>0</v>
      </c>
      <c r="F94" s="16">
        <f t="shared" si="36"/>
        <v>1</v>
      </c>
      <c r="G94" s="17">
        <f t="shared" si="36"/>
        <v>0</v>
      </c>
      <c r="H94" s="15">
        <f t="shared" si="36"/>
        <v>0</v>
      </c>
      <c r="I94" s="14">
        <f t="shared" si="36"/>
        <v>4</v>
      </c>
      <c r="J94" s="14">
        <f t="shared" si="36"/>
        <v>6</v>
      </c>
      <c r="K94" s="17">
        <f t="shared" si="36"/>
        <v>4</v>
      </c>
      <c r="L94" s="15">
        <f t="shared" si="36"/>
        <v>2</v>
      </c>
      <c r="M94" s="14">
        <f t="shared" si="36"/>
        <v>4</v>
      </c>
      <c r="N94" s="15">
        <f t="shared" si="36"/>
        <v>1</v>
      </c>
      <c r="O94" s="17">
        <f t="shared" si="36"/>
        <v>4</v>
      </c>
      <c r="P94" s="18">
        <f t="shared" si="36"/>
        <v>4</v>
      </c>
      <c r="Q94" s="14">
        <f t="shared" si="36"/>
        <v>2</v>
      </c>
      <c r="R94" s="17">
        <f t="shared" si="36"/>
        <v>2</v>
      </c>
      <c r="S94" s="14">
        <f t="shared" si="36"/>
        <v>6</v>
      </c>
      <c r="T94" s="14">
        <f t="shared" si="36"/>
        <v>2</v>
      </c>
      <c r="U94" s="17">
        <f t="shared" si="36"/>
        <v>2</v>
      </c>
      <c r="V94" s="11">
        <f t="shared" si="34"/>
        <v>44</v>
      </c>
      <c r="W94" s="19">
        <f>V94/$V$150</f>
        <v>1.6334106728538282</v>
      </c>
      <c r="X94" s="20"/>
    </row>
    <row r="95" spans="2:24" s="1" customFormat="1" hidden="1" outlineLevel="1" x14ac:dyDescent="0.25">
      <c r="C95" s="41" t="s">
        <v>27</v>
      </c>
      <c r="D95" s="27"/>
      <c r="E95" s="28"/>
      <c r="F95" s="34">
        <v>1</v>
      </c>
      <c r="G95" s="31"/>
      <c r="H95" s="23"/>
      <c r="I95" s="27">
        <v>2</v>
      </c>
      <c r="J95" s="27">
        <v>2</v>
      </c>
      <c r="K95" s="25">
        <v>2</v>
      </c>
      <c r="L95" s="28">
        <v>2</v>
      </c>
      <c r="M95" s="27">
        <v>2</v>
      </c>
      <c r="N95" s="28">
        <v>1</v>
      </c>
      <c r="O95" s="25">
        <v>2</v>
      </c>
      <c r="P95" s="36">
        <v>2</v>
      </c>
      <c r="Q95" s="26">
        <v>2</v>
      </c>
      <c r="R95" s="31">
        <v>2</v>
      </c>
      <c r="S95" s="27">
        <v>2</v>
      </c>
      <c r="T95" s="27">
        <v>2</v>
      </c>
      <c r="U95" s="25">
        <v>1</v>
      </c>
      <c r="V95" s="11">
        <f t="shared" si="34"/>
        <v>25</v>
      </c>
      <c r="W95" s="19"/>
      <c r="X95" s="20"/>
    </row>
    <row r="96" spans="2:24" s="1" customFormat="1" hidden="1" outlineLevel="1" x14ac:dyDescent="0.25">
      <c r="C96" s="41" t="s">
        <v>28</v>
      </c>
      <c r="D96" s="27"/>
      <c r="E96" s="28"/>
      <c r="F96" s="34">
        <v>1</v>
      </c>
      <c r="G96" s="31"/>
      <c r="H96" s="23"/>
      <c r="I96" s="27">
        <v>2</v>
      </c>
      <c r="J96" s="27">
        <v>3</v>
      </c>
      <c r="K96" s="25">
        <v>2</v>
      </c>
      <c r="L96" s="28">
        <v>1</v>
      </c>
      <c r="M96" s="27">
        <v>2</v>
      </c>
      <c r="N96" s="28">
        <v>1</v>
      </c>
      <c r="O96" s="25">
        <v>2</v>
      </c>
      <c r="P96" s="36">
        <v>2</v>
      </c>
      <c r="Q96" s="26">
        <v>1</v>
      </c>
      <c r="R96" s="31">
        <v>1</v>
      </c>
      <c r="S96" s="27">
        <v>3</v>
      </c>
      <c r="T96" s="27">
        <v>1</v>
      </c>
      <c r="U96" s="25">
        <v>2</v>
      </c>
      <c r="V96" s="11">
        <f t="shared" si="34"/>
        <v>24</v>
      </c>
      <c r="W96" s="19"/>
      <c r="X96" s="20"/>
    </row>
    <row r="97" spans="2:24" s="1" customFormat="1" ht="57" hidden="1" outlineLevel="1" x14ac:dyDescent="0.25">
      <c r="B97" s="1">
        <v>3</v>
      </c>
      <c r="C97" s="41" t="s">
        <v>61</v>
      </c>
      <c r="D97" s="14">
        <f t="shared" ref="D97:U97" si="37">+D98*D99</f>
        <v>0</v>
      </c>
      <c r="E97" s="15">
        <f t="shared" si="37"/>
        <v>0</v>
      </c>
      <c r="F97" s="16">
        <f t="shared" si="37"/>
        <v>0</v>
      </c>
      <c r="G97" s="17">
        <f t="shared" si="37"/>
        <v>1</v>
      </c>
      <c r="H97" s="15">
        <f t="shared" si="37"/>
        <v>0</v>
      </c>
      <c r="I97" s="14">
        <f t="shared" si="37"/>
        <v>0</v>
      </c>
      <c r="J97" s="14">
        <f t="shared" si="37"/>
        <v>0</v>
      </c>
      <c r="K97" s="17">
        <f t="shared" si="37"/>
        <v>0</v>
      </c>
      <c r="L97" s="15">
        <f t="shared" si="37"/>
        <v>0</v>
      </c>
      <c r="M97" s="14">
        <f t="shared" si="37"/>
        <v>2</v>
      </c>
      <c r="N97" s="15">
        <f t="shared" si="37"/>
        <v>0</v>
      </c>
      <c r="O97" s="17">
        <f t="shared" si="37"/>
        <v>2</v>
      </c>
      <c r="P97" s="18">
        <f t="shared" si="37"/>
        <v>2</v>
      </c>
      <c r="Q97" s="14">
        <f t="shared" si="37"/>
        <v>1</v>
      </c>
      <c r="R97" s="17">
        <f t="shared" si="37"/>
        <v>1</v>
      </c>
      <c r="S97" s="14">
        <f t="shared" si="37"/>
        <v>3</v>
      </c>
      <c r="T97" s="14">
        <f t="shared" si="37"/>
        <v>1</v>
      </c>
      <c r="U97" s="17">
        <f t="shared" si="37"/>
        <v>1</v>
      </c>
      <c r="V97" s="11">
        <f t="shared" si="34"/>
        <v>14</v>
      </c>
      <c r="W97" s="19">
        <f>V97/$V$150</f>
        <v>0.51972157772621808</v>
      </c>
      <c r="X97" s="20"/>
    </row>
    <row r="98" spans="2:24" s="1" customFormat="1" hidden="1" outlineLevel="1" x14ac:dyDescent="0.25">
      <c r="C98" s="41" t="s">
        <v>27</v>
      </c>
      <c r="D98" s="26"/>
      <c r="E98" s="23"/>
      <c r="F98" s="34"/>
      <c r="G98" s="38">
        <v>1</v>
      </c>
      <c r="H98" s="23"/>
      <c r="I98" s="27"/>
      <c r="J98" s="27"/>
      <c r="K98" s="31"/>
      <c r="L98" s="28"/>
      <c r="M98" s="27">
        <v>1</v>
      </c>
      <c r="N98" s="28"/>
      <c r="O98" s="25">
        <v>1</v>
      </c>
      <c r="P98" s="36">
        <v>1</v>
      </c>
      <c r="Q98" s="27">
        <v>1</v>
      </c>
      <c r="R98" s="25">
        <v>1</v>
      </c>
      <c r="S98" s="27">
        <v>1</v>
      </c>
      <c r="T98" s="27">
        <v>1</v>
      </c>
      <c r="U98" s="25">
        <v>1</v>
      </c>
      <c r="V98" s="11">
        <f t="shared" si="34"/>
        <v>9</v>
      </c>
      <c r="W98" s="19"/>
      <c r="X98" s="20"/>
    </row>
    <row r="99" spans="2:24" s="1" customFormat="1" hidden="1" outlineLevel="1" x14ac:dyDescent="0.25">
      <c r="C99" s="41" t="s">
        <v>28</v>
      </c>
      <c r="D99" s="26"/>
      <c r="E99" s="23"/>
      <c r="F99" s="34"/>
      <c r="G99" s="38">
        <v>1</v>
      </c>
      <c r="H99" s="23"/>
      <c r="I99" s="27"/>
      <c r="J99" s="27"/>
      <c r="K99" s="31"/>
      <c r="L99" s="28"/>
      <c r="M99" s="27">
        <v>2</v>
      </c>
      <c r="N99" s="28"/>
      <c r="O99" s="25">
        <v>2</v>
      </c>
      <c r="P99" s="36">
        <v>2</v>
      </c>
      <c r="Q99" s="27">
        <v>1</v>
      </c>
      <c r="R99" s="25">
        <v>1</v>
      </c>
      <c r="S99" s="27">
        <v>3</v>
      </c>
      <c r="T99" s="27">
        <v>1</v>
      </c>
      <c r="U99" s="25">
        <v>1</v>
      </c>
      <c r="V99" s="11">
        <f t="shared" si="34"/>
        <v>14</v>
      </c>
      <c r="W99" s="19"/>
      <c r="X99" s="20"/>
    </row>
    <row r="100" spans="2:24" s="1" customFormat="1" ht="99.75" hidden="1" outlineLevel="1" x14ac:dyDescent="0.25">
      <c r="B100" s="1">
        <v>4</v>
      </c>
      <c r="C100" s="41" t="s">
        <v>62</v>
      </c>
      <c r="D100" s="52">
        <f t="shared" ref="D100:U100" si="38">+D101*D102</f>
        <v>0</v>
      </c>
      <c r="E100" s="49">
        <f t="shared" si="38"/>
        <v>0</v>
      </c>
      <c r="F100" s="50">
        <f t="shared" si="38"/>
        <v>0</v>
      </c>
      <c r="G100" s="51">
        <f t="shared" si="38"/>
        <v>0</v>
      </c>
      <c r="H100" s="49">
        <f t="shared" si="38"/>
        <v>0</v>
      </c>
      <c r="I100" s="52">
        <f t="shared" si="38"/>
        <v>0</v>
      </c>
      <c r="J100" s="52">
        <f t="shared" si="38"/>
        <v>0</v>
      </c>
      <c r="K100" s="51">
        <f t="shared" si="38"/>
        <v>0</v>
      </c>
      <c r="L100" s="49">
        <f t="shared" si="38"/>
        <v>0</v>
      </c>
      <c r="M100" s="52">
        <f t="shared" si="38"/>
        <v>4</v>
      </c>
      <c r="N100" s="49">
        <f t="shared" si="38"/>
        <v>0</v>
      </c>
      <c r="O100" s="51">
        <f t="shared" si="38"/>
        <v>1</v>
      </c>
      <c r="P100" s="53">
        <f t="shared" si="38"/>
        <v>4</v>
      </c>
      <c r="Q100" s="52">
        <f t="shared" si="38"/>
        <v>2</v>
      </c>
      <c r="R100" s="51">
        <f t="shared" si="38"/>
        <v>0</v>
      </c>
      <c r="S100" s="52">
        <f t="shared" si="38"/>
        <v>6</v>
      </c>
      <c r="T100" s="52">
        <f t="shared" si="38"/>
        <v>0</v>
      </c>
      <c r="U100" s="51">
        <f t="shared" si="38"/>
        <v>2</v>
      </c>
      <c r="V100" s="11">
        <f t="shared" si="34"/>
        <v>19</v>
      </c>
      <c r="W100" s="19">
        <f>V100/$V$150</f>
        <v>0.7053364269141531</v>
      </c>
      <c r="X100" s="20"/>
    </row>
    <row r="101" spans="2:24" s="1" customFormat="1" hidden="1" outlineLevel="1" x14ac:dyDescent="0.25">
      <c r="C101" s="41" t="s">
        <v>27</v>
      </c>
      <c r="D101" s="26"/>
      <c r="E101" s="23"/>
      <c r="F101" s="34"/>
      <c r="G101" s="31"/>
      <c r="H101" s="23"/>
      <c r="I101" s="27"/>
      <c r="J101" s="27"/>
      <c r="K101" s="31"/>
      <c r="L101" s="23"/>
      <c r="M101" s="27">
        <v>2</v>
      </c>
      <c r="N101" s="28"/>
      <c r="O101" s="25">
        <v>1</v>
      </c>
      <c r="P101" s="36">
        <v>2</v>
      </c>
      <c r="Q101" s="27">
        <v>2</v>
      </c>
      <c r="R101" s="31"/>
      <c r="S101" s="27">
        <v>2</v>
      </c>
      <c r="T101" s="26"/>
      <c r="U101" s="25">
        <v>2</v>
      </c>
      <c r="V101" s="11">
        <f t="shared" si="34"/>
        <v>11</v>
      </c>
      <c r="W101" s="19"/>
      <c r="X101" s="20"/>
    </row>
    <row r="102" spans="2:24" s="1" customFormat="1" hidden="1" outlineLevel="1" x14ac:dyDescent="0.25">
      <c r="C102" s="41" t="s">
        <v>28</v>
      </c>
      <c r="D102" s="26"/>
      <c r="E102" s="23"/>
      <c r="F102" s="34"/>
      <c r="G102" s="31"/>
      <c r="H102" s="23"/>
      <c r="I102" s="27"/>
      <c r="J102" s="27"/>
      <c r="K102" s="31"/>
      <c r="L102" s="23"/>
      <c r="M102" s="27">
        <v>2</v>
      </c>
      <c r="N102" s="28"/>
      <c r="O102" s="25">
        <v>1</v>
      </c>
      <c r="P102" s="36">
        <v>2</v>
      </c>
      <c r="Q102" s="27">
        <v>1</v>
      </c>
      <c r="R102" s="31"/>
      <c r="S102" s="27">
        <v>3</v>
      </c>
      <c r="T102" s="26"/>
      <c r="U102" s="25">
        <v>1</v>
      </c>
      <c r="V102" s="11">
        <f t="shared" si="34"/>
        <v>10</v>
      </c>
      <c r="W102" s="19"/>
      <c r="X102" s="20"/>
    </row>
    <row r="103" spans="2:24" s="1" customFormat="1" collapsed="1" x14ac:dyDescent="0.25">
      <c r="C103" s="41" t="s">
        <v>63</v>
      </c>
      <c r="D103" s="10">
        <f t="shared" ref="D103:U103" si="39">+AVERAGE(D104,D107)</f>
        <v>3</v>
      </c>
      <c r="E103" s="10">
        <f t="shared" si="39"/>
        <v>0</v>
      </c>
      <c r="F103" s="10">
        <f t="shared" si="39"/>
        <v>1.5</v>
      </c>
      <c r="G103" s="10">
        <f t="shared" si="39"/>
        <v>0.5</v>
      </c>
      <c r="H103" s="10">
        <f t="shared" si="39"/>
        <v>3</v>
      </c>
      <c r="I103" s="10">
        <f t="shared" si="39"/>
        <v>3</v>
      </c>
      <c r="J103" s="10">
        <f t="shared" si="39"/>
        <v>3</v>
      </c>
      <c r="K103" s="10">
        <f t="shared" si="39"/>
        <v>3</v>
      </c>
      <c r="L103" s="10">
        <f t="shared" si="39"/>
        <v>1</v>
      </c>
      <c r="M103" s="10">
        <f t="shared" si="39"/>
        <v>6</v>
      </c>
      <c r="N103" s="10">
        <f t="shared" si="39"/>
        <v>0</v>
      </c>
      <c r="O103" s="10">
        <f t="shared" si="39"/>
        <v>1.5</v>
      </c>
      <c r="P103" s="10">
        <f t="shared" si="39"/>
        <v>1.5</v>
      </c>
      <c r="Q103" s="10">
        <f t="shared" si="39"/>
        <v>0</v>
      </c>
      <c r="R103" s="10">
        <f t="shared" si="39"/>
        <v>0</v>
      </c>
      <c r="S103" s="10">
        <f t="shared" si="39"/>
        <v>4</v>
      </c>
      <c r="T103" s="10">
        <f t="shared" si="39"/>
        <v>1.5</v>
      </c>
      <c r="U103" s="10">
        <f t="shared" si="39"/>
        <v>4</v>
      </c>
      <c r="V103" s="11">
        <f t="shared" si="34"/>
        <v>36.5</v>
      </c>
      <c r="W103" s="19">
        <f>V103/$V$150</f>
        <v>1.3549883990719258</v>
      </c>
      <c r="X103" s="13"/>
    </row>
    <row r="104" spans="2:24" s="1" customFormat="1" ht="71.25" hidden="1" outlineLevel="1" x14ac:dyDescent="0.25">
      <c r="B104" s="1">
        <v>1</v>
      </c>
      <c r="C104" s="41" t="s">
        <v>64</v>
      </c>
      <c r="D104" s="43">
        <f t="shared" ref="D104:U104" si="40">+D105*D106</f>
        <v>2</v>
      </c>
      <c r="E104" s="44">
        <f t="shared" si="40"/>
        <v>0</v>
      </c>
      <c r="F104" s="45">
        <f t="shared" si="40"/>
        <v>1</v>
      </c>
      <c r="G104" s="46">
        <f t="shared" si="40"/>
        <v>0</v>
      </c>
      <c r="H104" s="44">
        <f t="shared" si="40"/>
        <v>3</v>
      </c>
      <c r="I104" s="43">
        <f t="shared" si="40"/>
        <v>3</v>
      </c>
      <c r="J104" s="43">
        <f t="shared" si="40"/>
        <v>3</v>
      </c>
      <c r="K104" s="46">
        <f t="shared" si="40"/>
        <v>3</v>
      </c>
      <c r="L104" s="44">
        <f t="shared" si="40"/>
        <v>2</v>
      </c>
      <c r="M104" s="43">
        <f t="shared" si="40"/>
        <v>6</v>
      </c>
      <c r="N104" s="44">
        <f t="shared" si="40"/>
        <v>0</v>
      </c>
      <c r="O104" s="46">
        <f t="shared" si="40"/>
        <v>3</v>
      </c>
      <c r="P104" s="47">
        <f t="shared" si="40"/>
        <v>2</v>
      </c>
      <c r="Q104" s="43">
        <f t="shared" si="40"/>
        <v>0</v>
      </c>
      <c r="R104" s="46">
        <f t="shared" si="40"/>
        <v>0</v>
      </c>
      <c r="S104" s="43">
        <f t="shared" si="40"/>
        <v>2</v>
      </c>
      <c r="T104" s="43">
        <f t="shared" si="40"/>
        <v>1</v>
      </c>
      <c r="U104" s="46">
        <f t="shared" si="40"/>
        <v>4</v>
      </c>
      <c r="V104" s="11">
        <f t="shared" si="34"/>
        <v>35</v>
      </c>
      <c r="W104" s="19">
        <f>V104/$V$150</f>
        <v>1.2993039443155452</v>
      </c>
      <c r="X104" s="20"/>
    </row>
    <row r="105" spans="2:24" s="1" customFormat="1" hidden="1" outlineLevel="1" x14ac:dyDescent="0.25">
      <c r="C105" s="41" t="s">
        <v>27</v>
      </c>
      <c r="D105" s="22">
        <v>1</v>
      </c>
      <c r="E105" s="23"/>
      <c r="F105" s="24">
        <v>1</v>
      </c>
      <c r="G105" s="31"/>
      <c r="H105" s="28">
        <v>1</v>
      </c>
      <c r="I105" s="27">
        <v>1</v>
      </c>
      <c r="J105" s="27">
        <v>1</v>
      </c>
      <c r="K105" s="25">
        <v>1</v>
      </c>
      <c r="L105" s="39">
        <v>1</v>
      </c>
      <c r="M105" s="27">
        <v>2</v>
      </c>
      <c r="N105" s="23"/>
      <c r="O105" s="38">
        <v>1</v>
      </c>
      <c r="P105" s="36">
        <v>1</v>
      </c>
      <c r="Q105" s="26"/>
      <c r="R105" s="31"/>
      <c r="S105" s="27">
        <v>1</v>
      </c>
      <c r="T105" s="27">
        <v>1</v>
      </c>
      <c r="U105" s="25">
        <v>2</v>
      </c>
      <c r="V105" s="11">
        <f t="shared" si="34"/>
        <v>15</v>
      </c>
      <c r="W105" s="19"/>
      <c r="X105" s="20"/>
    </row>
    <row r="106" spans="2:24" s="1" customFormat="1" hidden="1" outlineLevel="1" x14ac:dyDescent="0.25">
      <c r="C106" s="41" t="s">
        <v>28</v>
      </c>
      <c r="D106" s="22">
        <v>2</v>
      </c>
      <c r="E106" s="23"/>
      <c r="F106" s="24">
        <v>1</v>
      </c>
      <c r="G106" s="31"/>
      <c r="H106" s="28">
        <v>3</v>
      </c>
      <c r="I106" s="27">
        <v>3</v>
      </c>
      <c r="J106" s="27">
        <v>3</v>
      </c>
      <c r="K106" s="25">
        <v>3</v>
      </c>
      <c r="L106" s="39">
        <v>2</v>
      </c>
      <c r="M106" s="27">
        <v>3</v>
      </c>
      <c r="N106" s="23"/>
      <c r="O106" s="38">
        <v>3</v>
      </c>
      <c r="P106" s="36">
        <v>2</v>
      </c>
      <c r="Q106" s="26"/>
      <c r="R106" s="31"/>
      <c r="S106" s="27">
        <v>2</v>
      </c>
      <c r="T106" s="27">
        <v>1</v>
      </c>
      <c r="U106" s="25">
        <v>2</v>
      </c>
      <c r="V106" s="11">
        <f t="shared" si="34"/>
        <v>30</v>
      </c>
      <c r="W106" s="19"/>
      <c r="X106" s="20"/>
    </row>
    <row r="107" spans="2:24" s="1" customFormat="1" ht="99.75" hidden="1" outlineLevel="1" x14ac:dyDescent="0.25">
      <c r="B107" s="1">
        <v>2</v>
      </c>
      <c r="C107" s="41" t="s">
        <v>65</v>
      </c>
      <c r="D107" s="52">
        <f t="shared" ref="D107:U107" si="41">+D108*D109</f>
        <v>4</v>
      </c>
      <c r="E107" s="49">
        <f t="shared" si="41"/>
        <v>0</v>
      </c>
      <c r="F107" s="50">
        <f t="shared" si="41"/>
        <v>2</v>
      </c>
      <c r="G107" s="51">
        <f t="shared" si="41"/>
        <v>1</v>
      </c>
      <c r="H107" s="49">
        <f t="shared" si="41"/>
        <v>3</v>
      </c>
      <c r="I107" s="52">
        <f t="shared" si="41"/>
        <v>3</v>
      </c>
      <c r="J107" s="52">
        <f t="shared" si="41"/>
        <v>3</v>
      </c>
      <c r="K107" s="51">
        <f t="shared" si="41"/>
        <v>3</v>
      </c>
      <c r="L107" s="49">
        <f t="shared" si="41"/>
        <v>0</v>
      </c>
      <c r="M107" s="52">
        <f t="shared" si="41"/>
        <v>6</v>
      </c>
      <c r="N107" s="49">
        <f t="shared" si="41"/>
        <v>0</v>
      </c>
      <c r="O107" s="51">
        <f t="shared" si="41"/>
        <v>0</v>
      </c>
      <c r="P107" s="53">
        <f t="shared" si="41"/>
        <v>1</v>
      </c>
      <c r="Q107" s="52">
        <f t="shared" si="41"/>
        <v>0</v>
      </c>
      <c r="R107" s="51">
        <f t="shared" si="41"/>
        <v>0</v>
      </c>
      <c r="S107" s="52">
        <f t="shared" si="41"/>
        <v>6</v>
      </c>
      <c r="T107" s="52">
        <f t="shared" si="41"/>
        <v>2</v>
      </c>
      <c r="U107" s="51">
        <f t="shared" si="41"/>
        <v>4</v>
      </c>
      <c r="V107" s="11">
        <f t="shared" si="34"/>
        <v>38</v>
      </c>
      <c r="W107" s="19">
        <f>V107/$V$150</f>
        <v>1.4106728538283062</v>
      </c>
      <c r="X107" s="20"/>
    </row>
    <row r="108" spans="2:24" s="1" customFormat="1" hidden="1" outlineLevel="1" x14ac:dyDescent="0.25">
      <c r="C108" s="41" t="s">
        <v>27</v>
      </c>
      <c r="D108" s="34">
        <v>2</v>
      </c>
      <c r="E108" s="34"/>
      <c r="F108" s="34">
        <v>2</v>
      </c>
      <c r="G108" s="38">
        <v>1</v>
      </c>
      <c r="H108" s="28">
        <v>1</v>
      </c>
      <c r="I108" s="27">
        <v>1</v>
      </c>
      <c r="J108" s="27">
        <v>1</v>
      </c>
      <c r="K108" s="25">
        <v>1</v>
      </c>
      <c r="L108" s="28"/>
      <c r="M108" s="27">
        <v>2</v>
      </c>
      <c r="N108" s="23"/>
      <c r="O108" s="31"/>
      <c r="P108" s="36">
        <v>1</v>
      </c>
      <c r="Q108" s="26"/>
      <c r="R108" s="31"/>
      <c r="S108" s="27">
        <v>2</v>
      </c>
      <c r="T108" s="27">
        <v>2</v>
      </c>
      <c r="U108" s="25">
        <v>2</v>
      </c>
      <c r="V108" s="11">
        <f t="shared" si="34"/>
        <v>18</v>
      </c>
      <c r="W108" s="19"/>
      <c r="X108" s="20"/>
    </row>
    <row r="109" spans="2:24" s="1" customFormat="1" hidden="1" outlineLevel="1" x14ac:dyDescent="0.25">
      <c r="C109" s="41" t="s">
        <v>28</v>
      </c>
      <c r="D109" s="34">
        <v>2</v>
      </c>
      <c r="E109" s="34"/>
      <c r="F109" s="34">
        <v>1</v>
      </c>
      <c r="G109" s="38">
        <v>1</v>
      </c>
      <c r="H109" s="28">
        <v>3</v>
      </c>
      <c r="I109" s="27">
        <v>3</v>
      </c>
      <c r="J109" s="27">
        <v>3</v>
      </c>
      <c r="K109" s="25">
        <v>3</v>
      </c>
      <c r="L109" s="28"/>
      <c r="M109" s="27">
        <v>3</v>
      </c>
      <c r="N109" s="23"/>
      <c r="O109" s="31"/>
      <c r="P109" s="36">
        <v>1</v>
      </c>
      <c r="Q109" s="26"/>
      <c r="R109" s="31"/>
      <c r="S109" s="27">
        <v>3</v>
      </c>
      <c r="T109" s="27">
        <v>1</v>
      </c>
      <c r="U109" s="25">
        <v>2</v>
      </c>
      <c r="V109" s="11">
        <f t="shared" si="34"/>
        <v>26</v>
      </c>
      <c r="W109" s="19"/>
      <c r="X109" s="20"/>
    </row>
    <row r="110" spans="2:24" s="1" customFormat="1" collapsed="1" x14ac:dyDescent="0.25">
      <c r="C110" s="41" t="s">
        <v>66</v>
      </c>
      <c r="D110" s="10">
        <f t="shared" ref="D110:U110" si="42">+AVERAGE(D111,D114)</f>
        <v>1.5</v>
      </c>
      <c r="E110" s="10">
        <f t="shared" si="42"/>
        <v>2</v>
      </c>
      <c r="F110" s="10">
        <f t="shared" si="42"/>
        <v>3</v>
      </c>
      <c r="G110" s="10">
        <f t="shared" si="42"/>
        <v>3</v>
      </c>
      <c r="H110" s="10">
        <f t="shared" si="42"/>
        <v>0.5</v>
      </c>
      <c r="I110" s="10">
        <f t="shared" si="42"/>
        <v>4.5</v>
      </c>
      <c r="J110" s="10">
        <f t="shared" si="42"/>
        <v>3.5</v>
      </c>
      <c r="K110" s="10">
        <f t="shared" si="42"/>
        <v>1.5</v>
      </c>
      <c r="L110" s="10">
        <f t="shared" si="42"/>
        <v>1.5</v>
      </c>
      <c r="M110" s="10">
        <f t="shared" si="42"/>
        <v>4.5</v>
      </c>
      <c r="N110" s="10">
        <f t="shared" si="42"/>
        <v>2</v>
      </c>
      <c r="O110" s="10">
        <f t="shared" si="42"/>
        <v>3</v>
      </c>
      <c r="P110" s="10">
        <f t="shared" si="42"/>
        <v>1</v>
      </c>
      <c r="Q110" s="10">
        <f t="shared" si="42"/>
        <v>0</v>
      </c>
      <c r="R110" s="10">
        <f t="shared" si="42"/>
        <v>0</v>
      </c>
      <c r="S110" s="10">
        <f t="shared" si="42"/>
        <v>4.5</v>
      </c>
      <c r="T110" s="10">
        <f t="shared" si="42"/>
        <v>4.5</v>
      </c>
      <c r="U110" s="10">
        <f t="shared" si="42"/>
        <v>1.5</v>
      </c>
      <c r="V110" s="11">
        <f t="shared" si="34"/>
        <v>42</v>
      </c>
      <c r="W110" s="19">
        <f>V110/$V$150</f>
        <v>1.5591647331786542</v>
      </c>
      <c r="X110" s="13"/>
    </row>
    <row r="111" spans="2:24" s="1" customFormat="1" ht="85.5" hidden="1" outlineLevel="1" x14ac:dyDescent="0.25">
      <c r="B111" s="1">
        <v>1</v>
      </c>
      <c r="C111" s="41" t="s">
        <v>67</v>
      </c>
      <c r="D111" s="43">
        <f t="shared" ref="D111:U111" si="43">+D112*D113</f>
        <v>1</v>
      </c>
      <c r="E111" s="44">
        <f t="shared" si="43"/>
        <v>2</v>
      </c>
      <c r="F111" s="45">
        <f t="shared" si="43"/>
        <v>2</v>
      </c>
      <c r="G111" s="46">
        <f t="shared" si="43"/>
        <v>2</v>
      </c>
      <c r="H111" s="44">
        <f t="shared" si="43"/>
        <v>1</v>
      </c>
      <c r="I111" s="43">
        <f t="shared" si="43"/>
        <v>3</v>
      </c>
      <c r="J111" s="43">
        <f t="shared" si="43"/>
        <v>3</v>
      </c>
      <c r="K111" s="46">
        <f t="shared" si="43"/>
        <v>1</v>
      </c>
      <c r="L111" s="44">
        <f t="shared" si="43"/>
        <v>1</v>
      </c>
      <c r="M111" s="43">
        <f t="shared" si="43"/>
        <v>3</v>
      </c>
      <c r="N111" s="44">
        <f t="shared" si="43"/>
        <v>2</v>
      </c>
      <c r="O111" s="46">
        <f t="shared" si="43"/>
        <v>2</v>
      </c>
      <c r="P111" s="47">
        <f t="shared" si="43"/>
        <v>1</v>
      </c>
      <c r="Q111" s="43">
        <f t="shared" si="43"/>
        <v>0</v>
      </c>
      <c r="R111" s="46">
        <f t="shared" si="43"/>
        <v>0</v>
      </c>
      <c r="S111" s="43">
        <f t="shared" si="43"/>
        <v>3</v>
      </c>
      <c r="T111" s="43">
        <f t="shared" si="43"/>
        <v>3</v>
      </c>
      <c r="U111" s="46">
        <f t="shared" si="43"/>
        <v>1</v>
      </c>
      <c r="V111" s="11">
        <f t="shared" si="34"/>
        <v>31</v>
      </c>
      <c r="W111" s="19">
        <f>V111/$V$150</f>
        <v>1.1508120649651972</v>
      </c>
      <c r="X111" s="20"/>
    </row>
    <row r="112" spans="2:24" s="1" customFormat="1" hidden="1" outlineLevel="1" x14ac:dyDescent="0.25">
      <c r="C112" s="41" t="s">
        <v>27</v>
      </c>
      <c r="D112" s="27">
        <v>1</v>
      </c>
      <c r="E112" s="28">
        <v>1</v>
      </c>
      <c r="F112" s="33">
        <v>1</v>
      </c>
      <c r="G112" s="38">
        <v>1</v>
      </c>
      <c r="H112" s="28">
        <v>1</v>
      </c>
      <c r="I112" s="27">
        <v>1</v>
      </c>
      <c r="J112" s="27">
        <v>1</v>
      </c>
      <c r="K112" s="25">
        <v>1</v>
      </c>
      <c r="L112" s="37">
        <v>1</v>
      </c>
      <c r="M112" s="27">
        <v>1</v>
      </c>
      <c r="N112" s="28">
        <v>1</v>
      </c>
      <c r="O112" s="25">
        <v>1</v>
      </c>
      <c r="P112" s="36">
        <v>1</v>
      </c>
      <c r="Q112" s="26"/>
      <c r="R112" s="31"/>
      <c r="S112" s="27">
        <v>1</v>
      </c>
      <c r="T112" s="27">
        <v>1</v>
      </c>
      <c r="U112" s="25">
        <v>1</v>
      </c>
      <c r="V112" s="11">
        <f t="shared" si="34"/>
        <v>16</v>
      </c>
      <c r="W112" s="19"/>
      <c r="X112" s="20"/>
    </row>
    <row r="113" spans="2:24" s="1" customFormat="1" hidden="1" outlineLevel="1" x14ac:dyDescent="0.25">
      <c r="C113" s="41" t="s">
        <v>28</v>
      </c>
      <c r="D113" s="27">
        <v>1</v>
      </c>
      <c r="E113" s="28">
        <v>2</v>
      </c>
      <c r="F113" s="33">
        <v>2</v>
      </c>
      <c r="G113" s="38">
        <v>2</v>
      </c>
      <c r="H113" s="28">
        <v>1</v>
      </c>
      <c r="I113" s="27">
        <v>3</v>
      </c>
      <c r="J113" s="27">
        <v>3</v>
      </c>
      <c r="K113" s="25">
        <v>1</v>
      </c>
      <c r="L113" s="37">
        <v>1</v>
      </c>
      <c r="M113" s="27">
        <v>3</v>
      </c>
      <c r="N113" s="28">
        <v>2</v>
      </c>
      <c r="O113" s="25">
        <v>2</v>
      </c>
      <c r="P113" s="36">
        <v>1</v>
      </c>
      <c r="Q113" s="26"/>
      <c r="R113" s="31"/>
      <c r="S113" s="27">
        <v>3</v>
      </c>
      <c r="T113" s="27">
        <v>3</v>
      </c>
      <c r="U113" s="25">
        <v>1</v>
      </c>
      <c r="V113" s="11">
        <f t="shared" si="34"/>
        <v>31</v>
      </c>
      <c r="W113" s="19"/>
      <c r="X113" s="20"/>
    </row>
    <row r="114" spans="2:24" s="1" customFormat="1" ht="71.25" hidden="1" outlineLevel="1" x14ac:dyDescent="0.25">
      <c r="B114" s="1">
        <v>2</v>
      </c>
      <c r="C114" s="41" t="s">
        <v>68</v>
      </c>
      <c r="D114" s="52">
        <f t="shared" ref="D114:U114" si="44">+D115*D116</f>
        <v>2</v>
      </c>
      <c r="E114" s="49">
        <f t="shared" si="44"/>
        <v>2</v>
      </c>
      <c r="F114" s="50">
        <f t="shared" si="44"/>
        <v>4</v>
      </c>
      <c r="G114" s="51">
        <f t="shared" si="44"/>
        <v>4</v>
      </c>
      <c r="H114" s="49">
        <f t="shared" si="44"/>
        <v>0</v>
      </c>
      <c r="I114" s="52">
        <f t="shared" si="44"/>
        <v>6</v>
      </c>
      <c r="J114" s="52">
        <f t="shared" si="44"/>
        <v>4</v>
      </c>
      <c r="K114" s="51">
        <f t="shared" si="44"/>
        <v>2</v>
      </c>
      <c r="L114" s="49">
        <f t="shared" si="44"/>
        <v>2</v>
      </c>
      <c r="M114" s="52">
        <f t="shared" si="44"/>
        <v>6</v>
      </c>
      <c r="N114" s="49">
        <f t="shared" si="44"/>
        <v>2</v>
      </c>
      <c r="O114" s="51">
        <f t="shared" si="44"/>
        <v>4</v>
      </c>
      <c r="P114" s="53">
        <f t="shared" si="44"/>
        <v>1</v>
      </c>
      <c r="Q114" s="52">
        <f t="shared" si="44"/>
        <v>0</v>
      </c>
      <c r="R114" s="51">
        <f t="shared" si="44"/>
        <v>0</v>
      </c>
      <c r="S114" s="52">
        <f t="shared" si="44"/>
        <v>6</v>
      </c>
      <c r="T114" s="52">
        <f t="shared" si="44"/>
        <v>6</v>
      </c>
      <c r="U114" s="51">
        <f t="shared" si="44"/>
        <v>2</v>
      </c>
      <c r="V114" s="11">
        <f t="shared" si="34"/>
        <v>53</v>
      </c>
      <c r="W114" s="19">
        <f>V114/$V$150</f>
        <v>1.9675174013921113</v>
      </c>
      <c r="X114" s="20"/>
    </row>
    <row r="115" spans="2:24" s="1" customFormat="1" hidden="1" outlineLevel="1" x14ac:dyDescent="0.25">
      <c r="C115" s="41" t="s">
        <v>27</v>
      </c>
      <c r="D115" s="27">
        <v>2</v>
      </c>
      <c r="E115" s="28">
        <v>1</v>
      </c>
      <c r="F115" s="33">
        <v>2</v>
      </c>
      <c r="G115" s="38">
        <v>2</v>
      </c>
      <c r="H115" s="23"/>
      <c r="I115" s="27">
        <v>2</v>
      </c>
      <c r="J115" s="27">
        <v>2</v>
      </c>
      <c r="K115" s="25">
        <v>1</v>
      </c>
      <c r="L115" s="37">
        <v>2</v>
      </c>
      <c r="M115" s="27">
        <v>2</v>
      </c>
      <c r="N115" s="28">
        <v>2</v>
      </c>
      <c r="O115" s="25">
        <v>2</v>
      </c>
      <c r="P115" s="36">
        <v>1</v>
      </c>
      <c r="Q115" s="26"/>
      <c r="R115" s="31"/>
      <c r="S115" s="27">
        <v>2</v>
      </c>
      <c r="T115" s="27">
        <v>2</v>
      </c>
      <c r="U115" s="25">
        <v>2</v>
      </c>
      <c r="V115" s="11">
        <f t="shared" si="34"/>
        <v>27</v>
      </c>
      <c r="W115" s="19"/>
      <c r="X115" s="20"/>
    </row>
    <row r="116" spans="2:24" s="1" customFormat="1" ht="15" hidden="1" customHeight="1" outlineLevel="1" x14ac:dyDescent="0.25">
      <c r="C116" s="41" t="s">
        <v>28</v>
      </c>
      <c r="D116" s="27">
        <v>1</v>
      </c>
      <c r="E116" s="28">
        <v>2</v>
      </c>
      <c r="F116" s="33">
        <v>2</v>
      </c>
      <c r="G116" s="38">
        <v>2</v>
      </c>
      <c r="H116" s="23"/>
      <c r="I116" s="27">
        <v>3</v>
      </c>
      <c r="J116" s="27">
        <v>2</v>
      </c>
      <c r="K116" s="25">
        <v>2</v>
      </c>
      <c r="L116" s="37">
        <v>1</v>
      </c>
      <c r="M116" s="27">
        <v>3</v>
      </c>
      <c r="N116" s="28">
        <v>1</v>
      </c>
      <c r="O116" s="25">
        <v>2</v>
      </c>
      <c r="P116" s="36">
        <v>1</v>
      </c>
      <c r="Q116" s="26"/>
      <c r="R116" s="31"/>
      <c r="S116" s="27">
        <v>3</v>
      </c>
      <c r="T116" s="27">
        <v>3</v>
      </c>
      <c r="U116" s="25">
        <v>1</v>
      </c>
      <c r="V116" s="11">
        <f t="shared" si="34"/>
        <v>29</v>
      </c>
      <c r="W116" s="19"/>
      <c r="X116" s="20"/>
    </row>
    <row r="117" spans="2:24" s="1" customFormat="1" ht="28.5" collapsed="1" x14ac:dyDescent="0.25">
      <c r="C117" s="41" t="s">
        <v>69</v>
      </c>
      <c r="D117" s="10">
        <f t="shared" ref="D117:U117" si="45">+AVERAGE(D118,D121,D124,D127)</f>
        <v>5</v>
      </c>
      <c r="E117" s="10">
        <f t="shared" si="45"/>
        <v>5</v>
      </c>
      <c r="F117" s="10">
        <f t="shared" si="45"/>
        <v>4</v>
      </c>
      <c r="G117" s="10">
        <f t="shared" si="45"/>
        <v>3</v>
      </c>
      <c r="H117" s="10">
        <f t="shared" si="45"/>
        <v>1</v>
      </c>
      <c r="I117" s="10">
        <f t="shared" si="45"/>
        <v>0</v>
      </c>
      <c r="J117" s="10">
        <f t="shared" si="45"/>
        <v>0</v>
      </c>
      <c r="K117" s="10">
        <f t="shared" si="45"/>
        <v>1</v>
      </c>
      <c r="L117" s="10">
        <f t="shared" si="45"/>
        <v>0.5</v>
      </c>
      <c r="M117" s="10">
        <f t="shared" si="45"/>
        <v>0.5</v>
      </c>
      <c r="N117" s="10">
        <f t="shared" si="45"/>
        <v>0.5</v>
      </c>
      <c r="O117" s="10">
        <f t="shared" si="45"/>
        <v>0</v>
      </c>
      <c r="P117" s="10">
        <f t="shared" si="45"/>
        <v>2.5</v>
      </c>
      <c r="Q117" s="10">
        <f t="shared" si="45"/>
        <v>0</v>
      </c>
      <c r="R117" s="10">
        <f t="shared" si="45"/>
        <v>3.25</v>
      </c>
      <c r="S117" s="10">
        <f t="shared" si="45"/>
        <v>0</v>
      </c>
      <c r="T117" s="10">
        <f t="shared" si="45"/>
        <v>0</v>
      </c>
      <c r="U117" s="10">
        <f t="shared" si="45"/>
        <v>1</v>
      </c>
      <c r="V117" s="11">
        <f t="shared" si="34"/>
        <v>27.25</v>
      </c>
      <c r="W117" s="19">
        <f>V117/$V$150</f>
        <v>1.011600928074246</v>
      </c>
      <c r="X117" s="13"/>
    </row>
    <row r="118" spans="2:24" s="1" customFormat="1" ht="90" hidden="1" outlineLevel="1" x14ac:dyDescent="0.25">
      <c r="B118" s="1">
        <v>1</v>
      </c>
      <c r="C118" s="41" t="s">
        <v>70</v>
      </c>
      <c r="D118" s="43">
        <f t="shared" ref="D118:U118" si="46">+D119*D120</f>
        <v>4</v>
      </c>
      <c r="E118" s="44">
        <f t="shared" si="46"/>
        <v>6</v>
      </c>
      <c r="F118" s="45">
        <f t="shared" si="46"/>
        <v>4</v>
      </c>
      <c r="G118" s="46">
        <f t="shared" si="46"/>
        <v>2</v>
      </c>
      <c r="H118" s="44">
        <f t="shared" si="46"/>
        <v>0</v>
      </c>
      <c r="I118" s="43">
        <f t="shared" si="46"/>
        <v>0</v>
      </c>
      <c r="J118" s="43">
        <f t="shared" si="46"/>
        <v>0</v>
      </c>
      <c r="K118" s="46">
        <f t="shared" si="46"/>
        <v>0</v>
      </c>
      <c r="L118" s="44">
        <f t="shared" si="46"/>
        <v>0</v>
      </c>
      <c r="M118" s="43">
        <f t="shared" si="46"/>
        <v>0</v>
      </c>
      <c r="N118" s="44">
        <f t="shared" si="46"/>
        <v>0</v>
      </c>
      <c r="O118" s="46">
        <f t="shared" si="46"/>
        <v>0</v>
      </c>
      <c r="P118" s="47">
        <f t="shared" si="46"/>
        <v>2</v>
      </c>
      <c r="Q118" s="43">
        <f t="shared" si="46"/>
        <v>0</v>
      </c>
      <c r="R118" s="46">
        <f t="shared" si="46"/>
        <v>2</v>
      </c>
      <c r="S118" s="43">
        <f t="shared" si="46"/>
        <v>0</v>
      </c>
      <c r="T118" s="43">
        <f t="shared" si="46"/>
        <v>0</v>
      </c>
      <c r="U118" s="46">
        <f t="shared" si="46"/>
        <v>0</v>
      </c>
      <c r="V118" s="11">
        <f t="shared" si="34"/>
        <v>20</v>
      </c>
      <c r="W118" s="19">
        <f>V118/$V$150</f>
        <v>0.74245939675174011</v>
      </c>
      <c r="X118" s="20"/>
    </row>
    <row r="119" spans="2:24" s="1" customFormat="1" hidden="1" outlineLevel="1" x14ac:dyDescent="0.25">
      <c r="C119" s="41" t="s">
        <v>27</v>
      </c>
      <c r="D119" s="29">
        <v>2</v>
      </c>
      <c r="E119" s="39">
        <v>2</v>
      </c>
      <c r="F119" s="24">
        <v>2</v>
      </c>
      <c r="G119" s="38">
        <v>1</v>
      </c>
      <c r="H119" s="23"/>
      <c r="I119" s="26"/>
      <c r="J119" s="26"/>
      <c r="K119" s="31"/>
      <c r="L119" s="23"/>
      <c r="M119" s="26"/>
      <c r="N119" s="28"/>
      <c r="O119" s="25"/>
      <c r="P119" s="36">
        <v>2</v>
      </c>
      <c r="Q119" s="27"/>
      <c r="R119" s="25">
        <v>2</v>
      </c>
      <c r="S119" s="27"/>
      <c r="T119" s="27"/>
      <c r="U119" s="25"/>
      <c r="V119" s="11">
        <f t="shared" si="34"/>
        <v>11</v>
      </c>
      <c r="W119" s="19"/>
      <c r="X119" s="20"/>
    </row>
    <row r="120" spans="2:24" s="1" customFormat="1" hidden="1" outlineLevel="1" x14ac:dyDescent="0.25">
      <c r="C120" s="41" t="s">
        <v>28</v>
      </c>
      <c r="D120" s="29">
        <v>2</v>
      </c>
      <c r="E120" s="39">
        <v>3</v>
      </c>
      <c r="F120" s="24">
        <v>2</v>
      </c>
      <c r="G120" s="38">
        <v>2</v>
      </c>
      <c r="H120" s="23"/>
      <c r="I120" s="26"/>
      <c r="J120" s="26"/>
      <c r="K120" s="31"/>
      <c r="L120" s="23"/>
      <c r="M120" s="26"/>
      <c r="N120" s="28"/>
      <c r="O120" s="25"/>
      <c r="P120" s="36">
        <v>1</v>
      </c>
      <c r="Q120" s="27"/>
      <c r="R120" s="25">
        <v>1</v>
      </c>
      <c r="S120" s="27"/>
      <c r="T120" s="27"/>
      <c r="U120" s="25"/>
      <c r="V120" s="11">
        <f t="shared" si="34"/>
        <v>11</v>
      </c>
      <c r="W120" s="19"/>
      <c r="X120" s="20"/>
    </row>
    <row r="121" spans="2:24" s="1" customFormat="1" ht="71.25" hidden="1" outlineLevel="1" x14ac:dyDescent="0.25">
      <c r="B121" s="1">
        <v>2</v>
      </c>
      <c r="C121" s="41" t="s">
        <v>71</v>
      </c>
      <c r="D121" s="14">
        <f t="shared" ref="D121:U121" si="47">+D122*D123</f>
        <v>6</v>
      </c>
      <c r="E121" s="15">
        <f t="shared" si="47"/>
        <v>6</v>
      </c>
      <c r="F121" s="16">
        <f t="shared" si="47"/>
        <v>4</v>
      </c>
      <c r="G121" s="17">
        <f t="shared" si="47"/>
        <v>2</v>
      </c>
      <c r="H121" s="15">
        <f t="shared" si="47"/>
        <v>1</v>
      </c>
      <c r="I121" s="14">
        <f t="shared" si="47"/>
        <v>0</v>
      </c>
      <c r="J121" s="14">
        <f t="shared" si="47"/>
        <v>0</v>
      </c>
      <c r="K121" s="17">
        <f t="shared" si="47"/>
        <v>1</v>
      </c>
      <c r="L121" s="15">
        <f t="shared" si="47"/>
        <v>0</v>
      </c>
      <c r="M121" s="14">
        <f t="shared" si="47"/>
        <v>0</v>
      </c>
      <c r="N121" s="15">
        <f t="shared" si="47"/>
        <v>0</v>
      </c>
      <c r="O121" s="17">
        <f t="shared" si="47"/>
        <v>0</v>
      </c>
      <c r="P121" s="18">
        <f t="shared" si="47"/>
        <v>2</v>
      </c>
      <c r="Q121" s="14">
        <f t="shared" si="47"/>
        <v>0</v>
      </c>
      <c r="R121" s="17">
        <f t="shared" si="47"/>
        <v>3</v>
      </c>
      <c r="S121" s="14">
        <f t="shared" si="47"/>
        <v>0</v>
      </c>
      <c r="T121" s="14">
        <f t="shared" si="47"/>
        <v>0</v>
      </c>
      <c r="U121" s="17">
        <f t="shared" si="47"/>
        <v>0</v>
      </c>
      <c r="V121" s="11">
        <f t="shared" si="34"/>
        <v>25</v>
      </c>
      <c r="W121" s="19">
        <f>V121/$V$150</f>
        <v>0.92807424593967514</v>
      </c>
      <c r="X121" s="20"/>
    </row>
    <row r="122" spans="2:24" s="1" customFormat="1" hidden="1" outlineLevel="1" x14ac:dyDescent="0.25">
      <c r="C122" s="41" t="s">
        <v>27</v>
      </c>
      <c r="D122" s="29">
        <v>2</v>
      </c>
      <c r="E122" s="39">
        <v>2</v>
      </c>
      <c r="F122" s="24">
        <v>2</v>
      </c>
      <c r="G122" s="38">
        <v>1</v>
      </c>
      <c r="H122" s="37">
        <v>1</v>
      </c>
      <c r="I122" s="27"/>
      <c r="J122" s="27"/>
      <c r="K122" s="32">
        <v>1</v>
      </c>
      <c r="L122" s="23"/>
      <c r="M122" s="26"/>
      <c r="N122" s="23"/>
      <c r="O122" s="31"/>
      <c r="P122" s="36">
        <v>1</v>
      </c>
      <c r="Q122" s="26"/>
      <c r="R122" s="25">
        <v>1</v>
      </c>
      <c r="S122" s="26"/>
      <c r="T122" s="26"/>
      <c r="U122" s="31"/>
      <c r="V122" s="11">
        <f t="shared" si="34"/>
        <v>11</v>
      </c>
      <c r="W122" s="19"/>
      <c r="X122" s="20"/>
    </row>
    <row r="123" spans="2:24" s="1" customFormat="1" hidden="1" outlineLevel="1" x14ac:dyDescent="0.25">
      <c r="C123" s="41" t="s">
        <v>28</v>
      </c>
      <c r="D123" s="29">
        <v>3</v>
      </c>
      <c r="E123" s="39">
        <v>3</v>
      </c>
      <c r="F123" s="24">
        <v>2</v>
      </c>
      <c r="G123" s="38">
        <v>2</v>
      </c>
      <c r="H123" s="37">
        <v>1</v>
      </c>
      <c r="I123" s="27"/>
      <c r="J123" s="27"/>
      <c r="K123" s="32">
        <v>1</v>
      </c>
      <c r="L123" s="23"/>
      <c r="M123" s="26"/>
      <c r="N123" s="23"/>
      <c r="O123" s="31"/>
      <c r="P123" s="36">
        <v>2</v>
      </c>
      <c r="Q123" s="26"/>
      <c r="R123" s="25">
        <v>3</v>
      </c>
      <c r="S123" s="26"/>
      <c r="T123" s="26"/>
      <c r="U123" s="31"/>
      <c r="V123" s="11">
        <f t="shared" si="34"/>
        <v>17</v>
      </c>
      <c r="W123" s="19"/>
      <c r="X123" s="20"/>
    </row>
    <row r="124" spans="2:24" s="1" customFormat="1" ht="99.75" hidden="1" outlineLevel="1" x14ac:dyDescent="0.25">
      <c r="B124" s="1">
        <v>3</v>
      </c>
      <c r="C124" s="41" t="s">
        <v>72</v>
      </c>
      <c r="D124" s="14">
        <f t="shared" ref="D124:U124" si="48">+D125*D126</f>
        <v>4</v>
      </c>
      <c r="E124" s="15">
        <f t="shared" si="48"/>
        <v>6</v>
      </c>
      <c r="F124" s="16">
        <f t="shared" si="48"/>
        <v>4</v>
      </c>
      <c r="G124" s="17">
        <f t="shared" si="48"/>
        <v>4</v>
      </c>
      <c r="H124" s="15">
        <f t="shared" si="48"/>
        <v>0</v>
      </c>
      <c r="I124" s="14">
        <f t="shared" si="48"/>
        <v>0</v>
      </c>
      <c r="J124" s="14">
        <f t="shared" si="48"/>
        <v>0</v>
      </c>
      <c r="K124" s="17">
        <f t="shared" si="48"/>
        <v>0</v>
      </c>
      <c r="L124" s="15">
        <f t="shared" si="48"/>
        <v>0</v>
      </c>
      <c r="M124" s="14">
        <f t="shared" si="48"/>
        <v>0</v>
      </c>
      <c r="N124" s="15">
        <f t="shared" si="48"/>
        <v>0</v>
      </c>
      <c r="O124" s="17">
        <f t="shared" si="48"/>
        <v>0</v>
      </c>
      <c r="P124" s="18">
        <f t="shared" si="48"/>
        <v>4</v>
      </c>
      <c r="Q124" s="14">
        <f t="shared" si="48"/>
        <v>0</v>
      </c>
      <c r="R124" s="17">
        <f t="shared" si="48"/>
        <v>6</v>
      </c>
      <c r="S124" s="14">
        <f t="shared" si="48"/>
        <v>0</v>
      </c>
      <c r="T124" s="14">
        <f t="shared" si="48"/>
        <v>0</v>
      </c>
      <c r="U124" s="17">
        <f t="shared" si="48"/>
        <v>2</v>
      </c>
      <c r="V124" s="11">
        <f t="shared" si="34"/>
        <v>30</v>
      </c>
      <c r="W124" s="19">
        <f>V124/$V$150</f>
        <v>1.1136890951276102</v>
      </c>
      <c r="X124" s="20"/>
    </row>
    <row r="125" spans="2:24" s="1" customFormat="1" hidden="1" outlineLevel="1" x14ac:dyDescent="0.25">
      <c r="C125" s="41" t="s">
        <v>27</v>
      </c>
      <c r="D125" s="34">
        <v>2</v>
      </c>
      <c r="E125" s="34">
        <v>2</v>
      </c>
      <c r="F125" s="34">
        <v>2</v>
      </c>
      <c r="G125" s="32">
        <v>2</v>
      </c>
      <c r="H125" s="23"/>
      <c r="I125" s="26"/>
      <c r="J125" s="26"/>
      <c r="K125" s="31"/>
      <c r="L125" s="23"/>
      <c r="M125" s="26"/>
      <c r="N125" s="23"/>
      <c r="O125" s="31"/>
      <c r="P125" s="36">
        <v>2</v>
      </c>
      <c r="Q125" s="26"/>
      <c r="R125" s="25">
        <v>2</v>
      </c>
      <c r="S125" s="27"/>
      <c r="T125" s="27"/>
      <c r="U125" s="32">
        <v>1</v>
      </c>
      <c r="V125" s="11">
        <f t="shared" si="34"/>
        <v>13</v>
      </c>
      <c r="W125" s="19"/>
      <c r="X125" s="20"/>
    </row>
    <row r="126" spans="2:24" s="1" customFormat="1" hidden="1" outlineLevel="1" x14ac:dyDescent="0.25">
      <c r="C126" s="41" t="s">
        <v>28</v>
      </c>
      <c r="D126" s="34">
        <v>2</v>
      </c>
      <c r="E126" s="34">
        <v>3</v>
      </c>
      <c r="F126" s="34">
        <v>2</v>
      </c>
      <c r="G126" s="32">
        <v>2</v>
      </c>
      <c r="H126" s="23"/>
      <c r="I126" s="26"/>
      <c r="J126" s="26"/>
      <c r="K126" s="31"/>
      <c r="L126" s="23"/>
      <c r="M126" s="26"/>
      <c r="N126" s="23"/>
      <c r="O126" s="31"/>
      <c r="P126" s="36">
        <v>2</v>
      </c>
      <c r="Q126" s="26"/>
      <c r="R126" s="25">
        <v>3</v>
      </c>
      <c r="S126" s="27"/>
      <c r="T126" s="27"/>
      <c r="U126" s="32">
        <v>2</v>
      </c>
      <c r="V126" s="11">
        <f t="shared" si="34"/>
        <v>16</v>
      </c>
      <c r="W126" s="19"/>
      <c r="X126" s="20"/>
    </row>
    <row r="127" spans="2:24" s="1" customFormat="1" ht="142.5" hidden="1" outlineLevel="1" x14ac:dyDescent="0.25">
      <c r="B127" s="1">
        <v>4</v>
      </c>
      <c r="C127" s="41" t="s">
        <v>73</v>
      </c>
      <c r="D127" s="52">
        <f t="shared" ref="D127:U127" si="49">+D128*D129</f>
        <v>6</v>
      </c>
      <c r="E127" s="49">
        <f t="shared" si="49"/>
        <v>2</v>
      </c>
      <c r="F127" s="50">
        <f t="shared" si="49"/>
        <v>4</v>
      </c>
      <c r="G127" s="51">
        <f t="shared" si="49"/>
        <v>4</v>
      </c>
      <c r="H127" s="49">
        <f t="shared" si="49"/>
        <v>3</v>
      </c>
      <c r="I127" s="52">
        <f t="shared" si="49"/>
        <v>0</v>
      </c>
      <c r="J127" s="52">
        <f t="shared" si="49"/>
        <v>0</v>
      </c>
      <c r="K127" s="51">
        <f t="shared" si="49"/>
        <v>3</v>
      </c>
      <c r="L127" s="49">
        <f t="shared" si="49"/>
        <v>2</v>
      </c>
      <c r="M127" s="52">
        <f t="shared" si="49"/>
        <v>2</v>
      </c>
      <c r="N127" s="49">
        <f t="shared" si="49"/>
        <v>2</v>
      </c>
      <c r="O127" s="51">
        <f t="shared" si="49"/>
        <v>0</v>
      </c>
      <c r="P127" s="53">
        <f t="shared" si="49"/>
        <v>2</v>
      </c>
      <c r="Q127" s="52">
        <f t="shared" si="49"/>
        <v>0</v>
      </c>
      <c r="R127" s="51">
        <f t="shared" si="49"/>
        <v>2</v>
      </c>
      <c r="S127" s="52">
        <f t="shared" si="49"/>
        <v>0</v>
      </c>
      <c r="T127" s="52">
        <f t="shared" si="49"/>
        <v>0</v>
      </c>
      <c r="U127" s="51">
        <f t="shared" si="49"/>
        <v>2</v>
      </c>
      <c r="V127" s="11">
        <f t="shared" si="34"/>
        <v>34</v>
      </c>
      <c r="W127" s="19">
        <f>V127/$V$150</f>
        <v>1.2621809744779582</v>
      </c>
      <c r="X127" s="20"/>
    </row>
    <row r="128" spans="2:24" s="1" customFormat="1" hidden="1" outlineLevel="1" x14ac:dyDescent="0.25">
      <c r="C128" s="41" t="s">
        <v>27</v>
      </c>
      <c r="D128" s="27">
        <v>2</v>
      </c>
      <c r="E128" s="28">
        <v>1</v>
      </c>
      <c r="F128" s="33">
        <v>2</v>
      </c>
      <c r="G128" s="38">
        <v>2</v>
      </c>
      <c r="H128" s="23">
        <v>1</v>
      </c>
      <c r="I128" s="26"/>
      <c r="J128" s="26"/>
      <c r="K128" s="31">
        <v>1</v>
      </c>
      <c r="L128" s="39">
        <v>1</v>
      </c>
      <c r="M128" s="27">
        <v>1</v>
      </c>
      <c r="N128" s="39">
        <v>1</v>
      </c>
      <c r="O128" s="31"/>
      <c r="P128" s="36">
        <v>1</v>
      </c>
      <c r="Q128" s="27"/>
      <c r="R128" s="25">
        <v>1</v>
      </c>
      <c r="S128" s="26"/>
      <c r="T128" s="26"/>
      <c r="U128" s="25">
        <v>1</v>
      </c>
      <c r="V128" s="11">
        <f t="shared" si="34"/>
        <v>15</v>
      </c>
      <c r="W128" s="19"/>
      <c r="X128" s="20"/>
    </row>
    <row r="129" spans="2:24" s="1" customFormat="1" hidden="1" outlineLevel="1" x14ac:dyDescent="0.25">
      <c r="C129" s="41" t="s">
        <v>28</v>
      </c>
      <c r="D129" s="27">
        <v>3</v>
      </c>
      <c r="E129" s="28">
        <v>2</v>
      </c>
      <c r="F129" s="33">
        <v>2</v>
      </c>
      <c r="G129" s="38">
        <v>2</v>
      </c>
      <c r="H129" s="23">
        <v>3</v>
      </c>
      <c r="I129" s="26"/>
      <c r="J129" s="26"/>
      <c r="K129" s="31">
        <v>3</v>
      </c>
      <c r="L129" s="39">
        <v>2</v>
      </c>
      <c r="M129" s="27">
        <v>2</v>
      </c>
      <c r="N129" s="39">
        <v>2</v>
      </c>
      <c r="O129" s="31"/>
      <c r="P129" s="36">
        <v>2</v>
      </c>
      <c r="Q129" s="27"/>
      <c r="R129" s="25">
        <v>2</v>
      </c>
      <c r="S129" s="26"/>
      <c r="T129" s="26"/>
      <c r="U129" s="25">
        <v>2</v>
      </c>
      <c r="V129" s="11">
        <f t="shared" si="34"/>
        <v>27</v>
      </c>
      <c r="W129" s="19"/>
      <c r="X129" s="20"/>
    </row>
    <row r="130" spans="2:24" s="1" customFormat="1" collapsed="1" x14ac:dyDescent="0.25">
      <c r="C130" s="41" t="s">
        <v>74</v>
      </c>
      <c r="D130" s="10">
        <f t="shared" ref="D130:U130" si="50">+AVERAGE(D131,D134,D137,D140)</f>
        <v>4.25</v>
      </c>
      <c r="E130" s="10">
        <f t="shared" si="50"/>
        <v>1.5</v>
      </c>
      <c r="F130" s="10">
        <f t="shared" si="50"/>
        <v>4.25</v>
      </c>
      <c r="G130" s="10">
        <f t="shared" si="50"/>
        <v>4</v>
      </c>
      <c r="H130" s="10">
        <f t="shared" si="50"/>
        <v>0</v>
      </c>
      <c r="I130" s="10">
        <f t="shared" si="50"/>
        <v>0</v>
      </c>
      <c r="J130" s="10">
        <f t="shared" si="50"/>
        <v>0</v>
      </c>
      <c r="K130" s="10">
        <f t="shared" si="50"/>
        <v>0.25</v>
      </c>
      <c r="L130" s="10">
        <f t="shared" si="50"/>
        <v>1</v>
      </c>
      <c r="M130" s="10">
        <f t="shared" si="50"/>
        <v>1.5</v>
      </c>
      <c r="N130" s="10">
        <f t="shared" si="50"/>
        <v>0</v>
      </c>
      <c r="O130" s="10">
        <f t="shared" si="50"/>
        <v>0</v>
      </c>
      <c r="P130" s="10">
        <f t="shared" si="50"/>
        <v>0.5</v>
      </c>
      <c r="Q130" s="10">
        <f t="shared" si="50"/>
        <v>0</v>
      </c>
      <c r="R130" s="10">
        <f t="shared" si="50"/>
        <v>1</v>
      </c>
      <c r="S130" s="10">
        <f t="shared" si="50"/>
        <v>0</v>
      </c>
      <c r="T130" s="10">
        <f t="shared" si="50"/>
        <v>0</v>
      </c>
      <c r="U130" s="10">
        <f t="shared" si="50"/>
        <v>0.25</v>
      </c>
      <c r="V130" s="11">
        <f t="shared" si="34"/>
        <v>18.5</v>
      </c>
      <c r="W130" s="19">
        <f>V130/$V$150</f>
        <v>0.6867749419953596</v>
      </c>
      <c r="X130" s="13"/>
    </row>
    <row r="131" spans="2:24" s="1" customFormat="1" ht="85.5" hidden="1" outlineLevel="1" x14ac:dyDescent="0.25">
      <c r="B131" s="1">
        <v>1</v>
      </c>
      <c r="C131" s="41" t="s">
        <v>75</v>
      </c>
      <c r="D131" s="43">
        <f t="shared" ref="D131:U131" si="51">+D132*D133</f>
        <v>6</v>
      </c>
      <c r="E131" s="44">
        <f t="shared" si="51"/>
        <v>6</v>
      </c>
      <c r="F131" s="45">
        <f t="shared" si="51"/>
        <v>6</v>
      </c>
      <c r="G131" s="46">
        <f t="shared" si="51"/>
        <v>2</v>
      </c>
      <c r="H131" s="44">
        <f t="shared" si="51"/>
        <v>0</v>
      </c>
      <c r="I131" s="43">
        <f t="shared" si="51"/>
        <v>0</v>
      </c>
      <c r="J131" s="43">
        <f t="shared" si="51"/>
        <v>0</v>
      </c>
      <c r="K131" s="46">
        <f t="shared" si="51"/>
        <v>0</v>
      </c>
      <c r="L131" s="44">
        <f t="shared" si="51"/>
        <v>0</v>
      </c>
      <c r="M131" s="43">
        <f t="shared" si="51"/>
        <v>4</v>
      </c>
      <c r="N131" s="44">
        <f t="shared" si="51"/>
        <v>0</v>
      </c>
      <c r="O131" s="46">
        <f t="shared" si="51"/>
        <v>0</v>
      </c>
      <c r="P131" s="47">
        <f t="shared" si="51"/>
        <v>2</v>
      </c>
      <c r="Q131" s="43">
        <f t="shared" si="51"/>
        <v>0</v>
      </c>
      <c r="R131" s="46">
        <f t="shared" si="51"/>
        <v>2</v>
      </c>
      <c r="S131" s="43">
        <f t="shared" si="51"/>
        <v>0</v>
      </c>
      <c r="T131" s="43">
        <f t="shared" si="51"/>
        <v>0</v>
      </c>
      <c r="U131" s="46">
        <f t="shared" si="51"/>
        <v>1</v>
      </c>
      <c r="V131" s="11">
        <f t="shared" si="34"/>
        <v>29</v>
      </c>
      <c r="W131" s="19">
        <f>V131/$V$150</f>
        <v>1.0765661252900232</v>
      </c>
      <c r="X131" s="20"/>
    </row>
    <row r="132" spans="2:24" s="1" customFormat="1" hidden="1" outlineLevel="1" x14ac:dyDescent="0.25">
      <c r="C132" s="41" t="s">
        <v>27</v>
      </c>
      <c r="D132" s="29">
        <v>2</v>
      </c>
      <c r="E132" s="27">
        <v>2</v>
      </c>
      <c r="F132" s="29">
        <v>2</v>
      </c>
      <c r="G132" s="32">
        <v>1</v>
      </c>
      <c r="H132" s="23"/>
      <c r="I132" s="26"/>
      <c r="J132" s="26"/>
      <c r="K132" s="31"/>
      <c r="L132" s="23"/>
      <c r="M132" s="29">
        <v>2</v>
      </c>
      <c r="N132" s="23"/>
      <c r="O132" s="31"/>
      <c r="P132" s="36">
        <v>1</v>
      </c>
      <c r="Q132" s="26"/>
      <c r="R132" s="25">
        <v>1</v>
      </c>
      <c r="S132" s="27"/>
      <c r="T132" s="27"/>
      <c r="U132" s="32">
        <v>1</v>
      </c>
      <c r="V132" s="11">
        <f t="shared" si="34"/>
        <v>12</v>
      </c>
      <c r="W132" s="19"/>
      <c r="X132" s="20"/>
    </row>
    <row r="133" spans="2:24" s="1" customFormat="1" hidden="1" outlineLevel="1" x14ac:dyDescent="0.25">
      <c r="C133" s="41" t="s">
        <v>28</v>
      </c>
      <c r="D133" s="29">
        <v>3</v>
      </c>
      <c r="E133" s="27">
        <v>3</v>
      </c>
      <c r="F133" s="29">
        <v>3</v>
      </c>
      <c r="G133" s="32">
        <v>2</v>
      </c>
      <c r="H133" s="23"/>
      <c r="I133" s="26"/>
      <c r="J133" s="26"/>
      <c r="K133" s="31"/>
      <c r="L133" s="23"/>
      <c r="M133" s="29">
        <v>2</v>
      </c>
      <c r="N133" s="23"/>
      <c r="O133" s="31"/>
      <c r="P133" s="36">
        <v>2</v>
      </c>
      <c r="Q133" s="26"/>
      <c r="R133" s="25">
        <v>2</v>
      </c>
      <c r="S133" s="27"/>
      <c r="T133" s="27"/>
      <c r="U133" s="32">
        <v>1</v>
      </c>
      <c r="V133" s="11">
        <f t="shared" si="34"/>
        <v>18</v>
      </c>
      <c r="W133" s="19"/>
      <c r="X133" s="20"/>
    </row>
    <row r="134" spans="2:24" s="1" customFormat="1" ht="71.25" hidden="1" outlineLevel="1" x14ac:dyDescent="0.25">
      <c r="B134" s="1">
        <v>2</v>
      </c>
      <c r="C134" s="41" t="s">
        <v>76</v>
      </c>
      <c r="D134" s="14">
        <f t="shared" ref="D134:U134" si="52">+D135*D136</f>
        <v>4</v>
      </c>
      <c r="E134" s="15">
        <f t="shared" si="52"/>
        <v>0</v>
      </c>
      <c r="F134" s="16">
        <f t="shared" si="52"/>
        <v>4</v>
      </c>
      <c r="G134" s="17">
        <f t="shared" si="52"/>
        <v>6</v>
      </c>
      <c r="H134" s="15">
        <f t="shared" si="52"/>
        <v>0</v>
      </c>
      <c r="I134" s="14">
        <f t="shared" si="52"/>
        <v>0</v>
      </c>
      <c r="J134" s="14">
        <f t="shared" si="52"/>
        <v>0</v>
      </c>
      <c r="K134" s="17">
        <f t="shared" si="52"/>
        <v>0</v>
      </c>
      <c r="L134" s="15">
        <f t="shared" si="52"/>
        <v>0</v>
      </c>
      <c r="M134" s="14">
        <f t="shared" si="52"/>
        <v>1</v>
      </c>
      <c r="N134" s="15">
        <f t="shared" si="52"/>
        <v>0</v>
      </c>
      <c r="O134" s="17">
        <f t="shared" si="52"/>
        <v>0</v>
      </c>
      <c r="P134" s="18">
        <f t="shared" si="52"/>
        <v>0</v>
      </c>
      <c r="Q134" s="14">
        <f t="shared" si="52"/>
        <v>0</v>
      </c>
      <c r="R134" s="17">
        <f t="shared" si="52"/>
        <v>0</v>
      </c>
      <c r="S134" s="14">
        <f t="shared" si="52"/>
        <v>0</v>
      </c>
      <c r="T134" s="14">
        <f t="shared" si="52"/>
        <v>0</v>
      </c>
      <c r="U134" s="17">
        <f t="shared" si="52"/>
        <v>0</v>
      </c>
      <c r="V134" s="11">
        <f t="shared" si="34"/>
        <v>15</v>
      </c>
      <c r="W134" s="19">
        <f>V134/$V$150</f>
        <v>0.55684454756380508</v>
      </c>
      <c r="X134" s="20"/>
    </row>
    <row r="135" spans="2:24" s="1" customFormat="1" hidden="1" outlineLevel="1" x14ac:dyDescent="0.25">
      <c r="C135" s="41" t="s">
        <v>27</v>
      </c>
      <c r="D135" s="27">
        <v>2</v>
      </c>
      <c r="E135" s="23"/>
      <c r="F135" s="34">
        <v>2</v>
      </c>
      <c r="G135" s="37">
        <v>2</v>
      </c>
      <c r="H135" s="23"/>
      <c r="I135" s="26"/>
      <c r="J135" s="26"/>
      <c r="K135" s="25"/>
      <c r="L135" s="23"/>
      <c r="M135" s="29">
        <v>1</v>
      </c>
      <c r="N135" s="23"/>
      <c r="O135" s="31"/>
      <c r="P135" s="30"/>
      <c r="Q135" s="26"/>
      <c r="R135" s="31"/>
      <c r="S135" s="26"/>
      <c r="T135" s="26"/>
      <c r="U135" s="31"/>
      <c r="V135" s="11">
        <f t="shared" si="34"/>
        <v>7</v>
      </c>
      <c r="W135" s="19"/>
      <c r="X135" s="20"/>
    </row>
    <row r="136" spans="2:24" s="1" customFormat="1" hidden="1" outlineLevel="1" x14ac:dyDescent="0.25">
      <c r="C136" s="41" t="s">
        <v>28</v>
      </c>
      <c r="D136" s="27">
        <v>2</v>
      </c>
      <c r="E136" s="23"/>
      <c r="F136" s="34">
        <v>2</v>
      </c>
      <c r="G136" s="37">
        <v>3</v>
      </c>
      <c r="H136" s="23"/>
      <c r="I136" s="26"/>
      <c r="J136" s="26"/>
      <c r="K136" s="25"/>
      <c r="L136" s="23"/>
      <c r="M136" s="29">
        <v>1</v>
      </c>
      <c r="N136" s="23"/>
      <c r="O136" s="31"/>
      <c r="P136" s="30"/>
      <c r="Q136" s="26"/>
      <c r="R136" s="31"/>
      <c r="S136" s="26"/>
      <c r="T136" s="26"/>
      <c r="U136" s="31"/>
      <c r="V136" s="11">
        <f t="shared" si="34"/>
        <v>8</v>
      </c>
      <c r="W136" s="19"/>
      <c r="X136" s="20"/>
    </row>
    <row r="137" spans="2:24" s="1" customFormat="1" ht="85.5" hidden="1" outlineLevel="1" x14ac:dyDescent="0.25">
      <c r="B137" s="1">
        <v>3</v>
      </c>
      <c r="C137" s="41" t="s">
        <v>77</v>
      </c>
      <c r="D137" s="14">
        <f t="shared" ref="D137:U137" si="53">+D138*D139</f>
        <v>1</v>
      </c>
      <c r="E137" s="15">
        <f t="shared" si="53"/>
        <v>0</v>
      </c>
      <c r="F137" s="16">
        <f t="shared" si="53"/>
        <v>1</v>
      </c>
      <c r="G137" s="17">
        <f t="shared" si="53"/>
        <v>6</v>
      </c>
      <c r="H137" s="15">
        <f t="shared" si="53"/>
        <v>0</v>
      </c>
      <c r="I137" s="14">
        <f t="shared" si="53"/>
        <v>0</v>
      </c>
      <c r="J137" s="14">
        <f t="shared" si="53"/>
        <v>0</v>
      </c>
      <c r="K137" s="17">
        <f t="shared" si="53"/>
        <v>1</v>
      </c>
      <c r="L137" s="15">
        <f t="shared" si="53"/>
        <v>4</v>
      </c>
      <c r="M137" s="14">
        <f t="shared" si="53"/>
        <v>0</v>
      </c>
      <c r="N137" s="15">
        <f t="shared" si="53"/>
        <v>0</v>
      </c>
      <c r="O137" s="17">
        <f t="shared" si="53"/>
        <v>0</v>
      </c>
      <c r="P137" s="18">
        <f t="shared" si="53"/>
        <v>0</v>
      </c>
      <c r="Q137" s="14">
        <f t="shared" si="53"/>
        <v>0</v>
      </c>
      <c r="R137" s="17">
        <f t="shared" si="53"/>
        <v>0</v>
      </c>
      <c r="S137" s="14">
        <f t="shared" si="53"/>
        <v>0</v>
      </c>
      <c r="T137" s="14">
        <f t="shared" si="53"/>
        <v>0</v>
      </c>
      <c r="U137" s="17">
        <f t="shared" si="53"/>
        <v>0</v>
      </c>
      <c r="V137" s="11">
        <f t="shared" si="34"/>
        <v>13</v>
      </c>
      <c r="W137" s="19">
        <f>V137/$V$150</f>
        <v>0.48259860788863107</v>
      </c>
      <c r="X137" s="20"/>
    </row>
    <row r="138" spans="2:24" s="1" customFormat="1" hidden="1" outlineLevel="1" x14ac:dyDescent="0.25">
      <c r="C138" s="41" t="s">
        <v>27</v>
      </c>
      <c r="D138" s="26">
        <v>1</v>
      </c>
      <c r="E138" s="23"/>
      <c r="F138" s="34">
        <v>1</v>
      </c>
      <c r="G138" s="38">
        <v>2</v>
      </c>
      <c r="H138" s="23"/>
      <c r="I138" s="26"/>
      <c r="J138" s="26"/>
      <c r="K138" s="25">
        <v>1</v>
      </c>
      <c r="L138" s="28">
        <v>2</v>
      </c>
      <c r="M138" s="27"/>
      <c r="N138" s="23"/>
      <c r="O138" s="31"/>
      <c r="P138" s="30"/>
      <c r="Q138" s="26"/>
      <c r="R138" s="31"/>
      <c r="S138" s="26"/>
      <c r="T138" s="26"/>
      <c r="U138" s="31"/>
      <c r="V138" s="11">
        <f t="shared" si="34"/>
        <v>7</v>
      </c>
      <c r="W138" s="19"/>
      <c r="X138" s="20"/>
    </row>
    <row r="139" spans="2:24" s="1" customFormat="1" hidden="1" outlineLevel="1" x14ac:dyDescent="0.25">
      <c r="C139" s="41" t="s">
        <v>28</v>
      </c>
      <c r="D139" s="26">
        <v>1</v>
      </c>
      <c r="E139" s="23"/>
      <c r="F139" s="34">
        <v>1</v>
      </c>
      <c r="G139" s="38">
        <v>3</v>
      </c>
      <c r="H139" s="23"/>
      <c r="I139" s="26"/>
      <c r="J139" s="26"/>
      <c r="K139" s="25">
        <v>1</v>
      </c>
      <c r="L139" s="28">
        <v>2</v>
      </c>
      <c r="M139" s="27"/>
      <c r="N139" s="23"/>
      <c r="O139" s="31"/>
      <c r="P139" s="30"/>
      <c r="Q139" s="26"/>
      <c r="R139" s="31"/>
      <c r="S139" s="26"/>
      <c r="T139" s="26"/>
      <c r="U139" s="31"/>
      <c r="V139" s="11">
        <f t="shared" si="34"/>
        <v>8</v>
      </c>
      <c r="W139" s="19"/>
      <c r="X139" s="20"/>
    </row>
    <row r="140" spans="2:24" s="1" customFormat="1" ht="85.5" hidden="1" outlineLevel="1" x14ac:dyDescent="0.25">
      <c r="B140" s="1">
        <v>4</v>
      </c>
      <c r="C140" s="41" t="s">
        <v>78</v>
      </c>
      <c r="D140" s="56">
        <f t="shared" ref="D140:U140" si="54">+D141*D142</f>
        <v>6</v>
      </c>
      <c r="E140" s="57">
        <f t="shared" si="54"/>
        <v>0</v>
      </c>
      <c r="F140" s="58">
        <f t="shared" si="54"/>
        <v>6</v>
      </c>
      <c r="G140" s="59">
        <f t="shared" si="54"/>
        <v>2</v>
      </c>
      <c r="H140" s="57">
        <f t="shared" si="54"/>
        <v>0</v>
      </c>
      <c r="I140" s="56">
        <f t="shared" si="54"/>
        <v>0</v>
      </c>
      <c r="J140" s="56">
        <f t="shared" si="54"/>
        <v>0</v>
      </c>
      <c r="K140" s="59">
        <f t="shared" si="54"/>
        <v>0</v>
      </c>
      <c r="L140" s="57">
        <f t="shared" si="54"/>
        <v>0</v>
      </c>
      <c r="M140" s="56">
        <f t="shared" si="54"/>
        <v>1</v>
      </c>
      <c r="N140" s="57">
        <f t="shared" si="54"/>
        <v>0</v>
      </c>
      <c r="O140" s="59">
        <f t="shared" si="54"/>
        <v>0</v>
      </c>
      <c r="P140" s="60">
        <f t="shared" si="54"/>
        <v>0</v>
      </c>
      <c r="Q140" s="56">
        <f t="shared" si="54"/>
        <v>0</v>
      </c>
      <c r="R140" s="59">
        <f t="shared" si="54"/>
        <v>2</v>
      </c>
      <c r="S140" s="56">
        <f t="shared" si="54"/>
        <v>0</v>
      </c>
      <c r="T140" s="56">
        <f t="shared" si="54"/>
        <v>0</v>
      </c>
      <c r="U140" s="59">
        <f t="shared" si="54"/>
        <v>0</v>
      </c>
      <c r="V140" s="11">
        <f t="shared" si="34"/>
        <v>17</v>
      </c>
      <c r="W140" s="19">
        <f>V140/$V$150</f>
        <v>0.63109048723897909</v>
      </c>
      <c r="X140" s="20"/>
    </row>
    <row r="141" spans="2:24" s="1" customFormat="1" hidden="1" outlineLevel="1" x14ac:dyDescent="0.25">
      <c r="C141" s="41" t="s">
        <v>27</v>
      </c>
      <c r="D141" s="29">
        <v>2</v>
      </c>
      <c r="E141" s="28"/>
      <c r="F141" s="33">
        <v>2</v>
      </c>
      <c r="G141" s="32">
        <v>2</v>
      </c>
      <c r="H141" s="23"/>
      <c r="I141" s="26"/>
      <c r="J141" s="26"/>
      <c r="K141" s="31"/>
      <c r="L141" s="23"/>
      <c r="M141" s="27">
        <v>1</v>
      </c>
      <c r="N141" s="28"/>
      <c r="O141" s="25"/>
      <c r="P141" s="36"/>
      <c r="Q141" s="27"/>
      <c r="R141" s="32">
        <v>1</v>
      </c>
      <c r="S141" s="27"/>
      <c r="T141" s="27"/>
      <c r="U141" s="25"/>
      <c r="V141" s="11">
        <f t="shared" si="34"/>
        <v>8</v>
      </c>
      <c r="W141" s="19"/>
      <c r="X141" s="20"/>
    </row>
    <row r="142" spans="2:24" s="1" customFormat="1" hidden="1" outlineLevel="1" x14ac:dyDescent="0.25">
      <c r="C142" s="41" t="s">
        <v>28</v>
      </c>
      <c r="D142" s="29">
        <v>3</v>
      </c>
      <c r="E142" s="28"/>
      <c r="F142" s="33">
        <v>3</v>
      </c>
      <c r="G142" s="32">
        <v>1</v>
      </c>
      <c r="H142" s="23"/>
      <c r="I142" s="26"/>
      <c r="J142" s="26"/>
      <c r="K142" s="31"/>
      <c r="L142" s="23"/>
      <c r="M142" s="27">
        <v>1</v>
      </c>
      <c r="N142" s="28"/>
      <c r="O142" s="25"/>
      <c r="P142" s="36"/>
      <c r="Q142" s="27"/>
      <c r="R142" s="32">
        <v>2</v>
      </c>
      <c r="S142" s="27"/>
      <c r="T142" s="27"/>
      <c r="U142" s="25"/>
      <c r="V142" s="11">
        <f t="shared" si="34"/>
        <v>10</v>
      </c>
      <c r="W142" s="19"/>
      <c r="X142" s="20"/>
    </row>
    <row r="143" spans="2:24" s="1" customFormat="1" collapsed="1" x14ac:dyDescent="0.25">
      <c r="C143" s="41" t="s">
        <v>79</v>
      </c>
      <c r="D143" s="10">
        <f t="shared" ref="D143:U143" si="55">+AVERAGE(D144,D147)</f>
        <v>4</v>
      </c>
      <c r="E143" s="10">
        <f t="shared" si="55"/>
        <v>0.5</v>
      </c>
      <c r="F143" s="10">
        <f t="shared" si="55"/>
        <v>2.5</v>
      </c>
      <c r="G143" s="10">
        <f t="shared" si="55"/>
        <v>2</v>
      </c>
      <c r="H143" s="10">
        <f t="shared" si="55"/>
        <v>0.5</v>
      </c>
      <c r="I143" s="10">
        <f t="shared" si="55"/>
        <v>1</v>
      </c>
      <c r="J143" s="10">
        <f t="shared" si="55"/>
        <v>0.5</v>
      </c>
      <c r="K143" s="10">
        <f t="shared" si="55"/>
        <v>0.5</v>
      </c>
      <c r="L143" s="10">
        <f t="shared" si="55"/>
        <v>0</v>
      </c>
      <c r="M143" s="10">
        <f t="shared" si="55"/>
        <v>3</v>
      </c>
      <c r="N143" s="10">
        <f t="shared" si="55"/>
        <v>1</v>
      </c>
      <c r="O143" s="10">
        <f t="shared" si="55"/>
        <v>2</v>
      </c>
      <c r="P143" s="10">
        <f t="shared" si="55"/>
        <v>1</v>
      </c>
      <c r="Q143" s="10">
        <f t="shared" si="55"/>
        <v>0</v>
      </c>
      <c r="R143" s="10">
        <f t="shared" si="55"/>
        <v>1</v>
      </c>
      <c r="S143" s="10">
        <f t="shared" si="55"/>
        <v>0.5</v>
      </c>
      <c r="T143" s="10">
        <f t="shared" si="55"/>
        <v>0.5</v>
      </c>
      <c r="U143" s="10">
        <f t="shared" si="55"/>
        <v>0</v>
      </c>
      <c r="V143" s="11">
        <f t="shared" si="34"/>
        <v>20.5</v>
      </c>
      <c r="W143" s="19">
        <f>V143/$V$150</f>
        <v>0.76102088167053361</v>
      </c>
      <c r="X143" s="13"/>
    </row>
    <row r="144" spans="2:24" s="1" customFormat="1" ht="30" hidden="1" customHeight="1" outlineLevel="1" x14ac:dyDescent="0.25">
      <c r="B144" s="1">
        <v>1</v>
      </c>
      <c r="C144" s="42" t="s">
        <v>80</v>
      </c>
      <c r="D144" s="43">
        <f t="shared" ref="D144:U144" si="56">+D145*D146</f>
        <v>6</v>
      </c>
      <c r="E144" s="44">
        <f t="shared" si="56"/>
        <v>1</v>
      </c>
      <c r="F144" s="45">
        <f t="shared" si="56"/>
        <v>4</v>
      </c>
      <c r="G144" s="46">
        <f t="shared" si="56"/>
        <v>2</v>
      </c>
      <c r="H144" s="44">
        <f t="shared" si="56"/>
        <v>0</v>
      </c>
      <c r="I144" s="43">
        <f t="shared" si="56"/>
        <v>0</v>
      </c>
      <c r="J144" s="43">
        <f t="shared" si="56"/>
        <v>0</v>
      </c>
      <c r="K144" s="46">
        <f t="shared" si="56"/>
        <v>0</v>
      </c>
      <c r="L144" s="44">
        <f t="shared" si="56"/>
        <v>0</v>
      </c>
      <c r="M144" s="43">
        <f t="shared" si="56"/>
        <v>2</v>
      </c>
      <c r="N144" s="44">
        <f t="shared" si="56"/>
        <v>0</v>
      </c>
      <c r="O144" s="46">
        <f t="shared" si="56"/>
        <v>0</v>
      </c>
      <c r="P144" s="47">
        <f t="shared" si="56"/>
        <v>1</v>
      </c>
      <c r="Q144" s="43">
        <f t="shared" si="56"/>
        <v>0</v>
      </c>
      <c r="R144" s="46">
        <f t="shared" si="56"/>
        <v>2</v>
      </c>
      <c r="S144" s="43">
        <f t="shared" si="56"/>
        <v>0</v>
      </c>
      <c r="T144" s="43">
        <f t="shared" si="56"/>
        <v>1</v>
      </c>
      <c r="U144" s="46">
        <f t="shared" si="56"/>
        <v>0</v>
      </c>
      <c r="V144" s="61">
        <f>+AVERAGE(H144:U144)</f>
        <v>0.42857142857142855</v>
      </c>
      <c r="W144" s="46"/>
      <c r="X144" s="3"/>
    </row>
    <row r="145" spans="1:30" s="1" customFormat="1" ht="15" hidden="1" customHeight="1" outlineLevel="1" x14ac:dyDescent="0.25">
      <c r="C145" s="21" t="s">
        <v>27</v>
      </c>
      <c r="D145" s="27">
        <v>2</v>
      </c>
      <c r="E145" s="27">
        <v>1</v>
      </c>
      <c r="F145" s="33">
        <v>2</v>
      </c>
      <c r="G145" s="32">
        <v>2</v>
      </c>
      <c r="H145" s="28"/>
      <c r="I145" s="27"/>
      <c r="J145" s="27"/>
      <c r="K145" s="25"/>
      <c r="L145" s="28"/>
      <c r="M145" s="27">
        <v>1</v>
      </c>
      <c r="N145" s="28"/>
      <c r="O145" s="25"/>
      <c r="P145" s="36">
        <v>1</v>
      </c>
      <c r="Q145" s="27"/>
      <c r="R145" s="25">
        <v>2</v>
      </c>
      <c r="S145" s="27"/>
      <c r="T145" s="62">
        <v>1</v>
      </c>
      <c r="U145" s="25"/>
      <c r="V145" s="61"/>
      <c r="W145" s="17"/>
      <c r="X145" s="3"/>
    </row>
    <row r="146" spans="1:30" s="1" customFormat="1" ht="15" hidden="1" customHeight="1" outlineLevel="1" x14ac:dyDescent="0.25">
      <c r="C146" s="21" t="s">
        <v>28</v>
      </c>
      <c r="D146" s="27">
        <v>3</v>
      </c>
      <c r="E146" s="27">
        <v>1</v>
      </c>
      <c r="F146" s="33">
        <v>2</v>
      </c>
      <c r="G146" s="32">
        <v>1</v>
      </c>
      <c r="H146" s="28"/>
      <c r="I146" s="27"/>
      <c r="J146" s="27"/>
      <c r="K146" s="25"/>
      <c r="L146" s="28"/>
      <c r="M146" s="27">
        <v>2</v>
      </c>
      <c r="N146" s="28"/>
      <c r="O146" s="25"/>
      <c r="P146" s="36">
        <v>1</v>
      </c>
      <c r="Q146" s="27"/>
      <c r="R146" s="25">
        <v>1</v>
      </c>
      <c r="S146" s="27"/>
      <c r="T146" s="62">
        <v>1</v>
      </c>
      <c r="U146" s="25"/>
      <c r="V146" s="61"/>
      <c r="W146" s="17"/>
      <c r="X146" s="3"/>
    </row>
    <row r="147" spans="1:30" s="1" customFormat="1" ht="15" hidden="1" customHeight="1" outlineLevel="1" x14ac:dyDescent="0.25">
      <c r="B147" s="1">
        <v>2</v>
      </c>
      <c r="C147" s="63" t="s">
        <v>81</v>
      </c>
      <c r="D147" s="64">
        <f t="shared" ref="D147:U147" si="57">+D148*D149</f>
        <v>2</v>
      </c>
      <c r="E147" s="65">
        <f t="shared" si="57"/>
        <v>0</v>
      </c>
      <c r="F147" s="66">
        <f t="shared" si="57"/>
        <v>1</v>
      </c>
      <c r="G147" s="67">
        <f t="shared" si="57"/>
        <v>2</v>
      </c>
      <c r="H147" s="65">
        <f t="shared" si="57"/>
        <v>1</v>
      </c>
      <c r="I147" s="64">
        <f t="shared" si="57"/>
        <v>2</v>
      </c>
      <c r="J147" s="64">
        <f t="shared" si="57"/>
        <v>1</v>
      </c>
      <c r="K147" s="67">
        <f t="shared" si="57"/>
        <v>1</v>
      </c>
      <c r="L147" s="65">
        <f t="shared" si="57"/>
        <v>0</v>
      </c>
      <c r="M147" s="64">
        <f t="shared" si="57"/>
        <v>4</v>
      </c>
      <c r="N147" s="65">
        <f t="shared" si="57"/>
        <v>2</v>
      </c>
      <c r="O147" s="67">
        <f t="shared" si="57"/>
        <v>4</v>
      </c>
      <c r="P147" s="68">
        <f t="shared" si="57"/>
        <v>1</v>
      </c>
      <c r="Q147" s="64">
        <f t="shared" si="57"/>
        <v>0</v>
      </c>
      <c r="R147" s="67">
        <f t="shared" si="57"/>
        <v>0</v>
      </c>
      <c r="S147" s="64">
        <f t="shared" si="57"/>
        <v>1</v>
      </c>
      <c r="T147" s="64">
        <f t="shared" si="57"/>
        <v>0</v>
      </c>
      <c r="U147" s="67">
        <f t="shared" si="57"/>
        <v>0</v>
      </c>
      <c r="V147" s="61">
        <f>+AVERAGE(H147:U147)</f>
        <v>1.2142857142857142</v>
      </c>
      <c r="W147" s="67"/>
      <c r="X147" s="3"/>
    </row>
    <row r="148" spans="1:30" s="1" customFormat="1" ht="15" hidden="1" customHeight="1" outlineLevel="1" x14ac:dyDescent="0.25">
      <c r="C148" s="21" t="s">
        <v>27</v>
      </c>
      <c r="D148" s="27">
        <v>1</v>
      </c>
      <c r="E148" s="27"/>
      <c r="F148" s="27">
        <v>1</v>
      </c>
      <c r="G148" s="32">
        <v>2</v>
      </c>
      <c r="H148" s="28">
        <v>1</v>
      </c>
      <c r="I148" s="62">
        <v>2</v>
      </c>
      <c r="J148" s="62">
        <v>1</v>
      </c>
      <c r="K148" s="69">
        <v>1</v>
      </c>
      <c r="L148" s="28"/>
      <c r="M148" s="27">
        <v>2</v>
      </c>
      <c r="N148" s="28">
        <v>2</v>
      </c>
      <c r="O148" s="25">
        <v>2</v>
      </c>
      <c r="P148" s="36">
        <v>1</v>
      </c>
      <c r="Q148" s="27"/>
      <c r="R148" s="25"/>
      <c r="S148" s="27">
        <v>1</v>
      </c>
      <c r="T148" s="27"/>
      <c r="U148" s="25"/>
      <c r="V148" s="70"/>
      <c r="W148" s="57"/>
      <c r="X148" s="3"/>
    </row>
    <row r="149" spans="1:30" s="1" customFormat="1" ht="15" hidden="1" customHeight="1" outlineLevel="1" x14ac:dyDescent="0.25">
      <c r="C149" s="21" t="s">
        <v>28</v>
      </c>
      <c r="D149" s="27">
        <v>2</v>
      </c>
      <c r="E149" s="27"/>
      <c r="F149" s="27">
        <v>1</v>
      </c>
      <c r="G149" s="32">
        <v>1</v>
      </c>
      <c r="H149" s="28">
        <v>1</v>
      </c>
      <c r="I149" s="62">
        <v>1</v>
      </c>
      <c r="J149" s="62">
        <v>1</v>
      </c>
      <c r="K149" s="69">
        <v>1</v>
      </c>
      <c r="L149" s="28"/>
      <c r="M149" s="27">
        <v>2</v>
      </c>
      <c r="N149" s="28">
        <v>1</v>
      </c>
      <c r="O149" s="25">
        <v>2</v>
      </c>
      <c r="P149" s="36">
        <v>1</v>
      </c>
      <c r="Q149" s="27"/>
      <c r="R149" s="25"/>
      <c r="S149" s="27">
        <v>1</v>
      </c>
      <c r="T149" s="27"/>
      <c r="U149" s="25"/>
      <c r="V149" s="70"/>
      <c r="W149" s="57"/>
      <c r="X149" s="3"/>
    </row>
    <row r="150" spans="1:30" collapsed="1" x14ac:dyDescent="0.25">
      <c r="A150" s="3"/>
      <c r="D150" s="3">
        <f t="shared" ref="D150:U150" si="58">+SUM(D143,D130,D117,D110,D103,D90,D77,D67,D54,D5)</f>
        <v>23.625</v>
      </c>
      <c r="E150" s="3">
        <f t="shared" si="58"/>
        <v>10.5625</v>
      </c>
      <c r="F150" s="3">
        <f t="shared" si="58"/>
        <v>20.5625</v>
      </c>
      <c r="G150" s="3">
        <f t="shared" si="58"/>
        <v>15</v>
      </c>
      <c r="H150" s="3">
        <f t="shared" si="58"/>
        <v>6.375</v>
      </c>
      <c r="I150" s="3">
        <f t="shared" si="58"/>
        <v>11.4375</v>
      </c>
      <c r="J150" s="3">
        <f t="shared" si="58"/>
        <v>11</v>
      </c>
      <c r="K150" s="3">
        <f t="shared" si="58"/>
        <v>9.125</v>
      </c>
      <c r="L150" s="3">
        <f t="shared" si="58"/>
        <v>10.6875</v>
      </c>
      <c r="M150" s="3">
        <f t="shared" si="58"/>
        <v>27.375</v>
      </c>
      <c r="N150" s="3">
        <f t="shared" si="58"/>
        <v>8.8125</v>
      </c>
      <c r="O150" s="3">
        <f t="shared" si="58"/>
        <v>14.8125</v>
      </c>
      <c r="P150" s="3">
        <f t="shared" si="58"/>
        <v>19.125</v>
      </c>
      <c r="Q150" s="3">
        <f t="shared" si="58"/>
        <v>10.3125</v>
      </c>
      <c r="R150" s="3">
        <f t="shared" si="58"/>
        <v>9.3125</v>
      </c>
      <c r="S150" s="3">
        <f t="shared" si="58"/>
        <v>24.8125</v>
      </c>
      <c r="T150" s="3">
        <f t="shared" si="58"/>
        <v>19.1875</v>
      </c>
      <c r="U150" s="3">
        <f t="shared" si="58"/>
        <v>17.25</v>
      </c>
      <c r="V150" s="71">
        <f>+AVERAGE(V143,V130,V117,V110,V103,V90,V77,V67,V54,V5)</f>
        <v>26.9375</v>
      </c>
      <c r="W150" s="3">
        <v>1</v>
      </c>
      <c r="X150" s="3">
        <f>_xlfn.STDEV.P(W54:W143)</f>
        <v>0.44509407933720024</v>
      </c>
    </row>
    <row r="151" spans="1:30" x14ac:dyDescent="0.25">
      <c r="A151" s="3"/>
    </row>
    <row r="152" spans="1:30" ht="26.25" customHeight="1" x14ac:dyDescent="0.25">
      <c r="A152" s="3"/>
      <c r="C152" s="72" t="s">
        <v>175</v>
      </c>
      <c r="V152" s="71"/>
      <c r="Z152" s="3" t="s">
        <v>178</v>
      </c>
    </row>
    <row r="153" spans="1:30" x14ac:dyDescent="0.25">
      <c r="A153" s="3"/>
      <c r="C153" s="73" t="s">
        <v>25</v>
      </c>
      <c r="D153" s="87">
        <v>1.3910010940919033</v>
      </c>
      <c r="E153" s="87">
        <v>9.9357221006564522E-2</v>
      </c>
      <c r="F153" s="87">
        <v>0.8942149890590807</v>
      </c>
      <c r="G153" s="87">
        <v>0.79485776805251618</v>
      </c>
      <c r="H153" s="87">
        <v>0.19871444201312904</v>
      </c>
      <c r="I153" s="87">
        <v>0.69550054704595166</v>
      </c>
      <c r="J153" s="87">
        <v>0.79485776805251618</v>
      </c>
      <c r="K153" s="87">
        <v>0.99357221006564522</v>
      </c>
      <c r="L153" s="87">
        <v>1.8877871991247259</v>
      </c>
      <c r="M153" s="87">
        <v>2.5832877461706776</v>
      </c>
      <c r="N153" s="87">
        <v>3.2787882932166292</v>
      </c>
      <c r="O153" s="87">
        <v>4.4710749452954035</v>
      </c>
      <c r="P153" s="87">
        <v>0.99357221006564522</v>
      </c>
      <c r="Q153" s="87">
        <v>1.6890727571115969</v>
      </c>
      <c r="R153" s="87">
        <v>0.49678610503282261</v>
      </c>
      <c r="S153" s="87">
        <v>2.8813594091903711</v>
      </c>
      <c r="T153" s="87">
        <v>1.8877871991247259</v>
      </c>
      <c r="U153" s="87">
        <v>1.1922866520787743</v>
      </c>
      <c r="V153" s="74">
        <f>SUM(D153:U153)/18</f>
        <v>1.512437697544371</v>
      </c>
      <c r="W153" s="75"/>
      <c r="Z153" s="102">
        <f>+SUM(D153:G153)</f>
        <v>3.1794310722100647</v>
      </c>
      <c r="AA153" s="102">
        <f>+SUM(H153:K153)</f>
        <v>2.6826449671772421</v>
      </c>
      <c r="AB153" s="102">
        <f>+SUM(L153:O153)</f>
        <v>12.220938183807437</v>
      </c>
      <c r="AC153" s="102">
        <f>+SUM(P153:R153)</f>
        <v>3.1794310722100647</v>
      </c>
      <c r="AD153" s="102">
        <f>+SUM(S153:U153)</f>
        <v>5.9614332603938713</v>
      </c>
    </row>
    <row r="154" spans="1:30" x14ac:dyDescent="0.25">
      <c r="A154" s="3"/>
      <c r="C154" s="76" t="s">
        <v>44</v>
      </c>
      <c r="D154" s="87">
        <v>1.8208020050125306</v>
      </c>
      <c r="E154" s="87">
        <v>0.45520050125313266</v>
      </c>
      <c r="F154" s="87">
        <v>1.8208020050125306</v>
      </c>
      <c r="G154" s="87">
        <v>0.45520050125313266</v>
      </c>
      <c r="H154" s="87" t="s">
        <v>174</v>
      </c>
      <c r="I154" s="87">
        <v>0.45520050125313266</v>
      </c>
      <c r="J154" s="87">
        <v>0.45520050125313266</v>
      </c>
      <c r="K154" s="87" t="s">
        <v>174</v>
      </c>
      <c r="L154" s="87" t="s">
        <v>174</v>
      </c>
      <c r="M154" s="87">
        <v>4.5520050125313265</v>
      </c>
      <c r="N154" s="87">
        <v>0.45520050125313266</v>
      </c>
      <c r="O154" s="87">
        <v>0.68280075187969902</v>
      </c>
      <c r="P154" s="87">
        <v>1.5932017543859642</v>
      </c>
      <c r="Q154" s="87">
        <v>0.68280075187969902</v>
      </c>
      <c r="R154" s="87">
        <v>0.68280075187969902</v>
      </c>
      <c r="S154" s="87">
        <v>2.2760025062656632</v>
      </c>
      <c r="T154" s="87">
        <v>5.0072055137844593</v>
      </c>
      <c r="U154" s="87">
        <v>4.0968045112781937</v>
      </c>
      <c r="V154" s="74">
        <f t="shared" ref="V154:V162" si="59">SUM(D154:U154)/18</f>
        <v>1.4161793372319682</v>
      </c>
      <c r="W154" s="75"/>
      <c r="Z154" s="102">
        <f t="shared" ref="Z154:Z162" si="60">+SUM(D154:G154)</f>
        <v>4.5520050125313265</v>
      </c>
      <c r="AA154" s="102">
        <f t="shared" ref="AA154:AA162" si="61">+SUM(H154:K154)</f>
        <v>0.91040100250626532</v>
      </c>
      <c r="AB154" s="102">
        <f t="shared" ref="AB154:AB162" si="62">+SUM(L154:O154)</f>
        <v>5.6900062656641586</v>
      </c>
      <c r="AC154" s="102">
        <f t="shared" ref="AC154:AC162" si="63">+SUM(P154:R154)</f>
        <v>2.9588032581453625</v>
      </c>
      <c r="AD154" s="102">
        <f t="shared" ref="AD154:AD162" si="64">+SUM(S154:U154)</f>
        <v>11.380012531328315</v>
      </c>
    </row>
    <row r="155" spans="1:30" x14ac:dyDescent="0.25">
      <c r="A155" s="3"/>
      <c r="C155" s="77" t="s">
        <v>49</v>
      </c>
      <c r="D155" s="87">
        <v>1.8407939189189184</v>
      </c>
      <c r="E155" s="87" t="s">
        <v>174</v>
      </c>
      <c r="F155" s="87">
        <v>1.8407939189189184</v>
      </c>
      <c r="G155" s="87">
        <v>0.6135979729729728</v>
      </c>
      <c r="H155" s="87" t="s">
        <v>174</v>
      </c>
      <c r="I155" s="87">
        <v>0.6135979729729728</v>
      </c>
      <c r="J155" s="87">
        <v>0.6135979729729728</v>
      </c>
      <c r="K155" s="87">
        <v>0.3067989864864864</v>
      </c>
      <c r="L155" s="87">
        <v>2.4543918918918912</v>
      </c>
      <c r="M155" s="87">
        <v>1.2271959459459456</v>
      </c>
      <c r="N155" s="87" t="s">
        <v>174</v>
      </c>
      <c r="O155" s="87">
        <v>0.3067989864864864</v>
      </c>
      <c r="P155" s="87">
        <v>3.067989864864864</v>
      </c>
      <c r="Q155" s="87">
        <v>3.067989864864864</v>
      </c>
      <c r="R155" s="87">
        <v>1.2271959459459456</v>
      </c>
      <c r="S155" s="87">
        <v>3.067989864864864</v>
      </c>
      <c r="T155" s="87">
        <v>3.067989864864864</v>
      </c>
      <c r="U155" s="87">
        <v>1.8407939189189184</v>
      </c>
      <c r="V155" s="74">
        <f t="shared" si="59"/>
        <v>1.3976398273273267</v>
      </c>
      <c r="W155" s="75"/>
      <c r="Z155" s="102">
        <f>+SUM(D155:G155)</f>
        <v>4.2951858108108096</v>
      </c>
      <c r="AA155" s="102">
        <f t="shared" si="61"/>
        <v>1.533994932432432</v>
      </c>
      <c r="AB155" s="102">
        <f t="shared" si="62"/>
        <v>3.9883868243243232</v>
      </c>
      <c r="AC155" s="102">
        <f t="shared" si="63"/>
        <v>7.3631756756756737</v>
      </c>
      <c r="AD155" s="102">
        <f t="shared" si="64"/>
        <v>7.9767736486486465</v>
      </c>
    </row>
    <row r="156" spans="1:30" x14ac:dyDescent="0.25">
      <c r="A156" s="3"/>
      <c r="C156" s="78" t="s">
        <v>53</v>
      </c>
      <c r="D156" s="87">
        <v>1.1642628205128198</v>
      </c>
      <c r="E156" s="87">
        <v>0.77617521367521325</v>
      </c>
      <c r="F156" s="87">
        <v>0.58213141025640991</v>
      </c>
      <c r="G156" s="87">
        <v>0.58213141025640991</v>
      </c>
      <c r="H156" s="87">
        <v>0.77617521367521325</v>
      </c>
      <c r="I156" s="87" t="s">
        <v>174</v>
      </c>
      <c r="J156" s="87">
        <v>0.19404380341880331</v>
      </c>
      <c r="K156" s="87">
        <v>0.58213141025640991</v>
      </c>
      <c r="L156" s="87">
        <v>1.9404380341880332</v>
      </c>
      <c r="M156" s="87">
        <v>0.77617521367521325</v>
      </c>
      <c r="N156" s="87">
        <v>1.9404380341880332</v>
      </c>
      <c r="O156" s="87">
        <v>1.5523504273504265</v>
      </c>
      <c r="P156" s="87">
        <v>3.4927884615384595</v>
      </c>
      <c r="Q156" s="87">
        <v>3.4927884615384595</v>
      </c>
      <c r="R156" s="87">
        <v>0.97021901709401659</v>
      </c>
      <c r="S156" s="87">
        <v>3.4927884615384595</v>
      </c>
      <c r="T156" s="87">
        <v>1.9404380341880332</v>
      </c>
      <c r="U156" s="87">
        <v>1.1642628205128198</v>
      </c>
      <c r="V156" s="74">
        <f t="shared" si="59"/>
        <v>1.4122076804368464</v>
      </c>
      <c r="W156" s="75"/>
      <c r="Z156" s="102">
        <f t="shared" si="60"/>
        <v>3.1047008547008526</v>
      </c>
      <c r="AA156" s="102">
        <f t="shared" si="61"/>
        <v>1.5523504273504265</v>
      </c>
      <c r="AB156" s="102">
        <f t="shared" si="62"/>
        <v>6.209401709401706</v>
      </c>
      <c r="AC156" s="102">
        <f>+SUM(P156:R156)</f>
        <v>7.9557959401709351</v>
      </c>
      <c r="AD156" s="102">
        <f>+SUM(S156:U156)</f>
        <v>6.5974893162393116</v>
      </c>
    </row>
    <row r="157" spans="1:30" x14ac:dyDescent="0.25">
      <c r="A157" s="3"/>
      <c r="C157" s="78" t="s">
        <v>58</v>
      </c>
      <c r="D157" s="87" t="s">
        <v>174</v>
      </c>
      <c r="E157" s="87" t="s">
        <v>174</v>
      </c>
      <c r="F157" s="87">
        <v>0.49354619565217378</v>
      </c>
      <c r="G157" s="87">
        <v>0.24677309782608689</v>
      </c>
      <c r="H157" s="87">
        <v>0.24677309782608689</v>
      </c>
      <c r="I157" s="87">
        <v>1.4806385869565213</v>
      </c>
      <c r="J157" s="87">
        <v>2.2209578804347818</v>
      </c>
      <c r="K157" s="87">
        <v>1.2338654891304344</v>
      </c>
      <c r="L157" s="87">
        <v>0.98709239130434756</v>
      </c>
      <c r="M157" s="87">
        <v>3.2080502717391295</v>
      </c>
      <c r="N157" s="87">
        <v>0.24677309782608689</v>
      </c>
      <c r="O157" s="87">
        <v>2.4677309782608687</v>
      </c>
      <c r="P157" s="87">
        <v>3.2080502717391295</v>
      </c>
      <c r="Q157" s="87">
        <v>1.4806385869565213</v>
      </c>
      <c r="R157" s="87">
        <v>0.74031929347826064</v>
      </c>
      <c r="S157" s="87">
        <v>4.4419157608695636</v>
      </c>
      <c r="T157" s="87">
        <v>0.98709239130434756</v>
      </c>
      <c r="U157" s="87">
        <v>2.2209578804347818</v>
      </c>
      <c r="V157" s="74">
        <f t="shared" si="59"/>
        <v>1.4395097373188401</v>
      </c>
      <c r="W157" s="75"/>
      <c r="Z157" s="102">
        <f t="shared" si="60"/>
        <v>0.74031929347826064</v>
      </c>
      <c r="AA157" s="102">
        <f t="shared" si="61"/>
        <v>5.1822350543478244</v>
      </c>
      <c r="AB157" s="102">
        <f t="shared" si="62"/>
        <v>6.9096467391304319</v>
      </c>
      <c r="AC157" s="102">
        <f t="shared" si="63"/>
        <v>5.4290081521739113</v>
      </c>
      <c r="AD157" s="102">
        <f t="shared" si="64"/>
        <v>7.6499660326086936</v>
      </c>
    </row>
    <row r="158" spans="1:30" x14ac:dyDescent="0.25">
      <c r="A158" s="3"/>
      <c r="C158" s="79" t="s">
        <v>63</v>
      </c>
      <c r="D158" s="87">
        <v>2.2608921161825717</v>
      </c>
      <c r="E158" s="87" t="s">
        <v>174</v>
      </c>
      <c r="F158" s="87">
        <v>1.1304460580912858</v>
      </c>
      <c r="G158" s="87">
        <v>0.37681535269709526</v>
      </c>
      <c r="H158" s="87">
        <v>2.2608921161825717</v>
      </c>
      <c r="I158" s="87">
        <v>2.2608921161825717</v>
      </c>
      <c r="J158" s="87">
        <v>2.2608921161825717</v>
      </c>
      <c r="K158" s="87">
        <v>2.2608921161825717</v>
      </c>
      <c r="L158" s="87">
        <v>0.75363070539419053</v>
      </c>
      <c r="M158" s="87">
        <v>4.5217842323651434</v>
      </c>
      <c r="N158" s="87" t="s">
        <v>174</v>
      </c>
      <c r="O158" s="87">
        <v>1.1304460580912858</v>
      </c>
      <c r="P158" s="87">
        <v>1.1304460580912858</v>
      </c>
      <c r="Q158" s="87" t="s">
        <v>174</v>
      </c>
      <c r="R158" s="87" t="s">
        <v>174</v>
      </c>
      <c r="S158" s="87">
        <v>3.0145228215767621</v>
      </c>
      <c r="T158" s="87">
        <v>1.1304460580912858</v>
      </c>
      <c r="U158" s="87">
        <v>3.0145228215767621</v>
      </c>
      <c r="V158" s="74">
        <f t="shared" si="59"/>
        <v>1.5281955970493311</v>
      </c>
      <c r="W158" s="75"/>
      <c r="Z158" s="102">
        <f t="shared" si="60"/>
        <v>3.768153526970953</v>
      </c>
      <c r="AA158" s="102">
        <f t="shared" si="61"/>
        <v>9.0435684647302867</v>
      </c>
      <c r="AB158" s="102">
        <f t="shared" si="62"/>
        <v>6.4058609958506194</v>
      </c>
      <c r="AC158" s="102">
        <f t="shared" si="63"/>
        <v>1.1304460580912858</v>
      </c>
      <c r="AD158" s="102">
        <f t="shared" si="64"/>
        <v>7.1594917012448107</v>
      </c>
    </row>
    <row r="159" spans="1:30" x14ac:dyDescent="0.25">
      <c r="A159" s="3"/>
      <c r="C159" s="78" t="s">
        <v>66</v>
      </c>
      <c r="D159" s="87">
        <v>0.990681818181818</v>
      </c>
      <c r="E159" s="87">
        <v>1.3209090909090906</v>
      </c>
      <c r="F159" s="87">
        <v>1.981363636363636</v>
      </c>
      <c r="G159" s="87">
        <v>1.981363636363636</v>
      </c>
      <c r="H159" s="87">
        <v>0.33022727272727265</v>
      </c>
      <c r="I159" s="87">
        <v>2.9720454545454538</v>
      </c>
      <c r="J159" s="87">
        <v>2.3115909090909086</v>
      </c>
      <c r="K159" s="87">
        <v>0.990681818181818</v>
      </c>
      <c r="L159" s="87">
        <v>0.990681818181818</v>
      </c>
      <c r="M159" s="87">
        <v>2.9720454545454538</v>
      </c>
      <c r="N159" s="87">
        <v>1.3209090909090906</v>
      </c>
      <c r="O159" s="87">
        <v>1.981363636363636</v>
      </c>
      <c r="P159" s="87">
        <v>0.66045454545454529</v>
      </c>
      <c r="Q159" s="87" t="s">
        <v>174</v>
      </c>
      <c r="R159" s="87" t="s">
        <v>174</v>
      </c>
      <c r="S159" s="87">
        <v>2.9720454545454538</v>
      </c>
      <c r="T159" s="87">
        <v>2.9720454545454538</v>
      </c>
      <c r="U159" s="87">
        <v>0.990681818181818</v>
      </c>
      <c r="V159" s="74">
        <f t="shared" si="59"/>
        <v>1.5410606060606058</v>
      </c>
      <c r="W159" s="75"/>
      <c r="Z159" s="102">
        <f t="shared" si="60"/>
        <v>6.274318181818181</v>
      </c>
      <c r="AA159" s="102">
        <f t="shared" si="61"/>
        <v>6.6045454545454527</v>
      </c>
      <c r="AB159" s="102">
        <f t="shared" si="62"/>
        <v>7.2649999999999988</v>
      </c>
      <c r="AC159" s="102">
        <f t="shared" si="63"/>
        <v>0.66045454545454529</v>
      </c>
      <c r="AD159" s="102">
        <f t="shared" si="64"/>
        <v>6.9347727272727253</v>
      </c>
    </row>
    <row r="160" spans="1:30" ht="18.75" customHeight="1" x14ac:dyDescent="0.25">
      <c r="A160" s="3"/>
      <c r="C160" s="78" t="s">
        <v>69</v>
      </c>
      <c r="D160" s="87">
        <v>5.1306497175141228</v>
      </c>
      <c r="E160" s="87">
        <v>5.1306497175141228</v>
      </c>
      <c r="F160" s="87">
        <v>4.1045197740112984</v>
      </c>
      <c r="G160" s="87">
        <v>3.078389830508474</v>
      </c>
      <c r="H160" s="87">
        <v>1.0261299435028246</v>
      </c>
      <c r="I160" s="87" t="s">
        <v>174</v>
      </c>
      <c r="J160" s="87" t="s">
        <v>174</v>
      </c>
      <c r="K160" s="87">
        <v>1.0261299435028246</v>
      </c>
      <c r="L160" s="87">
        <v>0.5130649717514123</v>
      </c>
      <c r="M160" s="87">
        <v>0.5130649717514123</v>
      </c>
      <c r="N160" s="87">
        <v>0.5130649717514123</v>
      </c>
      <c r="O160" s="87" t="s">
        <v>174</v>
      </c>
      <c r="P160" s="87">
        <v>2.5653248587570614</v>
      </c>
      <c r="Q160" s="87" t="s">
        <v>174</v>
      </c>
      <c r="R160" s="87">
        <v>3.3349223163841799</v>
      </c>
      <c r="S160" s="87" t="s">
        <v>174</v>
      </c>
      <c r="T160" s="87" t="s">
        <v>174</v>
      </c>
      <c r="U160" s="87">
        <v>1.0261299435028246</v>
      </c>
      <c r="V160" s="74">
        <f t="shared" si="59"/>
        <v>1.5534467200251092</v>
      </c>
      <c r="W160" s="75"/>
      <c r="Z160" s="102">
        <f t="shared" si="60"/>
        <v>17.444209039548017</v>
      </c>
      <c r="AA160" s="102">
        <f t="shared" si="61"/>
        <v>2.0522598870056492</v>
      </c>
      <c r="AB160" s="102">
        <f t="shared" si="62"/>
        <v>1.539194915254237</v>
      </c>
      <c r="AC160" s="102">
        <f t="shared" si="63"/>
        <v>5.9002471751412413</v>
      </c>
      <c r="AD160" s="102">
        <f t="shared" si="64"/>
        <v>1.0261299435028246</v>
      </c>
    </row>
    <row r="161" spans="1:36" ht="18.75" customHeight="1" x14ac:dyDescent="0.25">
      <c r="A161" s="3"/>
      <c r="C161" s="78" t="s">
        <v>74</v>
      </c>
      <c r="D161" s="87">
        <v>6.7415393013100422</v>
      </c>
      <c r="E161" s="87">
        <v>2.3793668122270737</v>
      </c>
      <c r="F161" s="87">
        <v>6.7415393013100422</v>
      </c>
      <c r="G161" s="87">
        <v>6.3449781659388629</v>
      </c>
      <c r="H161" s="87" t="s">
        <v>174</v>
      </c>
      <c r="I161" s="87" t="s">
        <v>174</v>
      </c>
      <c r="J161" s="87" t="s">
        <v>174</v>
      </c>
      <c r="K161" s="87">
        <v>0.39656113537117893</v>
      </c>
      <c r="L161" s="87">
        <v>1.5862445414847157</v>
      </c>
      <c r="M161" s="87">
        <v>2.3793668122270737</v>
      </c>
      <c r="N161" s="87" t="s">
        <v>174</v>
      </c>
      <c r="O161" s="87" t="s">
        <v>174</v>
      </c>
      <c r="P161" s="87">
        <v>0.79312227074235786</v>
      </c>
      <c r="Q161" s="87" t="s">
        <v>174</v>
      </c>
      <c r="R161" s="87">
        <v>1.5862445414847157</v>
      </c>
      <c r="S161" s="87" t="s">
        <v>174</v>
      </c>
      <c r="T161" s="87" t="s">
        <v>174</v>
      </c>
      <c r="U161" s="87">
        <v>0.39656113537117893</v>
      </c>
      <c r="V161" s="74">
        <f t="shared" si="59"/>
        <v>1.6303068898592914</v>
      </c>
      <c r="W161" s="75"/>
      <c r="Z161" s="102">
        <f t="shared" si="60"/>
        <v>22.207423580786021</v>
      </c>
      <c r="AA161" s="102">
        <f t="shared" si="61"/>
        <v>0.39656113537117893</v>
      </c>
      <c r="AB161" s="102">
        <f t="shared" si="62"/>
        <v>3.9656113537117896</v>
      </c>
      <c r="AC161" s="102">
        <f t="shared" si="63"/>
        <v>2.3793668122270737</v>
      </c>
      <c r="AD161" s="102">
        <f t="shared" si="64"/>
        <v>0.39656113537117893</v>
      </c>
    </row>
    <row r="162" spans="1:36" ht="18.75" customHeight="1" x14ac:dyDescent="0.25">
      <c r="A162" s="3"/>
      <c r="B162" s="3"/>
      <c r="C162" s="80" t="s">
        <v>79</v>
      </c>
      <c r="D162" s="87">
        <v>5.6317829457364317</v>
      </c>
      <c r="E162" s="87">
        <v>0.70397286821705396</v>
      </c>
      <c r="F162" s="87">
        <v>3.5198643410852699</v>
      </c>
      <c r="G162" s="87">
        <v>2.8158914728682158</v>
      </c>
      <c r="H162" s="87">
        <v>0.70397286821705396</v>
      </c>
      <c r="I162" s="87">
        <v>1.4079457364341079</v>
      </c>
      <c r="J162" s="87">
        <v>0.70397286821705396</v>
      </c>
      <c r="K162" s="87">
        <v>0.70397286821705396</v>
      </c>
      <c r="L162" s="87" t="s">
        <v>174</v>
      </c>
      <c r="M162" s="87">
        <v>4.2238372093023235</v>
      </c>
      <c r="N162" s="87">
        <v>1.4079457364341079</v>
      </c>
      <c r="O162" s="87">
        <v>2.8158914728682158</v>
      </c>
      <c r="P162" s="87">
        <v>1.4079457364341079</v>
      </c>
      <c r="Q162" s="87" t="s">
        <v>174</v>
      </c>
      <c r="R162" s="87">
        <v>1.4079457364341079</v>
      </c>
      <c r="S162" s="87">
        <v>0.70397286821705396</v>
      </c>
      <c r="T162" s="87">
        <v>0.70397286821705396</v>
      </c>
      <c r="U162" s="87" t="s">
        <v>174</v>
      </c>
      <c r="V162" s="74">
        <f t="shared" si="59"/>
        <v>1.6034937553832895</v>
      </c>
      <c r="W162" s="75"/>
      <c r="Z162" s="102">
        <f t="shared" si="60"/>
        <v>12.671511627906971</v>
      </c>
      <c r="AA162" s="102">
        <f t="shared" si="61"/>
        <v>3.5198643410852699</v>
      </c>
      <c r="AB162" s="102">
        <f t="shared" si="62"/>
        <v>8.4476744186046471</v>
      </c>
      <c r="AC162" s="102">
        <f t="shared" si="63"/>
        <v>2.8158914728682158</v>
      </c>
      <c r="AD162" s="102">
        <f t="shared" si="64"/>
        <v>1.4079457364341079</v>
      </c>
    </row>
    <row r="163" spans="1:36" x14ac:dyDescent="0.25">
      <c r="A163" s="3"/>
      <c r="B163" s="3"/>
      <c r="C163" s="8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74"/>
      <c r="W163" s="75"/>
    </row>
    <row r="164" spans="1:36" ht="30" x14ac:dyDescent="0.25">
      <c r="A164" s="3"/>
      <c r="B164" s="3"/>
      <c r="C164" s="105" t="s">
        <v>96</v>
      </c>
      <c r="D164" s="83"/>
      <c r="E164" s="83"/>
      <c r="F164" s="83"/>
      <c r="G164" s="83"/>
      <c r="H164" s="83"/>
      <c r="I164" s="83" t="s">
        <v>176</v>
      </c>
      <c r="J164" s="88">
        <v>0.2</v>
      </c>
      <c r="K164" s="89">
        <v>0.2</v>
      </c>
      <c r="L164" s="90">
        <v>0.2</v>
      </c>
      <c r="M164" s="91">
        <v>0.2</v>
      </c>
      <c r="N164" s="91">
        <v>0.2</v>
      </c>
      <c r="O164" s="83"/>
      <c r="P164" s="83"/>
      <c r="Q164" s="83"/>
      <c r="R164" s="83"/>
      <c r="S164" s="83"/>
      <c r="T164" s="83"/>
      <c r="U164" s="83"/>
      <c r="V164" s="84"/>
      <c r="W164" s="85"/>
    </row>
    <row r="165" spans="1:36" x14ac:dyDescent="0.25">
      <c r="A165" s="3"/>
      <c r="B165" s="3"/>
      <c r="C165" s="86" t="s">
        <v>83</v>
      </c>
      <c r="D165" s="88">
        <v>0.2</v>
      </c>
      <c r="E165" s="89">
        <v>0.2</v>
      </c>
      <c r="F165" s="90">
        <v>0.2</v>
      </c>
      <c r="G165" s="91">
        <v>0.2</v>
      </c>
      <c r="H165" s="91">
        <v>0.2</v>
      </c>
      <c r="I165" s="87"/>
      <c r="J165" s="87"/>
      <c r="K165" s="87"/>
      <c r="M165" s="87"/>
      <c r="N165" s="87"/>
      <c r="O165" s="87"/>
      <c r="Q165" s="87"/>
      <c r="R165" s="87"/>
      <c r="T165" s="87"/>
      <c r="U165" s="87"/>
      <c r="Z165" t="s">
        <v>84</v>
      </c>
    </row>
    <row r="166" spans="1:36" ht="18" customHeight="1" x14ac:dyDescent="0.25">
      <c r="A166" s="3"/>
      <c r="B166" s="3"/>
      <c r="C166" s="86"/>
      <c r="D166" s="88"/>
      <c r="E166" s="88"/>
      <c r="F166" s="88"/>
      <c r="G166" s="88"/>
      <c r="H166" s="89"/>
      <c r="I166" s="89"/>
      <c r="J166" s="89"/>
      <c r="K166" s="89"/>
      <c r="L166" s="90"/>
      <c r="M166" s="90"/>
      <c r="N166" s="90"/>
      <c r="O166" s="90"/>
      <c r="P166" s="91"/>
      <c r="Q166" s="91"/>
      <c r="R166" s="91"/>
      <c r="S166" s="91"/>
      <c r="T166" s="91"/>
      <c r="U166" s="91"/>
      <c r="X166" t="s">
        <v>177</v>
      </c>
      <c r="Z166" s="93" t="s">
        <v>85</v>
      </c>
      <c r="AE166" t="s">
        <v>86</v>
      </c>
      <c r="AF166"/>
      <c r="AG166"/>
      <c r="AH166"/>
      <c r="AI166"/>
      <c r="AJ166"/>
    </row>
    <row r="167" spans="1:36" x14ac:dyDescent="0.25">
      <c r="A167" s="3"/>
      <c r="B167" s="3"/>
      <c r="C167" s="54" t="s">
        <v>25</v>
      </c>
      <c r="D167" s="87">
        <f>IF(Z153="","",Z153*$J$164)</f>
        <v>0.63588621444201299</v>
      </c>
      <c r="E167" s="87">
        <f>IF(AA153="","",AA153*$K$164)</f>
        <v>0.53652899343544846</v>
      </c>
      <c r="F167" s="87">
        <f>IF(AB153="","",AB153*$L$164)</f>
        <v>2.4441876367614874</v>
      </c>
      <c r="G167" s="87">
        <f>IF(AC153="","",AC153*$M$164)</f>
        <v>0.63588621444201299</v>
      </c>
      <c r="H167" s="87">
        <f>IF(AD153="","",AD153*$N$164)</f>
        <v>1.1922866520787743</v>
      </c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94"/>
      <c r="W167" s="87">
        <f>+SUM(D167:U167)</f>
        <v>5.4447757111597364</v>
      </c>
      <c r="X167" s="95">
        <f>+W167</f>
        <v>5.4447757111597364</v>
      </c>
      <c r="Z167" s="95">
        <f>$X$177/X167</f>
        <v>0.99405601120940756</v>
      </c>
      <c r="AA167" s="95"/>
      <c r="AB167" s="87"/>
      <c r="AE167"/>
      <c r="AF167">
        <v>0.2112</v>
      </c>
      <c r="AG167">
        <v>0.19639999999999999</v>
      </c>
      <c r="AH167">
        <v>0.17449999999999999</v>
      </c>
      <c r="AI167">
        <v>0.20669999999999999</v>
      </c>
      <c r="AJ167">
        <v>0.2112</v>
      </c>
    </row>
    <row r="168" spans="1:36" x14ac:dyDescent="0.25">
      <c r="A168" s="3"/>
      <c r="B168" s="3"/>
      <c r="C168" s="54" t="s">
        <v>44</v>
      </c>
      <c r="D168" s="87">
        <f t="shared" ref="D168:D176" si="65">IF(Z154="","",Z154*$J$164)</f>
        <v>0.91040100250626532</v>
      </c>
      <c r="E168" s="87">
        <f t="shared" ref="E168:E176" si="66">IF(AA154="","",AA154*$K$164)</f>
        <v>0.18208020050125306</v>
      </c>
      <c r="F168" s="87">
        <f t="shared" ref="F168:F176" si="67">IF(AB154="","",AB154*$L$164)</f>
        <v>1.1380012531328318</v>
      </c>
      <c r="G168" s="87">
        <f t="shared" ref="G168:G176" si="68">IF(AC154="","",AC154*$M$164)</f>
        <v>0.59176065162907254</v>
      </c>
      <c r="H168" s="87">
        <f>IF(AD154="","",AD154*$N$164)</f>
        <v>2.2760025062656632</v>
      </c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94"/>
      <c r="W168" s="87">
        <f t="shared" ref="W168:W176" si="69">+SUM(D168:U168)</f>
        <v>5.0982456140350862</v>
      </c>
      <c r="X168" s="95">
        <f t="shared" ref="X168:X176" si="70">+W168</f>
        <v>5.0982456140350862</v>
      </c>
      <c r="Y168" s="95"/>
      <c r="Z168" s="95">
        <f t="shared" ref="Z168:Z176" si="71">$X$177/X168</f>
        <v>1.0616224550785374</v>
      </c>
      <c r="AA168" s="95"/>
      <c r="AB168" s="87"/>
      <c r="AE168"/>
      <c r="AF168">
        <v>0.28399999999999997</v>
      </c>
      <c r="AG168">
        <v>0.2172</v>
      </c>
      <c r="AH168">
        <v>0.22220000000000001</v>
      </c>
      <c r="AI168">
        <v>0.27660000000000001</v>
      </c>
      <c r="AJ168"/>
    </row>
    <row r="169" spans="1:36" x14ac:dyDescent="0.25">
      <c r="A169" s="3"/>
      <c r="B169" s="3"/>
      <c r="C169" s="54" t="s">
        <v>49</v>
      </c>
      <c r="D169" s="87">
        <f t="shared" si="65"/>
        <v>0.85903716216216197</v>
      </c>
      <c r="E169" s="87">
        <f t="shared" si="66"/>
        <v>0.3067989864864864</v>
      </c>
      <c r="F169" s="87">
        <f t="shared" si="67"/>
        <v>0.79767736486486474</v>
      </c>
      <c r="G169" s="87">
        <f t="shared" si="68"/>
        <v>1.4726351351351348</v>
      </c>
      <c r="H169" s="87">
        <f t="shared" ref="H169:H176" si="72">IF(AD155="","",AD155*$N$164)</f>
        <v>1.5953547297297295</v>
      </c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94"/>
      <c r="W169" s="87">
        <f t="shared" si="69"/>
        <v>5.0315033783783774</v>
      </c>
      <c r="X169" s="95">
        <f t="shared" si="70"/>
        <v>5.0315033783783774</v>
      </c>
      <c r="Y169" s="95"/>
      <c r="Z169" s="95">
        <f t="shared" si="71"/>
        <v>1.0757047383936569</v>
      </c>
      <c r="AA169" s="95"/>
      <c r="AE169"/>
      <c r="AF169">
        <v>0.26779999999999998</v>
      </c>
      <c r="AG169">
        <v>0.23799999999999999</v>
      </c>
      <c r="AH169">
        <v>0.2253</v>
      </c>
      <c r="AI169">
        <v>0.26889999999999997</v>
      </c>
      <c r="AJ169"/>
    </row>
    <row r="170" spans="1:36" x14ac:dyDescent="0.25">
      <c r="A170" s="3"/>
      <c r="B170" s="3"/>
      <c r="C170" s="54" t="s">
        <v>53</v>
      </c>
      <c r="D170" s="87">
        <f t="shared" si="65"/>
        <v>0.62094017094017051</v>
      </c>
      <c r="E170" s="87">
        <f t="shared" si="66"/>
        <v>0.31047008547008531</v>
      </c>
      <c r="F170" s="87">
        <f t="shared" si="67"/>
        <v>1.2418803418803412</v>
      </c>
      <c r="G170" s="87">
        <f t="shared" si="68"/>
        <v>1.5911591880341871</v>
      </c>
      <c r="H170" s="87">
        <f t="shared" si="72"/>
        <v>1.3194978632478624</v>
      </c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94"/>
      <c r="W170" s="87">
        <f t="shared" si="69"/>
        <v>5.0839476495726466</v>
      </c>
      <c r="X170" s="95">
        <f t="shared" si="70"/>
        <v>5.0839476495726466</v>
      </c>
      <c r="Y170" s="95"/>
      <c r="Z170" s="95">
        <f t="shared" si="71"/>
        <v>1.0646081349441663</v>
      </c>
      <c r="AA170" s="95"/>
      <c r="AE170"/>
      <c r="AF170">
        <v>0.31130000000000002</v>
      </c>
      <c r="AG170">
        <v>0.23130000000000001</v>
      </c>
      <c r="AH170">
        <v>0.2354</v>
      </c>
      <c r="AI170">
        <v>0.22209999999999999</v>
      </c>
      <c r="AJ170"/>
    </row>
    <row r="171" spans="1:36" x14ac:dyDescent="0.25">
      <c r="A171" s="3"/>
      <c r="B171" s="3"/>
      <c r="C171" s="54" t="s">
        <v>58</v>
      </c>
      <c r="D171" s="87">
        <f t="shared" si="65"/>
        <v>0.14806385869565214</v>
      </c>
      <c r="E171" s="87">
        <f t="shared" si="66"/>
        <v>1.0364470108695649</v>
      </c>
      <c r="F171" s="87">
        <f t="shared" si="67"/>
        <v>1.3819293478260866</v>
      </c>
      <c r="G171" s="87">
        <f t="shared" si="68"/>
        <v>1.0858016304347824</v>
      </c>
      <c r="H171" s="87">
        <f>IF(AD157="","",AD157*$N$164)</f>
        <v>1.5299932065217388</v>
      </c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94"/>
      <c r="W171" s="87">
        <f t="shared" si="69"/>
        <v>5.1822350543478244</v>
      </c>
      <c r="X171" s="95">
        <f t="shared" si="70"/>
        <v>5.1822350543478244</v>
      </c>
      <c r="Y171" s="95"/>
      <c r="Z171" s="95">
        <f t="shared" si="71"/>
        <v>1.0444165439435971</v>
      </c>
      <c r="AA171" s="95"/>
      <c r="AE171"/>
      <c r="AF171">
        <v>0.39369999999999999</v>
      </c>
      <c r="AG171">
        <v>0.3054</v>
      </c>
      <c r="AH171">
        <v>0.3009</v>
      </c>
      <c r="AI171"/>
      <c r="AJ171"/>
    </row>
    <row r="172" spans="1:36" x14ac:dyDescent="0.25">
      <c r="A172" s="3"/>
      <c r="B172" s="3"/>
      <c r="C172" s="54" t="s">
        <v>63</v>
      </c>
      <c r="D172" s="87">
        <f t="shared" si="65"/>
        <v>0.75363070539419064</v>
      </c>
      <c r="E172" s="87">
        <f t="shared" si="66"/>
        <v>1.8087136929460574</v>
      </c>
      <c r="F172" s="87">
        <f t="shared" si="67"/>
        <v>1.2811721991701239</v>
      </c>
      <c r="G172" s="87">
        <f t="shared" si="68"/>
        <v>0.22608921161825718</v>
      </c>
      <c r="H172" s="87">
        <f t="shared" si="72"/>
        <v>1.4318983402489622</v>
      </c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94"/>
      <c r="W172" s="87">
        <f t="shared" si="69"/>
        <v>5.5015041493775918</v>
      </c>
      <c r="X172" s="95">
        <f t="shared" si="70"/>
        <v>5.5015041493775918</v>
      </c>
      <c r="Y172" s="95"/>
      <c r="Z172" s="95">
        <f t="shared" si="71"/>
        <v>0.98380586079856758</v>
      </c>
      <c r="AA172" s="95"/>
      <c r="AE172"/>
      <c r="AF172">
        <v>0.29830000000000001</v>
      </c>
      <c r="AG172">
        <v>0.33110000000000001</v>
      </c>
      <c r="AH172">
        <v>0.37059999999999998</v>
      </c>
      <c r="AI172"/>
      <c r="AJ172"/>
    </row>
    <row r="173" spans="1:36" x14ac:dyDescent="0.25">
      <c r="A173" s="3"/>
      <c r="B173" s="3"/>
      <c r="C173" s="54" t="s">
        <v>66</v>
      </c>
      <c r="D173" s="87">
        <f t="shared" si="65"/>
        <v>1.2548636363636363</v>
      </c>
      <c r="E173" s="87">
        <f t="shared" si="66"/>
        <v>1.3209090909090906</v>
      </c>
      <c r="F173" s="87">
        <f t="shared" si="67"/>
        <v>1.4529999999999998</v>
      </c>
      <c r="G173" s="87">
        <f t="shared" si="68"/>
        <v>0.13209090909090906</v>
      </c>
      <c r="H173" s="87">
        <f t="shared" si="72"/>
        <v>1.3869545454545451</v>
      </c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94"/>
      <c r="W173" s="87">
        <f t="shared" si="69"/>
        <v>5.5478181818181813</v>
      </c>
      <c r="X173" s="95">
        <f t="shared" si="70"/>
        <v>5.5478181818181813</v>
      </c>
      <c r="Y173" s="95"/>
      <c r="Z173" s="95">
        <f t="shared" si="71"/>
        <v>0.97559289940383531</v>
      </c>
      <c r="AA173" s="95"/>
    </row>
    <row r="174" spans="1:36" ht="13.5" customHeight="1" x14ac:dyDescent="0.25">
      <c r="A174" s="3"/>
      <c r="B174" s="3"/>
      <c r="C174" s="54" t="s">
        <v>69</v>
      </c>
      <c r="D174" s="87">
        <f t="shared" si="65"/>
        <v>3.4888418079096035</v>
      </c>
      <c r="E174" s="87">
        <f t="shared" si="66"/>
        <v>0.41045197740112987</v>
      </c>
      <c r="F174" s="87">
        <f t="shared" si="67"/>
        <v>0.30783898305084745</v>
      </c>
      <c r="G174" s="87">
        <f t="shared" si="68"/>
        <v>1.1800494350282482</v>
      </c>
      <c r="H174" s="87">
        <f t="shared" si="72"/>
        <v>0.20522598870056494</v>
      </c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94"/>
      <c r="W174" s="87">
        <f t="shared" si="69"/>
        <v>5.5924081920903941</v>
      </c>
      <c r="X174" s="95">
        <f t="shared" si="70"/>
        <v>5.5924081920903941</v>
      </c>
      <c r="Y174" s="95"/>
      <c r="Z174" s="95">
        <f t="shared" si="71"/>
        <v>0.96781419371717936</v>
      </c>
      <c r="AA174" s="95"/>
    </row>
    <row r="175" spans="1:36" x14ac:dyDescent="0.25">
      <c r="A175" s="3"/>
      <c r="B175" s="3"/>
      <c r="C175" s="54" t="s">
        <v>74</v>
      </c>
      <c r="D175" s="87">
        <f>IF(Z161="","",Z161*$J$164)</f>
        <v>4.4414847161572046</v>
      </c>
      <c r="E175" s="87">
        <f t="shared" si="66"/>
        <v>7.9312227074235797E-2</v>
      </c>
      <c r="F175" s="87">
        <f t="shared" si="67"/>
        <v>0.79312227074235797</v>
      </c>
      <c r="G175" s="87">
        <f t="shared" si="68"/>
        <v>0.47587336244541478</v>
      </c>
      <c r="H175" s="87">
        <f t="shared" si="72"/>
        <v>7.9312227074235797E-2</v>
      </c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94"/>
      <c r="W175" s="87">
        <f t="shared" si="69"/>
        <v>5.8691048034934488</v>
      </c>
      <c r="X175" s="95">
        <f t="shared" si="70"/>
        <v>5.8691048034934488</v>
      </c>
      <c r="Y175" s="95"/>
      <c r="Z175" s="95">
        <f t="shared" si="71"/>
        <v>0.92218697852246567</v>
      </c>
      <c r="AA175" s="95"/>
    </row>
    <row r="176" spans="1:36" ht="16.5" customHeight="1" x14ac:dyDescent="0.25">
      <c r="A176" s="3"/>
      <c r="B176" s="3"/>
      <c r="C176" s="54" t="s">
        <v>79</v>
      </c>
      <c r="D176" s="87">
        <f t="shared" si="65"/>
        <v>2.5343023255813946</v>
      </c>
      <c r="E176" s="87">
        <f t="shared" si="66"/>
        <v>0.70397286821705407</v>
      </c>
      <c r="F176" s="87">
        <f t="shared" si="67"/>
        <v>1.6895348837209294</v>
      </c>
      <c r="G176" s="87">
        <f t="shared" si="68"/>
        <v>0.56317829457364321</v>
      </c>
      <c r="H176" s="87">
        <f t="shared" si="72"/>
        <v>0.28158914728682161</v>
      </c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94"/>
      <c r="W176" s="87">
        <f t="shared" si="69"/>
        <v>5.7725775193798432</v>
      </c>
      <c r="X176" s="95">
        <f t="shared" si="70"/>
        <v>5.7725775193798432</v>
      </c>
      <c r="Y176" s="95"/>
      <c r="Z176" s="95">
        <f t="shared" si="71"/>
        <v>0.93760750846474161</v>
      </c>
      <c r="AA176" s="95"/>
    </row>
    <row r="177" spans="3:53" s="3" customFormat="1" x14ac:dyDescent="0.25">
      <c r="C177" s="96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95"/>
      <c r="W177" s="95">
        <f>AVERAGE(W167:W176)</f>
        <v>5.4124120253653132</v>
      </c>
      <c r="X177" s="95">
        <f>AVERAGE(X167:X176)</f>
        <v>5.4124120253653132</v>
      </c>
      <c r="Y177" s="95"/>
      <c r="Z177" s="95">
        <f>AVERAGE(Z167:Z176)</f>
        <v>1.0027415324476157</v>
      </c>
      <c r="AA177" s="95"/>
    </row>
    <row r="178" spans="3:53" s="3" customFormat="1" ht="30" x14ac:dyDescent="0.25">
      <c r="C178" s="156" t="s">
        <v>180</v>
      </c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71"/>
      <c r="W178" s="97"/>
      <c r="X178" s="85"/>
      <c r="Y178" s="95"/>
      <c r="Z178" s="85"/>
      <c r="AA178" s="87"/>
    </row>
    <row r="179" spans="3:53" x14ac:dyDescent="0.25">
      <c r="C179" s="54" t="s">
        <v>25</v>
      </c>
      <c r="D179" s="87">
        <f>IF(D167="","",D167*$Z167)</f>
        <v>0.63210651391127737</v>
      </c>
      <c r="E179" s="87">
        <f>IF(E167="","",E167*$Z167)</f>
        <v>0.53333987111264036</v>
      </c>
      <c r="F179" s="87">
        <f>IF(F167="","",F167*$Z167)</f>
        <v>2.4296594128464726</v>
      </c>
      <c r="G179" s="87">
        <f>IF(G167="","",G167*$Z167)</f>
        <v>0.63210651391127737</v>
      </c>
      <c r="H179" s="87">
        <f>IF(H167="","",H167*$Z167)</f>
        <v>1.185199713583645</v>
      </c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71"/>
      <c r="W179" s="98">
        <f>+SUM(D179:U179)</f>
        <v>5.4124120253653132</v>
      </c>
      <c r="X179" s="99">
        <f>+AVERAGE(D179:U179)</f>
        <v>1.0824824050730626</v>
      </c>
      <c r="Y179" s="83"/>
      <c r="Z179" s="95"/>
      <c r="AA179" s="100"/>
    </row>
    <row r="180" spans="3:53" x14ac:dyDescent="0.25">
      <c r="C180" s="54" t="s">
        <v>44</v>
      </c>
      <c r="D180" s="87">
        <f t="shared" ref="D180:H188" si="73">IF(D168="","",D168*$Z168)</f>
        <v>0.96650214738666307</v>
      </c>
      <c r="E180" s="87">
        <f>IF(E168="","",E168*$Z168)</f>
        <v>0.19330042947733261</v>
      </c>
      <c r="F180" s="87">
        <f t="shared" si="73"/>
        <v>1.2081276842333291</v>
      </c>
      <c r="G180" s="87">
        <f t="shared" si="73"/>
        <v>0.62822639580133111</v>
      </c>
      <c r="H180" s="87">
        <f t="shared" si="73"/>
        <v>2.4162553684666577</v>
      </c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71"/>
      <c r="W180" s="98">
        <f t="shared" ref="W180:W188" si="74">+SUM(D180:U180)</f>
        <v>5.4124120253653132</v>
      </c>
      <c r="X180" s="99">
        <f t="shared" ref="X180:X188" si="75">+AVERAGE(D180:U180)</f>
        <v>1.0824824050730626</v>
      </c>
      <c r="Y180" s="101"/>
      <c r="Z180" s="95"/>
      <c r="AA180" s="100"/>
    </row>
    <row r="181" spans="3:53" x14ac:dyDescent="0.25">
      <c r="C181" s="54" t="s">
        <v>49</v>
      </c>
      <c r="D181" s="87">
        <f t="shared" si="73"/>
        <v>0.92407034579407787</v>
      </c>
      <c r="E181" s="87">
        <f t="shared" si="73"/>
        <v>0.33002512349788493</v>
      </c>
      <c r="F181" s="87">
        <f t="shared" si="73"/>
        <v>0.85806532109450095</v>
      </c>
      <c r="G181" s="87">
        <f t="shared" si="73"/>
        <v>1.5841205927898476</v>
      </c>
      <c r="H181" s="87">
        <f t="shared" si="73"/>
        <v>1.7161306421890019</v>
      </c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71"/>
      <c r="W181" s="98">
        <f t="shared" si="74"/>
        <v>5.4124120253653132</v>
      </c>
      <c r="X181" s="99">
        <f t="shared" si="75"/>
        <v>1.0824824050730626</v>
      </c>
      <c r="Y181" s="101"/>
      <c r="Z181" s="95"/>
      <c r="AA181" s="100"/>
    </row>
    <row r="182" spans="3:53" x14ac:dyDescent="0.25">
      <c r="C182" s="54" t="s">
        <v>53</v>
      </c>
      <c r="D182" s="87">
        <f t="shared" si="73"/>
        <v>0.66105795729652672</v>
      </c>
      <c r="E182" s="87">
        <f t="shared" si="73"/>
        <v>0.33052897864826342</v>
      </c>
      <c r="F182" s="87">
        <f t="shared" si="73"/>
        <v>1.3221159145930537</v>
      </c>
      <c r="G182" s="87">
        <f t="shared" si="73"/>
        <v>1.6939610155723499</v>
      </c>
      <c r="H182" s="87">
        <f t="shared" si="73"/>
        <v>1.4047481592551194</v>
      </c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71"/>
      <c r="W182" s="98">
        <f t="shared" si="74"/>
        <v>5.4124120253653132</v>
      </c>
      <c r="X182" s="99">
        <f t="shared" si="75"/>
        <v>1.0824824050730626</v>
      </c>
      <c r="Y182" s="101"/>
      <c r="Z182" s="95"/>
      <c r="AA182" s="100"/>
    </row>
    <row r="183" spans="3:53" x14ac:dyDescent="0.25">
      <c r="C183" s="54" t="s">
        <v>58</v>
      </c>
      <c r="D183" s="87">
        <f t="shared" si="73"/>
        <v>0.15464034358186612</v>
      </c>
      <c r="E183" s="87">
        <f t="shared" si="73"/>
        <v>1.0824824050730628</v>
      </c>
      <c r="F183" s="87">
        <f t="shared" si="73"/>
        <v>1.4433098734307503</v>
      </c>
      <c r="G183" s="87">
        <f t="shared" si="73"/>
        <v>1.1340291862670182</v>
      </c>
      <c r="H183" s="87">
        <f t="shared" si="73"/>
        <v>1.5979502170126165</v>
      </c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71"/>
      <c r="W183" s="98">
        <f t="shared" si="74"/>
        <v>5.4124120253653141</v>
      </c>
      <c r="X183" s="99">
        <f t="shared" si="75"/>
        <v>1.0824824050730628</v>
      </c>
      <c r="Y183" s="101"/>
      <c r="Z183" s="95"/>
      <c r="AA183" s="100"/>
    </row>
    <row r="184" spans="3:53" x14ac:dyDescent="0.25">
      <c r="C184" s="54" t="s">
        <v>63</v>
      </c>
      <c r="D184" s="87">
        <f t="shared" si="73"/>
        <v>0.7414263048445634</v>
      </c>
      <c r="E184" s="87">
        <f t="shared" si="73"/>
        <v>1.779423131626952</v>
      </c>
      <c r="F184" s="87">
        <f t="shared" si="73"/>
        <v>1.2604247182357575</v>
      </c>
      <c r="G184" s="87">
        <f t="shared" si="73"/>
        <v>0.222427891453369</v>
      </c>
      <c r="H184" s="87">
        <f t="shared" si="73"/>
        <v>1.4087099792046704</v>
      </c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71"/>
      <c r="W184" s="98">
        <f t="shared" si="74"/>
        <v>5.4124120253653123</v>
      </c>
      <c r="X184" s="99">
        <f t="shared" si="75"/>
        <v>1.0824824050730624</v>
      </c>
      <c r="Y184" s="101"/>
      <c r="Z184" s="95"/>
      <c r="AA184" s="100"/>
    </row>
    <row r="185" spans="3:53" x14ac:dyDescent="0.25">
      <c r="C185" s="54" t="s">
        <v>66</v>
      </c>
      <c r="D185" s="87">
        <f t="shared" si="73"/>
        <v>1.22423605335644</v>
      </c>
      <c r="E185" s="87">
        <f t="shared" si="73"/>
        <v>1.2886695298488839</v>
      </c>
      <c r="F185" s="87">
        <f t="shared" si="73"/>
        <v>1.4175364828337726</v>
      </c>
      <c r="G185" s="87">
        <f t="shared" si="73"/>
        <v>0.1288669529848884</v>
      </c>
      <c r="H185" s="87">
        <f t="shared" si="73"/>
        <v>1.3531030063413281</v>
      </c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71"/>
      <c r="W185" s="98">
        <f t="shared" si="74"/>
        <v>5.4124120253653132</v>
      </c>
      <c r="X185" s="99">
        <f t="shared" si="75"/>
        <v>1.0824824050730626</v>
      </c>
      <c r="Y185" s="101"/>
      <c r="Z185" s="95"/>
      <c r="AA185" s="100"/>
    </row>
    <row r="186" spans="3:53" ht="14.25" customHeight="1" x14ac:dyDescent="0.25">
      <c r="C186" s="54" t="s">
        <v>69</v>
      </c>
      <c r="D186" s="87">
        <f t="shared" si="73"/>
        <v>3.3765506213288194</v>
      </c>
      <c r="E186" s="87">
        <f t="shared" si="73"/>
        <v>0.39724124956809642</v>
      </c>
      <c r="F186" s="87">
        <f t="shared" si="73"/>
        <v>0.29793093717607239</v>
      </c>
      <c r="G186" s="87">
        <f t="shared" si="73"/>
        <v>1.142068592508277</v>
      </c>
      <c r="H186" s="87">
        <f t="shared" si="73"/>
        <v>0.19862062478404821</v>
      </c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71"/>
      <c r="W186" s="98">
        <f t="shared" si="74"/>
        <v>5.4124120253653141</v>
      </c>
      <c r="X186" s="99">
        <f t="shared" si="75"/>
        <v>1.0824824050730628</v>
      </c>
      <c r="Y186" s="101"/>
      <c r="Z186" s="95"/>
      <c r="AA186" s="100"/>
    </row>
    <row r="187" spans="3:53" x14ac:dyDescent="0.25">
      <c r="C187" s="54" t="s">
        <v>74</v>
      </c>
      <c r="D187" s="87">
        <f t="shared" si="73"/>
        <v>4.095879370546724</v>
      </c>
      <c r="E187" s="87">
        <f t="shared" si="73"/>
        <v>7.3140703045477207E-2</v>
      </c>
      <c r="F187" s="87">
        <f t="shared" si="73"/>
        <v>0.73140703045477207</v>
      </c>
      <c r="G187" s="87">
        <f t="shared" si="73"/>
        <v>0.43884421827286324</v>
      </c>
      <c r="H187" s="87">
        <f t="shared" si="73"/>
        <v>7.3140703045477207E-2</v>
      </c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71"/>
      <c r="W187" s="98">
        <f t="shared" si="74"/>
        <v>5.4124120253653141</v>
      </c>
      <c r="X187" s="99">
        <f t="shared" si="75"/>
        <v>1.0824824050730628</v>
      </c>
      <c r="Y187" s="101"/>
      <c r="Z187" s="95"/>
      <c r="AA187" s="106"/>
      <c r="AB187" s="103"/>
      <c r="AC187" s="103"/>
      <c r="AD187" s="103"/>
      <c r="AE187" s="103"/>
      <c r="AF187" s="103"/>
    </row>
    <row r="188" spans="3:53" x14ac:dyDescent="0.25">
      <c r="C188" s="54" t="s">
        <v>79</v>
      </c>
      <c r="D188" s="87">
        <f t="shared" si="73"/>
        <v>2.3761808891847718</v>
      </c>
      <c r="E188" s="87">
        <f t="shared" si="73"/>
        <v>0.66005024699576997</v>
      </c>
      <c r="F188" s="87">
        <f t="shared" si="73"/>
        <v>1.5841205927898476</v>
      </c>
      <c r="G188" s="87">
        <f t="shared" si="73"/>
        <v>0.52804019759661591</v>
      </c>
      <c r="H188" s="87">
        <f t="shared" si="73"/>
        <v>0.26402009879830796</v>
      </c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71"/>
      <c r="W188" s="98">
        <f t="shared" si="74"/>
        <v>5.4124120253653132</v>
      </c>
      <c r="X188" s="99">
        <f t="shared" si="75"/>
        <v>1.0824824050730626</v>
      </c>
      <c r="Y188" s="101"/>
      <c r="Z188" s="95"/>
      <c r="AA188" s="106"/>
      <c r="AB188" s="103"/>
      <c r="AC188" s="103"/>
      <c r="AD188" s="103"/>
      <c r="AE188" s="103"/>
      <c r="AF188" s="103"/>
    </row>
    <row r="189" spans="3:53" x14ac:dyDescent="0.25">
      <c r="V189" s="71"/>
      <c r="W189" s="71"/>
      <c r="Y189" s="101"/>
      <c r="AA189" s="103"/>
      <c r="AB189" s="103"/>
      <c r="AC189" s="103"/>
      <c r="AD189" s="103"/>
      <c r="AE189" s="103"/>
      <c r="AF189" s="103"/>
    </row>
    <row r="190" spans="3:53" x14ac:dyDescent="0.25">
      <c r="F190" s="102"/>
      <c r="G190" s="102"/>
      <c r="H190" s="102"/>
      <c r="I190" s="102"/>
      <c r="J190" s="102"/>
      <c r="K190" s="102"/>
      <c r="L190" s="102"/>
      <c r="P190" s="102"/>
      <c r="S190" s="102"/>
      <c r="Y190" s="3" t="s">
        <v>88</v>
      </c>
      <c r="Z190" s="3" t="s">
        <v>89</v>
      </c>
      <c r="AA190" s="103"/>
      <c r="AB190" s="103"/>
      <c r="AC190" s="103"/>
      <c r="AD190" s="103"/>
      <c r="AE190" s="103"/>
      <c r="AF190" s="103"/>
    </row>
    <row r="191" spans="3:53" x14ac:dyDescent="0.25">
      <c r="C191" s="54" t="s">
        <v>25</v>
      </c>
      <c r="D191" s="87">
        <f>IF(D179="","",D$165*D179)</f>
        <v>0.12642130278225547</v>
      </c>
      <c r="E191" s="87">
        <f>IF(E179="","",E$165*E179)</f>
        <v>0.10666797422252808</v>
      </c>
      <c r="F191" s="87">
        <f>IF(F179="","",F$165*F179)</f>
        <v>0.48593188256929454</v>
      </c>
      <c r="G191" s="87">
        <f>IF(G179="","",G$165*G179)</f>
        <v>0.12642130278225547</v>
      </c>
      <c r="H191" s="87">
        <f>IF(H179="","",H$165*H179)</f>
        <v>0.23703994271672901</v>
      </c>
      <c r="I191" s="87" t="str">
        <f t="shared" ref="I191:U200" si="76">IF(I179="","",I$166*I179)</f>
        <v/>
      </c>
      <c r="J191" s="87" t="str">
        <f t="shared" si="76"/>
        <v/>
      </c>
      <c r="K191" s="87" t="str">
        <f t="shared" si="76"/>
        <v/>
      </c>
      <c r="L191" s="87" t="str">
        <f t="shared" si="76"/>
        <v/>
      </c>
      <c r="M191" s="87" t="str">
        <f t="shared" si="76"/>
        <v/>
      </c>
      <c r="N191" s="87" t="str">
        <f t="shared" si="76"/>
        <v/>
      </c>
      <c r="O191" s="87" t="str">
        <f t="shared" si="76"/>
        <v/>
      </c>
      <c r="P191" s="87" t="str">
        <f t="shared" si="76"/>
        <v/>
      </c>
      <c r="Q191" s="87" t="str">
        <f t="shared" si="76"/>
        <v/>
      </c>
      <c r="R191" s="87" t="str">
        <f t="shared" si="76"/>
        <v/>
      </c>
      <c r="S191" s="87" t="str">
        <f t="shared" si="76"/>
        <v/>
      </c>
      <c r="T191" s="87" t="str">
        <f t="shared" si="76"/>
        <v/>
      </c>
      <c r="U191" s="87" t="str">
        <f t="shared" si="76"/>
        <v/>
      </c>
      <c r="V191" s="94">
        <f>+SUM(D191:H191)</f>
        <v>1.0824824050730626</v>
      </c>
      <c r="W191" s="104"/>
      <c r="Y191" s="101">
        <f>V191/MAX($V$191:$V$200)*100</f>
        <v>99.999999999999972</v>
      </c>
      <c r="Z191" s="3">
        <f>_xlfn.RANK.EQ(Y191,$Y$191:$Y$200,0)</f>
        <v>6</v>
      </c>
      <c r="AA191" s="107"/>
      <c r="AB191" s="111"/>
      <c r="AC191"/>
      <c r="AD191" s="103"/>
      <c r="AE191" s="143"/>
      <c r="AF191" s="143"/>
      <c r="BA191" s="3">
        <v>9</v>
      </c>
    </row>
    <row r="192" spans="3:53" x14ac:dyDescent="0.25">
      <c r="C192" s="54" t="s">
        <v>44</v>
      </c>
      <c r="D192" s="87">
        <f t="shared" ref="D192:H200" si="77">IF(D180="","",D$165*D180)</f>
        <v>0.19330042947733261</v>
      </c>
      <c r="E192" s="87">
        <f t="shared" si="77"/>
        <v>3.8660085895466524E-2</v>
      </c>
      <c r="F192" s="87">
        <f t="shared" si="77"/>
        <v>0.24162553684666582</v>
      </c>
      <c r="G192" s="87">
        <f t="shared" si="77"/>
        <v>0.12564527916026622</v>
      </c>
      <c r="H192" s="87">
        <f t="shared" si="77"/>
        <v>0.48325107369333153</v>
      </c>
      <c r="I192" s="87" t="str">
        <f t="shared" si="76"/>
        <v/>
      </c>
      <c r="J192" s="87" t="str">
        <f t="shared" si="76"/>
        <v/>
      </c>
      <c r="K192" s="87" t="str">
        <f t="shared" si="76"/>
        <v/>
      </c>
      <c r="L192" s="87" t="str">
        <f t="shared" si="76"/>
        <v/>
      </c>
      <c r="M192" s="87" t="str">
        <f t="shared" si="76"/>
        <v/>
      </c>
      <c r="N192" s="87" t="str">
        <f t="shared" si="76"/>
        <v/>
      </c>
      <c r="O192" s="87" t="str">
        <f t="shared" si="76"/>
        <v/>
      </c>
      <c r="P192" s="87" t="str">
        <f t="shared" si="76"/>
        <v/>
      </c>
      <c r="Q192" s="87" t="str">
        <f t="shared" si="76"/>
        <v/>
      </c>
      <c r="R192" s="87" t="str">
        <f t="shared" si="76"/>
        <v/>
      </c>
      <c r="S192" s="87" t="str">
        <f t="shared" si="76"/>
        <v/>
      </c>
      <c r="T192" s="87" t="str">
        <f t="shared" si="76"/>
        <v/>
      </c>
      <c r="U192" s="87" t="str">
        <f t="shared" si="76"/>
        <v/>
      </c>
      <c r="V192" s="94">
        <f t="shared" ref="V192:V200" si="78">+SUM(D192:H192)</f>
        <v>1.0824824050730628</v>
      </c>
      <c r="W192" s="104"/>
      <c r="Y192" s="101">
        <f t="shared" ref="Y192:Y200" si="79">V192/MAX($V$191:$V$200)*100</f>
        <v>100</v>
      </c>
      <c r="Z192" s="3">
        <f t="shared" ref="Z192:Z200" si="80">_xlfn.RANK.EQ(Y192,$Y$191:$Y$200,0)</f>
        <v>1</v>
      </c>
      <c r="AA192" s="107"/>
      <c r="AB192" s="111"/>
      <c r="AC192"/>
      <c r="AD192" s="103"/>
      <c r="AE192" s="143"/>
      <c r="AF192" s="143"/>
      <c r="BA192" s="3">
        <v>6</v>
      </c>
    </row>
    <row r="193" spans="3:53" x14ac:dyDescent="0.25">
      <c r="C193" s="54" t="s">
        <v>49</v>
      </c>
      <c r="D193" s="87">
        <f t="shared" si="77"/>
        <v>0.1848140691588156</v>
      </c>
      <c r="E193" s="87">
        <f t="shared" si="77"/>
        <v>6.6005024699576989E-2</v>
      </c>
      <c r="F193" s="87">
        <f t="shared" si="77"/>
        <v>0.17161306421890021</v>
      </c>
      <c r="G193" s="87">
        <f t="shared" si="77"/>
        <v>0.31682411855796955</v>
      </c>
      <c r="H193" s="87">
        <f t="shared" si="77"/>
        <v>0.34322612843780043</v>
      </c>
      <c r="I193" s="87" t="str">
        <f t="shared" si="76"/>
        <v/>
      </c>
      <c r="J193" s="87" t="str">
        <f t="shared" si="76"/>
        <v/>
      </c>
      <c r="K193" s="87" t="str">
        <f t="shared" si="76"/>
        <v/>
      </c>
      <c r="L193" s="87" t="str">
        <f t="shared" si="76"/>
        <v/>
      </c>
      <c r="M193" s="87" t="str">
        <f t="shared" si="76"/>
        <v/>
      </c>
      <c r="N193" s="87" t="str">
        <f t="shared" si="76"/>
        <v/>
      </c>
      <c r="O193" s="87" t="str">
        <f t="shared" si="76"/>
        <v/>
      </c>
      <c r="P193" s="87" t="str">
        <f t="shared" si="76"/>
        <v/>
      </c>
      <c r="Q193" s="87" t="str">
        <f t="shared" si="76"/>
        <v/>
      </c>
      <c r="R193" s="87" t="str">
        <f t="shared" si="76"/>
        <v/>
      </c>
      <c r="S193" s="87" t="str">
        <f t="shared" si="76"/>
        <v/>
      </c>
      <c r="T193" s="87" t="str">
        <f t="shared" si="76"/>
        <v/>
      </c>
      <c r="U193" s="87" t="str">
        <f t="shared" si="76"/>
        <v/>
      </c>
      <c r="V193" s="94">
        <f t="shared" si="78"/>
        <v>1.0824824050730628</v>
      </c>
      <c r="W193" s="104"/>
      <c r="Y193" s="101">
        <f t="shared" si="79"/>
        <v>100</v>
      </c>
      <c r="Z193" s="3">
        <f t="shared" si="80"/>
        <v>1</v>
      </c>
      <c r="AA193" s="107"/>
      <c r="AB193" s="111"/>
      <c r="AC193"/>
      <c r="AD193" s="103"/>
      <c r="AE193" s="143"/>
      <c r="AF193" s="143"/>
      <c r="BA193" s="3">
        <v>3</v>
      </c>
    </row>
    <row r="194" spans="3:53" x14ac:dyDescent="0.25">
      <c r="C194" s="54" t="s">
        <v>53</v>
      </c>
      <c r="D194" s="87">
        <f t="shared" si="77"/>
        <v>0.13221159145930536</v>
      </c>
      <c r="E194" s="87">
        <f t="shared" si="77"/>
        <v>6.610579572965268E-2</v>
      </c>
      <c r="F194" s="87">
        <f t="shared" si="77"/>
        <v>0.26442318291861072</v>
      </c>
      <c r="G194" s="87">
        <f t="shared" si="77"/>
        <v>0.33879220311447</v>
      </c>
      <c r="H194" s="87">
        <f t="shared" si="77"/>
        <v>0.2809496318510239</v>
      </c>
      <c r="I194" s="87" t="str">
        <f t="shared" si="76"/>
        <v/>
      </c>
      <c r="J194" s="87" t="str">
        <f t="shared" si="76"/>
        <v/>
      </c>
      <c r="K194" s="87" t="str">
        <f t="shared" si="76"/>
        <v/>
      </c>
      <c r="L194" s="87" t="str">
        <f t="shared" si="76"/>
        <v/>
      </c>
      <c r="M194" s="87" t="str">
        <f t="shared" si="76"/>
        <v/>
      </c>
      <c r="N194" s="87" t="str">
        <f t="shared" si="76"/>
        <v/>
      </c>
      <c r="O194" s="87" t="str">
        <f t="shared" si="76"/>
        <v/>
      </c>
      <c r="P194" s="87" t="str">
        <f t="shared" si="76"/>
        <v/>
      </c>
      <c r="Q194" s="87" t="str">
        <f t="shared" si="76"/>
        <v/>
      </c>
      <c r="R194" s="87" t="str">
        <f t="shared" si="76"/>
        <v/>
      </c>
      <c r="S194" s="87" t="str">
        <f t="shared" si="76"/>
        <v/>
      </c>
      <c r="T194" s="87" t="str">
        <f t="shared" si="76"/>
        <v/>
      </c>
      <c r="U194" s="87" t="str">
        <f t="shared" si="76"/>
        <v/>
      </c>
      <c r="V194" s="94">
        <f t="shared" si="78"/>
        <v>1.0824824050730626</v>
      </c>
      <c r="W194" s="104"/>
      <c r="Y194" s="101">
        <f t="shared" si="79"/>
        <v>99.999999999999972</v>
      </c>
      <c r="Z194" s="3">
        <f t="shared" si="80"/>
        <v>6</v>
      </c>
      <c r="AA194" s="107"/>
      <c r="AB194" s="111"/>
      <c r="AC194"/>
      <c r="AD194" s="103"/>
      <c r="AE194" s="143"/>
      <c r="AF194" s="143"/>
      <c r="BA194" s="3">
        <v>5</v>
      </c>
    </row>
    <row r="195" spans="3:53" x14ac:dyDescent="0.25">
      <c r="C195" s="54" t="s">
        <v>58</v>
      </c>
      <c r="D195" s="87">
        <f t="shared" si="77"/>
        <v>3.0928068716373228E-2</v>
      </c>
      <c r="E195" s="87">
        <f t="shared" si="77"/>
        <v>0.21649648101461258</v>
      </c>
      <c r="F195" s="87">
        <f t="shared" si="77"/>
        <v>0.28866197468615007</v>
      </c>
      <c r="G195" s="87">
        <f t="shared" si="77"/>
        <v>0.22680583725340364</v>
      </c>
      <c r="H195" s="87">
        <f t="shared" si="77"/>
        <v>0.31959004340252334</v>
      </c>
      <c r="I195" s="87" t="str">
        <f t="shared" si="76"/>
        <v/>
      </c>
      <c r="J195" s="87" t="str">
        <f t="shared" si="76"/>
        <v/>
      </c>
      <c r="K195" s="87" t="str">
        <f t="shared" si="76"/>
        <v/>
      </c>
      <c r="L195" s="87" t="str">
        <f t="shared" si="76"/>
        <v/>
      </c>
      <c r="M195" s="87" t="str">
        <f t="shared" si="76"/>
        <v/>
      </c>
      <c r="N195" s="87" t="str">
        <f t="shared" si="76"/>
        <v/>
      </c>
      <c r="O195" s="87" t="str">
        <f t="shared" si="76"/>
        <v/>
      </c>
      <c r="P195" s="87" t="str">
        <f t="shared" si="76"/>
        <v/>
      </c>
      <c r="Q195" s="87" t="str">
        <f t="shared" si="76"/>
        <v/>
      </c>
      <c r="R195" s="87" t="str">
        <f t="shared" si="76"/>
        <v/>
      </c>
      <c r="S195" s="87" t="str">
        <f t="shared" si="76"/>
        <v/>
      </c>
      <c r="T195" s="87" t="str">
        <f t="shared" si="76"/>
        <v/>
      </c>
      <c r="U195" s="87" t="str">
        <f t="shared" si="76"/>
        <v/>
      </c>
      <c r="V195" s="94">
        <f t="shared" si="78"/>
        <v>1.0824824050730628</v>
      </c>
      <c r="W195" s="104"/>
      <c r="Y195" s="101">
        <f t="shared" si="79"/>
        <v>100</v>
      </c>
      <c r="Z195" s="3">
        <f t="shared" si="80"/>
        <v>1</v>
      </c>
      <c r="AA195" s="107"/>
      <c r="AB195" s="111"/>
      <c r="AC195"/>
      <c r="AD195" s="103"/>
      <c r="AE195" s="143"/>
      <c r="AF195" s="143"/>
      <c r="BA195" s="3">
        <v>10</v>
      </c>
    </row>
    <row r="196" spans="3:53" x14ac:dyDescent="0.25">
      <c r="C196" s="54" t="s">
        <v>63</v>
      </c>
      <c r="D196" s="87">
        <f t="shared" si="77"/>
        <v>0.14828526096891267</v>
      </c>
      <c r="E196" s="87">
        <f t="shared" si="77"/>
        <v>0.35588462632539042</v>
      </c>
      <c r="F196" s="87">
        <f t="shared" si="77"/>
        <v>0.2520849436471515</v>
      </c>
      <c r="G196" s="87">
        <f t="shared" si="77"/>
        <v>4.4485578290673802E-2</v>
      </c>
      <c r="H196" s="87">
        <f t="shared" si="77"/>
        <v>0.28174199584093412</v>
      </c>
      <c r="I196" s="87" t="str">
        <f t="shared" si="76"/>
        <v/>
      </c>
      <c r="J196" s="87" t="str">
        <f t="shared" si="76"/>
        <v/>
      </c>
      <c r="K196" s="87" t="str">
        <f t="shared" si="76"/>
        <v/>
      </c>
      <c r="L196" s="87" t="str">
        <f t="shared" si="76"/>
        <v/>
      </c>
      <c r="M196" s="87" t="str">
        <f t="shared" si="76"/>
        <v/>
      </c>
      <c r="N196" s="87" t="str">
        <f t="shared" si="76"/>
        <v/>
      </c>
      <c r="O196" s="87" t="str">
        <f t="shared" si="76"/>
        <v/>
      </c>
      <c r="P196" s="87" t="str">
        <f t="shared" si="76"/>
        <v/>
      </c>
      <c r="Q196" s="87" t="str">
        <f t="shared" si="76"/>
        <v/>
      </c>
      <c r="R196" s="87" t="str">
        <f t="shared" si="76"/>
        <v/>
      </c>
      <c r="S196" s="87" t="str">
        <f t="shared" si="76"/>
        <v/>
      </c>
      <c r="T196" s="87" t="str">
        <f t="shared" si="76"/>
        <v/>
      </c>
      <c r="U196" s="87" t="str">
        <f t="shared" si="76"/>
        <v/>
      </c>
      <c r="V196" s="94">
        <f t="shared" si="78"/>
        <v>1.0824824050730626</v>
      </c>
      <c r="W196" s="104"/>
      <c r="Y196" s="101">
        <f>V196/MAX($V$191:$V$200)*100</f>
        <v>99.999999999999972</v>
      </c>
      <c r="Z196" s="3">
        <f t="shared" si="80"/>
        <v>6</v>
      </c>
      <c r="AA196" s="107"/>
      <c r="AB196" s="111"/>
      <c r="AC196"/>
      <c r="AD196" s="103"/>
      <c r="AE196" s="143"/>
      <c r="AF196" s="143"/>
      <c r="BA196" s="3">
        <v>4</v>
      </c>
    </row>
    <row r="197" spans="3:53" x14ac:dyDescent="0.25">
      <c r="C197" s="54" t="s">
        <v>66</v>
      </c>
      <c r="D197" s="87">
        <f t="shared" si="77"/>
        <v>0.24484721067128801</v>
      </c>
      <c r="E197" s="87">
        <f t="shared" si="77"/>
        <v>0.2577339059697768</v>
      </c>
      <c r="F197" s="87">
        <f t="shared" si="77"/>
        <v>0.28350729656675455</v>
      </c>
      <c r="G197" s="87">
        <f t="shared" si="77"/>
        <v>2.5773390596977683E-2</v>
      </c>
      <c r="H197" s="87">
        <f t="shared" si="77"/>
        <v>0.27062060126826565</v>
      </c>
      <c r="I197" s="87" t="str">
        <f t="shared" si="76"/>
        <v/>
      </c>
      <c r="J197" s="87" t="str">
        <f t="shared" si="76"/>
        <v/>
      </c>
      <c r="K197" s="87" t="str">
        <f t="shared" si="76"/>
        <v/>
      </c>
      <c r="L197" s="87" t="str">
        <f t="shared" si="76"/>
        <v/>
      </c>
      <c r="M197" s="87" t="str">
        <f t="shared" si="76"/>
        <v/>
      </c>
      <c r="N197" s="87" t="str">
        <f t="shared" si="76"/>
        <v/>
      </c>
      <c r="O197" s="87" t="str">
        <f t="shared" si="76"/>
        <v/>
      </c>
      <c r="P197" s="87" t="str">
        <f t="shared" si="76"/>
        <v/>
      </c>
      <c r="Q197" s="87" t="str">
        <f t="shared" si="76"/>
        <v/>
      </c>
      <c r="R197" s="87" t="str">
        <f t="shared" si="76"/>
        <v/>
      </c>
      <c r="S197" s="87" t="str">
        <f t="shared" si="76"/>
        <v/>
      </c>
      <c r="T197" s="87" t="str">
        <f t="shared" si="76"/>
        <v/>
      </c>
      <c r="U197" s="87" t="str">
        <f t="shared" si="76"/>
        <v/>
      </c>
      <c r="V197" s="94">
        <f t="shared" si="78"/>
        <v>1.0824824050730626</v>
      </c>
      <c r="W197" s="104"/>
      <c r="Y197" s="101">
        <f t="shared" si="79"/>
        <v>99.999999999999972</v>
      </c>
      <c r="Z197" s="3">
        <f t="shared" si="80"/>
        <v>6</v>
      </c>
      <c r="AA197" s="107"/>
      <c r="AB197" s="111"/>
      <c r="AC197"/>
      <c r="AD197" s="103"/>
      <c r="AE197" s="143"/>
      <c r="AF197" s="143"/>
      <c r="BA197" s="3">
        <v>7</v>
      </c>
    </row>
    <row r="198" spans="3:53" ht="16.5" customHeight="1" x14ac:dyDescent="0.25">
      <c r="C198" s="54" t="s">
        <v>69</v>
      </c>
      <c r="D198" s="87">
        <f t="shared" si="77"/>
        <v>0.67531012426576398</v>
      </c>
      <c r="E198" s="87">
        <f t="shared" si="77"/>
        <v>7.944824991361929E-2</v>
      </c>
      <c r="F198" s="87">
        <f t="shared" si="77"/>
        <v>5.9586187435214481E-2</v>
      </c>
      <c r="G198" s="87">
        <f t="shared" si="77"/>
        <v>0.2284137185016554</v>
      </c>
      <c r="H198" s="87">
        <f t="shared" si="77"/>
        <v>3.9724124956809645E-2</v>
      </c>
      <c r="I198" s="87" t="str">
        <f t="shared" si="76"/>
        <v/>
      </c>
      <c r="J198" s="87" t="str">
        <f t="shared" si="76"/>
        <v/>
      </c>
      <c r="K198" s="87" t="str">
        <f t="shared" si="76"/>
        <v/>
      </c>
      <c r="L198" s="87" t="str">
        <f t="shared" si="76"/>
        <v/>
      </c>
      <c r="M198" s="87" t="str">
        <f t="shared" si="76"/>
        <v/>
      </c>
      <c r="N198" s="87" t="str">
        <f t="shared" si="76"/>
        <v/>
      </c>
      <c r="O198" s="87" t="str">
        <f t="shared" si="76"/>
        <v/>
      </c>
      <c r="P198" s="87" t="str">
        <f t="shared" si="76"/>
        <v/>
      </c>
      <c r="Q198" s="87" t="str">
        <f t="shared" si="76"/>
        <v/>
      </c>
      <c r="R198" s="87" t="str">
        <f t="shared" si="76"/>
        <v/>
      </c>
      <c r="S198" s="87" t="str">
        <f t="shared" si="76"/>
        <v/>
      </c>
      <c r="T198" s="87" t="str">
        <f t="shared" si="76"/>
        <v/>
      </c>
      <c r="U198" s="87" t="str">
        <f t="shared" si="76"/>
        <v/>
      </c>
      <c r="V198" s="94">
        <f t="shared" si="78"/>
        <v>1.0824824050730628</v>
      </c>
      <c r="W198" s="104"/>
      <c r="Y198" s="101">
        <f t="shared" si="79"/>
        <v>100</v>
      </c>
      <c r="Z198" s="3">
        <f t="shared" si="80"/>
        <v>1</v>
      </c>
      <c r="AA198" s="107"/>
      <c r="AB198" s="111"/>
      <c r="AC198"/>
      <c r="AD198" s="103"/>
      <c r="AE198" s="143"/>
      <c r="AF198" s="143"/>
      <c r="BA198" s="3">
        <v>1</v>
      </c>
    </row>
    <row r="199" spans="3:53" x14ac:dyDescent="0.25">
      <c r="C199" s="54" t="s">
        <v>74</v>
      </c>
      <c r="D199" s="87">
        <f t="shared" si="77"/>
        <v>0.81917587410934489</v>
      </c>
      <c r="E199" s="87">
        <f t="shared" si="77"/>
        <v>1.4628140609095442E-2</v>
      </c>
      <c r="F199" s="87">
        <f t="shared" si="77"/>
        <v>0.14628140609095441</v>
      </c>
      <c r="G199" s="87">
        <f t="shared" si="77"/>
        <v>8.7768843654572659E-2</v>
      </c>
      <c r="H199" s="87">
        <f t="shared" si="77"/>
        <v>1.4628140609095442E-2</v>
      </c>
      <c r="I199" s="87" t="str">
        <f t="shared" si="76"/>
        <v/>
      </c>
      <c r="J199" s="87" t="str">
        <f t="shared" si="76"/>
        <v/>
      </c>
      <c r="K199" s="87" t="str">
        <f t="shared" si="76"/>
        <v/>
      </c>
      <c r="L199" s="87" t="str">
        <f t="shared" si="76"/>
        <v/>
      </c>
      <c r="M199" s="87" t="str">
        <f t="shared" si="76"/>
        <v/>
      </c>
      <c r="N199" s="87" t="str">
        <f t="shared" si="76"/>
        <v/>
      </c>
      <c r="O199" s="87" t="str">
        <f t="shared" si="76"/>
        <v/>
      </c>
      <c r="P199" s="87" t="str">
        <f t="shared" si="76"/>
        <v/>
      </c>
      <c r="Q199" s="87" t="str">
        <f t="shared" si="76"/>
        <v/>
      </c>
      <c r="R199" s="87" t="str">
        <f t="shared" si="76"/>
        <v/>
      </c>
      <c r="S199" s="87" t="str">
        <f t="shared" si="76"/>
        <v/>
      </c>
      <c r="T199" s="87" t="str">
        <f t="shared" si="76"/>
        <v/>
      </c>
      <c r="U199" s="87" t="str">
        <f t="shared" si="76"/>
        <v/>
      </c>
      <c r="V199" s="94">
        <f t="shared" si="78"/>
        <v>1.0824824050730628</v>
      </c>
      <c r="W199" s="104"/>
      <c r="Y199" s="101">
        <f t="shared" si="79"/>
        <v>100</v>
      </c>
      <c r="Z199" s="3">
        <f t="shared" si="80"/>
        <v>1</v>
      </c>
      <c r="AA199" s="107"/>
      <c r="AB199" s="111"/>
      <c r="AC199"/>
      <c r="AD199" s="103"/>
      <c r="AE199" s="143"/>
      <c r="AF199" s="143"/>
      <c r="BA199" s="3">
        <v>2</v>
      </c>
    </row>
    <row r="200" spans="3:53" x14ac:dyDescent="0.25">
      <c r="C200" s="54" t="s">
        <v>79</v>
      </c>
      <c r="D200" s="87">
        <f t="shared" si="77"/>
        <v>0.47523617783695438</v>
      </c>
      <c r="E200" s="87">
        <f t="shared" si="77"/>
        <v>0.13201004939915401</v>
      </c>
      <c r="F200" s="87">
        <f t="shared" si="77"/>
        <v>0.31682411855796955</v>
      </c>
      <c r="G200" s="87">
        <f t="shared" si="77"/>
        <v>0.10560803951932318</v>
      </c>
      <c r="H200" s="87">
        <f t="shared" si="77"/>
        <v>5.2804019759661591E-2</v>
      </c>
      <c r="I200" s="87" t="str">
        <f t="shared" si="76"/>
        <v/>
      </c>
      <c r="J200" s="87" t="str">
        <f t="shared" si="76"/>
        <v/>
      </c>
      <c r="K200" s="87" t="str">
        <f t="shared" si="76"/>
        <v/>
      </c>
      <c r="L200" s="87" t="str">
        <f t="shared" si="76"/>
        <v/>
      </c>
      <c r="M200" s="87" t="str">
        <f t="shared" si="76"/>
        <v/>
      </c>
      <c r="N200" s="87" t="str">
        <f t="shared" si="76"/>
        <v/>
      </c>
      <c r="O200" s="87" t="str">
        <f t="shared" si="76"/>
        <v/>
      </c>
      <c r="P200" s="87" t="str">
        <f t="shared" si="76"/>
        <v/>
      </c>
      <c r="Q200" s="87" t="str">
        <f t="shared" si="76"/>
        <v/>
      </c>
      <c r="R200" s="87" t="str">
        <f t="shared" si="76"/>
        <v/>
      </c>
      <c r="S200" s="87" t="str">
        <f t="shared" si="76"/>
        <v/>
      </c>
      <c r="T200" s="87" t="str">
        <f t="shared" si="76"/>
        <v/>
      </c>
      <c r="U200" s="87" t="str">
        <f t="shared" si="76"/>
        <v/>
      </c>
      <c r="V200" s="94">
        <f t="shared" si="78"/>
        <v>1.0824824050730626</v>
      </c>
      <c r="W200" s="104"/>
      <c r="Y200" s="101">
        <f t="shared" si="79"/>
        <v>99.999999999999972</v>
      </c>
      <c r="Z200" s="3">
        <f t="shared" si="80"/>
        <v>6</v>
      </c>
      <c r="AA200" s="107"/>
      <c r="AB200" s="111"/>
      <c r="AC200"/>
      <c r="AD200" s="103"/>
      <c r="AE200" s="143"/>
      <c r="AF200" s="143"/>
      <c r="BA200" s="3">
        <v>8</v>
      </c>
    </row>
    <row r="201" spans="3:53" x14ac:dyDescent="0.25">
      <c r="V201" s="71">
        <f>AVERAGE(V191:V200)</f>
        <v>1.0824824050730626</v>
      </c>
      <c r="W201" s="71"/>
      <c r="Y201" s="87"/>
      <c r="AA201" s="103"/>
      <c r="AB201" s="103"/>
      <c r="AC201" s="103"/>
      <c r="AD201" s="103"/>
      <c r="AE201" s="103"/>
      <c r="AF201" s="103"/>
    </row>
    <row r="202" spans="3:53" x14ac:dyDescent="0.25">
      <c r="Y202" s="87"/>
      <c r="AA202" s="103"/>
      <c r="AB202" s="103"/>
      <c r="AC202" s="103"/>
      <c r="AD202" s="103"/>
      <c r="AE202" s="103"/>
      <c r="AF202" s="103"/>
    </row>
    <row r="203" spans="3:53" x14ac:dyDescent="0.25">
      <c r="C203" s="3" t="s">
        <v>179</v>
      </c>
      <c r="AA203" s="103"/>
      <c r="AB203" s="103"/>
      <c r="AC203" s="103"/>
      <c r="AD203" s="103"/>
      <c r="AE203" s="103"/>
      <c r="AF203" s="103"/>
    </row>
    <row r="204" spans="3:53" ht="15.75" customHeight="1" x14ac:dyDescent="0.25">
      <c r="C204" s="54" t="s">
        <v>25</v>
      </c>
      <c r="D204" s="3">
        <f>IF(D179="","",D179^D$165)</f>
        <v>0.91234280863603334</v>
      </c>
      <c r="E204" s="3">
        <f>IF(E179="","",E179^E$165)</f>
        <v>0.88186236823889741</v>
      </c>
      <c r="F204" s="3">
        <f t="shared" ref="F204:G204" si="81">IF(F179="","",F179^F$165)</f>
        <v>1.1942880307246033</v>
      </c>
      <c r="G204" s="3">
        <f t="shared" si="81"/>
        <v>0.91234280863603334</v>
      </c>
      <c r="H204" s="3">
        <f>IF(H179="","",H179^H$165)</f>
        <v>1.0345662523371064</v>
      </c>
      <c r="V204" s="94">
        <f>+SUM(D204:H204)</f>
        <v>4.9354022685726742</v>
      </c>
      <c r="Y204" s="101">
        <f>V204/MAX($V$204:$V$213)*100</f>
        <v>99.38873024581892</v>
      </c>
      <c r="Z204" s="3">
        <f>_xlfn.RANK.EQ(Y204,$Y$204:$Y$213,0)</f>
        <v>3</v>
      </c>
      <c r="AA204" s="103"/>
      <c r="AB204" s="103"/>
      <c r="AC204" s="103"/>
      <c r="AD204" s="103"/>
      <c r="AE204" s="103"/>
      <c r="AF204" s="103"/>
    </row>
    <row r="205" spans="3:53" x14ac:dyDescent="0.25">
      <c r="C205" s="54" t="s">
        <v>44</v>
      </c>
      <c r="D205" s="3">
        <f>IF(D180="","",D180^D$165)</f>
        <v>0.99320881334271305</v>
      </c>
      <c r="E205" s="3">
        <f t="shared" ref="D205:H213" si="82">IF(E180="","",E180^E$165)</f>
        <v>0.71985754969625471</v>
      </c>
      <c r="F205" s="3">
        <f t="shared" si="82"/>
        <v>1.038538419213384</v>
      </c>
      <c r="G205" s="3">
        <f t="shared" si="82"/>
        <v>0.91121998459097731</v>
      </c>
      <c r="H205" s="3">
        <f t="shared" si="82"/>
        <v>1.1929673737516353</v>
      </c>
      <c r="V205" s="94">
        <f>+SUM(D205:H205)</f>
        <v>4.8557921405949642</v>
      </c>
      <c r="Y205" s="101">
        <f t="shared" ref="Y205:Y213" si="83">V205/MAX($V$204:$V$213)*100</f>
        <v>97.785547951075586</v>
      </c>
      <c r="Z205" s="3">
        <f t="shared" ref="Z205:Z213" si="84">_xlfn.RANK.EQ(Y205,$Y$204:$Y$213,0)</f>
        <v>7</v>
      </c>
    </row>
    <row r="206" spans="3:53" x14ac:dyDescent="0.25">
      <c r="C206" s="54" t="s">
        <v>49</v>
      </c>
      <c r="D206" s="3">
        <f>IF(D181="","",D181^D$165)</f>
        <v>0.98433064632455047</v>
      </c>
      <c r="E206" s="3">
        <f t="shared" si="82"/>
        <v>0.80114181581923449</v>
      </c>
      <c r="F206" s="3">
        <f t="shared" si="82"/>
        <v>0.96984888322009433</v>
      </c>
      <c r="G206" s="3">
        <f t="shared" si="82"/>
        <v>1.0963712736160833</v>
      </c>
      <c r="H206" s="3">
        <f t="shared" si="82"/>
        <v>1.1140638167506338</v>
      </c>
      <c r="V206" s="94">
        <f t="shared" ref="V206:V213" si="85">+SUM(D206:H206)</f>
        <v>4.9657564357305963</v>
      </c>
      <c r="Y206" s="101">
        <f t="shared" si="83"/>
        <v>100</v>
      </c>
      <c r="Z206" s="3">
        <f t="shared" si="84"/>
        <v>1</v>
      </c>
    </row>
    <row r="207" spans="3:53" x14ac:dyDescent="0.25">
      <c r="C207" s="54" t="s">
        <v>53</v>
      </c>
      <c r="D207" s="3">
        <f t="shared" si="82"/>
        <v>0.92055111306633852</v>
      </c>
      <c r="E207" s="3">
        <f t="shared" si="82"/>
        <v>0.80138629002277506</v>
      </c>
      <c r="F207" s="3">
        <f t="shared" si="82"/>
        <v>1.0574355492699927</v>
      </c>
      <c r="G207" s="3">
        <f t="shared" si="82"/>
        <v>1.1111704470146051</v>
      </c>
      <c r="H207" s="3">
        <f t="shared" si="82"/>
        <v>1.0703349192348015</v>
      </c>
      <c r="V207" s="94">
        <f t="shared" si="85"/>
        <v>4.960878318608513</v>
      </c>
      <c r="Y207" s="101">
        <f t="shared" si="83"/>
        <v>99.901764873383982</v>
      </c>
      <c r="Z207" s="3">
        <f t="shared" si="84"/>
        <v>2</v>
      </c>
    </row>
    <row r="208" spans="3:53" x14ac:dyDescent="0.25">
      <c r="C208" s="54" t="s">
        <v>58</v>
      </c>
      <c r="D208" s="3">
        <f t="shared" si="82"/>
        <v>0.68843756714474402</v>
      </c>
      <c r="E208" s="3">
        <f t="shared" si="82"/>
        <v>1.0159776850256605</v>
      </c>
      <c r="F208" s="3">
        <f t="shared" si="82"/>
        <v>1.0761477859527604</v>
      </c>
      <c r="G208" s="3">
        <f t="shared" si="82"/>
        <v>1.0254744550663473</v>
      </c>
      <c r="H208" s="3">
        <f t="shared" si="82"/>
        <v>1.0982789226147567</v>
      </c>
      <c r="V208" s="94">
        <f t="shared" si="85"/>
        <v>4.9043164158042689</v>
      </c>
      <c r="Y208" s="101">
        <f t="shared" si="83"/>
        <v>98.762725866209593</v>
      </c>
      <c r="Z208" s="3">
        <f t="shared" si="84"/>
        <v>5</v>
      </c>
    </row>
    <row r="209" spans="3:26" x14ac:dyDescent="0.25">
      <c r="C209" s="54" t="s">
        <v>63</v>
      </c>
      <c r="D209" s="3">
        <f t="shared" si="82"/>
        <v>0.94191908814257519</v>
      </c>
      <c r="E209" s="3">
        <f t="shared" si="82"/>
        <v>1.1221627450930018</v>
      </c>
      <c r="F209" s="3">
        <f t="shared" si="82"/>
        <v>1.0473778430768379</v>
      </c>
      <c r="G209" s="3">
        <f t="shared" si="82"/>
        <v>0.74035130966242135</v>
      </c>
      <c r="H209" s="3">
        <f t="shared" si="82"/>
        <v>1.0709379737414157</v>
      </c>
      <c r="V209" s="94">
        <f t="shared" si="85"/>
        <v>4.9227489597162517</v>
      </c>
      <c r="Y209" s="101">
        <f t="shared" si="83"/>
        <v>99.13391893921964</v>
      </c>
      <c r="Z209" s="3">
        <f t="shared" si="84"/>
        <v>4</v>
      </c>
    </row>
    <row r="210" spans="3:26" x14ac:dyDescent="0.25">
      <c r="C210" s="54" t="s">
        <v>66</v>
      </c>
      <c r="D210" s="3">
        <f t="shared" si="82"/>
        <v>1.0412932017445689</v>
      </c>
      <c r="E210" s="3">
        <f t="shared" si="82"/>
        <v>1.0520304542324013</v>
      </c>
      <c r="F210" s="3">
        <f t="shared" si="82"/>
        <v>1.072276650389355</v>
      </c>
      <c r="G210" s="3">
        <f t="shared" si="82"/>
        <v>0.66378634171476747</v>
      </c>
      <c r="H210" s="3">
        <f t="shared" si="82"/>
        <v>1.0623464520129491</v>
      </c>
      <c r="V210" s="94">
        <f t="shared" si="85"/>
        <v>4.8917331000940418</v>
      </c>
      <c r="Y210" s="101">
        <f t="shared" si="83"/>
        <v>98.509324075906605</v>
      </c>
      <c r="Z210" s="3">
        <f t="shared" si="84"/>
        <v>6</v>
      </c>
    </row>
    <row r="211" spans="3:26" ht="28.5" x14ac:dyDescent="0.25">
      <c r="C211" s="54" t="s">
        <v>69</v>
      </c>
      <c r="D211" s="3">
        <f t="shared" si="82"/>
        <v>1.2755416761563152</v>
      </c>
      <c r="E211" s="3">
        <f t="shared" si="82"/>
        <v>0.83140162280976837</v>
      </c>
      <c r="F211" s="3">
        <f t="shared" si="82"/>
        <v>0.78491588896501707</v>
      </c>
      <c r="G211" s="3">
        <f t="shared" si="82"/>
        <v>1.0269243166251236</v>
      </c>
      <c r="H211" s="3">
        <f t="shared" si="82"/>
        <v>0.72377715106235563</v>
      </c>
      <c r="V211" s="94">
        <f t="shared" si="85"/>
        <v>4.6425606556185794</v>
      </c>
      <c r="Y211" s="101">
        <f t="shared" si="83"/>
        <v>93.491509616007448</v>
      </c>
      <c r="Z211" s="3">
        <f t="shared" si="84"/>
        <v>9</v>
      </c>
    </row>
    <row r="212" spans="3:26" x14ac:dyDescent="0.25">
      <c r="C212" s="54" t="s">
        <v>74</v>
      </c>
      <c r="D212" s="3">
        <f t="shared" si="82"/>
        <v>1.3257737978444697</v>
      </c>
      <c r="E212" s="3">
        <f t="shared" si="82"/>
        <v>0.59269576777674737</v>
      </c>
      <c r="F212" s="3">
        <f t="shared" si="82"/>
        <v>0.93935948754987986</v>
      </c>
      <c r="G212" s="3">
        <f t="shared" si="82"/>
        <v>0.848129318190466</v>
      </c>
      <c r="H212" s="3">
        <f t="shared" si="82"/>
        <v>0.59269576777674737</v>
      </c>
      <c r="V212" s="94">
        <f t="shared" si="85"/>
        <v>4.2986541391383097</v>
      </c>
      <c r="Y212" s="101">
        <f t="shared" si="83"/>
        <v>86.565948104256179</v>
      </c>
      <c r="Z212" s="3">
        <f t="shared" si="84"/>
        <v>10</v>
      </c>
    </row>
    <row r="213" spans="3:26" x14ac:dyDescent="0.25">
      <c r="C213" s="54" t="s">
        <v>79</v>
      </c>
      <c r="D213" s="3">
        <f t="shared" si="82"/>
        <v>1.1889836969887106</v>
      </c>
      <c r="E213" s="3">
        <f t="shared" si="82"/>
        <v>0.92027028595089222</v>
      </c>
      <c r="F213" s="3">
        <f t="shared" si="82"/>
        <v>1.0963712736160833</v>
      </c>
      <c r="G213" s="3">
        <f t="shared" si="82"/>
        <v>0.88010278845162793</v>
      </c>
      <c r="H213" s="3">
        <f t="shared" si="82"/>
        <v>0.76617397824505429</v>
      </c>
      <c r="V213" s="94">
        <f t="shared" si="85"/>
        <v>4.8519020232523689</v>
      </c>
      <c r="Y213" s="101">
        <f t="shared" si="83"/>
        <v>97.707209083816522</v>
      </c>
      <c r="Z213" s="3">
        <f t="shared" si="84"/>
        <v>8</v>
      </c>
    </row>
    <row r="214" spans="3:26" x14ac:dyDescent="0.25">
      <c r="V214" s="71">
        <f>AVERAGE(V204:V213)</f>
        <v>4.822974445713057</v>
      </c>
    </row>
    <row r="236" spans="3:14" x14ac:dyDescent="0.25">
      <c r="C236" s="100"/>
      <c r="D236" s="100"/>
      <c r="E236" s="100"/>
      <c r="F236" s="100"/>
      <c r="G236" s="100"/>
      <c r="H236" s="100"/>
      <c r="I236" s="100"/>
      <c r="J236" s="100"/>
      <c r="K236" s="100"/>
    </row>
    <row r="237" spans="3:14" x14ac:dyDescent="0.25">
      <c r="C237" s="100"/>
      <c r="J237" s="3" t="s">
        <v>90</v>
      </c>
      <c r="K237" s="3" t="s">
        <v>91</v>
      </c>
      <c r="L237" s="3" t="s">
        <v>92</v>
      </c>
      <c r="M237" s="3" t="s">
        <v>93</v>
      </c>
      <c r="N237" s="3" t="s">
        <v>94</v>
      </c>
    </row>
    <row r="238" spans="3:14" x14ac:dyDescent="0.25">
      <c r="D238">
        <v>0.2112</v>
      </c>
      <c r="E238">
        <v>0.19639999999999999</v>
      </c>
      <c r="F238">
        <v>0.17449999999999999</v>
      </c>
      <c r="G238">
        <v>0.20669999999999999</v>
      </c>
      <c r="H238">
        <v>0.2112</v>
      </c>
      <c r="J238" s="102">
        <f>D238/MAX($D238:$H238)*100</f>
        <v>100</v>
      </c>
      <c r="K238" s="102">
        <f>E238/MAX($D238:$H238)*100</f>
        <v>92.992424242424249</v>
      </c>
      <c r="L238" s="102">
        <f>F238/MAX($D238:$H238)*100</f>
        <v>82.623106060606062</v>
      </c>
      <c r="M238" s="102">
        <f>G238/MAX($D238:$H238)*100</f>
        <v>97.869318181818173</v>
      </c>
      <c r="N238" s="102">
        <f>H238/MAX($D238:$H238)*100</f>
        <v>100</v>
      </c>
    </row>
    <row r="239" spans="3:14" x14ac:dyDescent="0.25">
      <c r="D239">
        <v>0.28399999999999997</v>
      </c>
      <c r="E239">
        <v>0.2172</v>
      </c>
      <c r="F239">
        <v>0.22220000000000001</v>
      </c>
      <c r="G239">
        <v>0.27660000000000001</v>
      </c>
      <c r="H239" s="100"/>
      <c r="J239" s="102">
        <f t="shared" ref="J239:M243" si="86">D239/MAX($D239:$H239)*100</f>
        <v>100</v>
      </c>
      <c r="K239" s="102">
        <f t="shared" si="86"/>
        <v>76.478873239436624</v>
      </c>
      <c r="L239" s="102">
        <f t="shared" si="86"/>
        <v>78.239436619718319</v>
      </c>
      <c r="M239" s="102">
        <f t="shared" si="86"/>
        <v>97.394366197183118</v>
      </c>
      <c r="N239" s="102"/>
    </row>
    <row r="240" spans="3:14" x14ac:dyDescent="0.25">
      <c r="D240">
        <v>0.26779999999999998</v>
      </c>
      <c r="E240">
        <v>0.23799999999999999</v>
      </c>
      <c r="F240">
        <v>0.2253</v>
      </c>
      <c r="G240">
        <v>0.26889999999999997</v>
      </c>
      <c r="H240" s="100"/>
      <c r="J240" s="102">
        <f t="shared" si="86"/>
        <v>99.590925994793608</v>
      </c>
      <c r="K240" s="102">
        <f t="shared" si="86"/>
        <v>88.508739308293045</v>
      </c>
      <c r="L240" s="102">
        <f t="shared" si="86"/>
        <v>83.785793975455576</v>
      </c>
      <c r="M240" s="102">
        <f t="shared" si="86"/>
        <v>100</v>
      </c>
      <c r="N240" s="102"/>
    </row>
    <row r="241" spans="4:14" x14ac:dyDescent="0.25">
      <c r="D241">
        <v>0.31130000000000002</v>
      </c>
      <c r="E241">
        <v>0.23130000000000001</v>
      </c>
      <c r="F241">
        <v>0.2354</v>
      </c>
      <c r="G241">
        <v>0.22209999999999999</v>
      </c>
      <c r="H241" s="100"/>
      <c r="J241" s="102">
        <f t="shared" si="86"/>
        <v>100</v>
      </c>
      <c r="K241" s="102">
        <f t="shared" si="86"/>
        <v>74.30131705750081</v>
      </c>
      <c r="L241" s="102">
        <f t="shared" si="86"/>
        <v>75.618374558303884</v>
      </c>
      <c r="M241" s="102">
        <f t="shared" si="86"/>
        <v>71.345968519113384</v>
      </c>
      <c r="N241" s="102"/>
    </row>
    <row r="242" spans="4:14" x14ac:dyDescent="0.25">
      <c r="D242">
        <v>0.39369999999999999</v>
      </c>
      <c r="E242">
        <v>0.3054</v>
      </c>
      <c r="F242">
        <v>0.3009</v>
      </c>
      <c r="G242" s="100"/>
      <c r="H242" s="100"/>
      <c r="J242" s="102">
        <f t="shared" si="86"/>
        <v>100</v>
      </c>
      <c r="K242" s="102">
        <f t="shared" si="86"/>
        <v>77.571755143510288</v>
      </c>
      <c r="L242" s="102">
        <f t="shared" si="86"/>
        <v>76.428752857505728</v>
      </c>
      <c r="M242" s="102"/>
      <c r="N242" s="102"/>
    </row>
    <row r="243" spans="4:14" x14ac:dyDescent="0.25">
      <c r="D243">
        <v>0.29830000000000001</v>
      </c>
      <c r="E243">
        <v>0.33110000000000001</v>
      </c>
      <c r="F243">
        <v>0.37059999999999998</v>
      </c>
      <c r="G243" s="100"/>
      <c r="H243" s="100"/>
      <c r="J243" s="102">
        <f t="shared" si="86"/>
        <v>80.491095520777122</v>
      </c>
      <c r="K243" s="102">
        <f t="shared" si="86"/>
        <v>89.341608202914202</v>
      </c>
      <c r="L243" s="102">
        <f t="shared" si="86"/>
        <v>100</v>
      </c>
      <c r="M243" s="102"/>
      <c r="N243" s="102"/>
    </row>
    <row r="245" spans="4:14" x14ac:dyDescent="0.25">
      <c r="D245" s="3">
        <v>0.2</v>
      </c>
      <c r="E245" s="3">
        <v>0.2</v>
      </c>
      <c r="F245" s="3">
        <v>0.2</v>
      </c>
      <c r="G245" s="3">
        <v>0.2</v>
      </c>
      <c r="H245" s="3">
        <v>0.2</v>
      </c>
    </row>
    <row r="246" spans="4:14" x14ac:dyDescent="0.25">
      <c r="D246" s="3">
        <v>0.25</v>
      </c>
      <c r="E246" s="3">
        <v>0.25</v>
      </c>
      <c r="F246" s="3">
        <v>0.25</v>
      </c>
      <c r="G246" s="3">
        <v>0.25</v>
      </c>
    </row>
    <row r="247" spans="4:14" x14ac:dyDescent="0.25">
      <c r="D247" s="3">
        <v>0.25</v>
      </c>
      <c r="E247" s="3">
        <v>0.25</v>
      </c>
      <c r="F247" s="3">
        <v>0.25</v>
      </c>
      <c r="G247" s="3">
        <v>0.25</v>
      </c>
    </row>
    <row r="248" spans="4:14" x14ac:dyDescent="0.25">
      <c r="D248" s="3">
        <v>0.25</v>
      </c>
      <c r="E248" s="3">
        <v>0.25</v>
      </c>
      <c r="F248" s="3">
        <v>0.25</v>
      </c>
      <c r="G248" s="3">
        <v>0.25</v>
      </c>
    </row>
    <row r="249" spans="4:14" x14ac:dyDescent="0.25">
      <c r="D249" s="3">
        <v>0.33</v>
      </c>
      <c r="E249" s="3">
        <v>0.33</v>
      </c>
      <c r="F249" s="3">
        <v>0.33</v>
      </c>
    </row>
    <row r="250" spans="4:14" x14ac:dyDescent="0.25">
      <c r="D250" s="3">
        <v>0.33</v>
      </c>
      <c r="E250" s="3">
        <v>0.33</v>
      </c>
      <c r="F250" s="3">
        <v>0.33</v>
      </c>
    </row>
    <row r="252" spans="4:14" x14ac:dyDescent="0.25">
      <c r="D252" s="3">
        <v>0.3</v>
      </c>
      <c r="E252" s="3">
        <v>0.25</v>
      </c>
      <c r="F252" s="3">
        <v>0.2</v>
      </c>
      <c r="G252" s="3">
        <v>0.1</v>
      </c>
      <c r="H252" s="3">
        <v>0.15</v>
      </c>
    </row>
    <row r="253" spans="4:14" x14ac:dyDescent="0.25">
      <c r="D253" s="3">
        <v>0.3</v>
      </c>
      <c r="E253" s="3">
        <v>0.15</v>
      </c>
      <c r="F253" s="3">
        <v>0.4</v>
      </c>
      <c r="G253" s="3">
        <v>0.15</v>
      </c>
    </row>
    <row r="254" spans="4:14" x14ac:dyDescent="0.25">
      <c r="D254" s="3">
        <v>0.15</v>
      </c>
      <c r="E254" s="3">
        <v>0.4</v>
      </c>
      <c r="F254" s="3">
        <v>0.3</v>
      </c>
      <c r="G254" s="3">
        <v>0.15</v>
      </c>
    </row>
    <row r="255" spans="4:14" x14ac:dyDescent="0.25">
      <c r="D255" s="3">
        <v>0.25</v>
      </c>
      <c r="E255" s="3">
        <v>0.3</v>
      </c>
      <c r="F255" s="3">
        <v>0.2</v>
      </c>
      <c r="G255" s="3">
        <v>0.25</v>
      </c>
    </row>
    <row r="256" spans="4:14" x14ac:dyDescent="0.25">
      <c r="D256" s="3">
        <v>0.3</v>
      </c>
      <c r="E256" s="3">
        <v>0.3</v>
      </c>
      <c r="F256" s="3">
        <v>0.4</v>
      </c>
    </row>
    <row r="257" spans="4:21" x14ac:dyDescent="0.25">
      <c r="D257" s="3">
        <v>0.4</v>
      </c>
      <c r="E257" s="3">
        <v>0.4</v>
      </c>
      <c r="F257" s="3">
        <v>0.2</v>
      </c>
    </row>
    <row r="259" spans="4:21" x14ac:dyDescent="0.25">
      <c r="D259" s="3" t="s">
        <v>95</v>
      </c>
    </row>
    <row r="260" spans="4:21" x14ac:dyDescent="0.25">
      <c r="D260" s="3">
        <v>0.25</v>
      </c>
      <c r="E260" s="3">
        <v>0.25</v>
      </c>
      <c r="F260" s="3">
        <v>0.25</v>
      </c>
      <c r="G260" s="3">
        <v>0.25</v>
      </c>
      <c r="H260" s="3">
        <v>0.25</v>
      </c>
      <c r="I260" s="3">
        <v>0.25</v>
      </c>
      <c r="J260" s="3">
        <v>0.25</v>
      </c>
      <c r="K260" s="3">
        <v>0.25</v>
      </c>
      <c r="L260" s="3">
        <v>0.25</v>
      </c>
      <c r="M260" s="3">
        <v>0.25</v>
      </c>
      <c r="N260" s="3">
        <v>0.25</v>
      </c>
      <c r="O260" s="3">
        <v>0.25</v>
      </c>
      <c r="P260" s="3">
        <f>1/3</f>
        <v>0.33333333333333331</v>
      </c>
      <c r="Q260" s="3">
        <f t="shared" ref="Q260:U260" si="87">1/3</f>
        <v>0.33333333333333331</v>
      </c>
      <c r="R260" s="3">
        <f t="shared" si="87"/>
        <v>0.33333333333333331</v>
      </c>
      <c r="S260" s="3">
        <f t="shared" si="87"/>
        <v>0.33333333333333331</v>
      </c>
      <c r="T260" s="3">
        <f t="shared" si="87"/>
        <v>0.33333333333333331</v>
      </c>
      <c r="U260" s="3">
        <f t="shared" si="87"/>
        <v>0.33333333333333331</v>
      </c>
    </row>
    <row r="262" spans="4:21" x14ac:dyDescent="0.25">
      <c r="D262" s="3">
        <v>0.2112</v>
      </c>
      <c r="H262" s="3">
        <v>0.19639999999999999</v>
      </c>
      <c r="L262" s="3">
        <v>0.17449999999999999</v>
      </c>
      <c r="P262" s="3">
        <v>0.20669999999999999</v>
      </c>
      <c r="S262" s="3">
        <v>0.2112</v>
      </c>
    </row>
    <row r="263" spans="4:21" x14ac:dyDescent="0.25">
      <c r="D263" s="3">
        <v>0.28399999999999997</v>
      </c>
      <c r="E263" s="3">
        <v>0.2172</v>
      </c>
      <c r="F263" s="3">
        <v>0.22220000000000001</v>
      </c>
      <c r="G263" s="3">
        <v>0.27660000000000001</v>
      </c>
      <c r="H263" s="3">
        <v>0.26779999999999998</v>
      </c>
      <c r="I263" s="3">
        <v>0.23799999999999999</v>
      </c>
      <c r="J263" s="3">
        <v>0.2253</v>
      </c>
      <c r="K263" s="3">
        <v>0.26889999999999997</v>
      </c>
      <c r="L263" s="3">
        <v>0.31130000000000002</v>
      </c>
      <c r="M263" s="3">
        <v>0.23130000000000001</v>
      </c>
      <c r="N263" s="3">
        <v>0.2354</v>
      </c>
      <c r="O263" s="3">
        <v>0.22209999999999999</v>
      </c>
      <c r="P263" s="3">
        <v>0.39369999999999999</v>
      </c>
      <c r="Q263" s="3">
        <v>0.3054</v>
      </c>
      <c r="R263" s="3">
        <v>0.3009</v>
      </c>
      <c r="S263" s="3">
        <v>0.29830000000000001</v>
      </c>
      <c r="T263" s="3">
        <v>0.33110000000000001</v>
      </c>
      <c r="U263" s="3">
        <v>0.37059999999999998</v>
      </c>
    </row>
  </sheetData>
  <mergeCells count="6">
    <mergeCell ref="S3:U3"/>
    <mergeCell ref="C2:C4"/>
    <mergeCell ref="D3:G3"/>
    <mergeCell ref="H3:K3"/>
    <mergeCell ref="L3:O3"/>
    <mergeCell ref="P3:R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9"/>
  <sheetViews>
    <sheetView topLeftCell="P27" zoomScale="85" zoomScaleNormal="85" workbookViewId="0">
      <selection activeCell="AA19" sqref="AA19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92" customWidth="1"/>
    <col min="32" max="44" width="10.5703125" bestFit="1" customWidth="1"/>
  </cols>
  <sheetData>
    <row r="1" spans="1:44" ht="15.75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</row>
    <row r="2" spans="1:44" ht="18" customHeight="1" thickBot="1" x14ac:dyDescent="0.3">
      <c r="B2" s="131" t="s">
        <v>2</v>
      </c>
      <c r="C2" s="132" t="s">
        <v>3</v>
      </c>
      <c r="D2" s="133" t="s">
        <v>4</v>
      </c>
      <c r="E2" s="134" t="s">
        <v>5</v>
      </c>
      <c r="F2" s="136" t="s">
        <v>6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44" ht="31.5" customHeight="1" x14ac:dyDescent="0.25">
      <c r="A3" s="108" t="s">
        <v>97</v>
      </c>
    </row>
    <row r="4" spans="1:44" ht="18" customHeight="1" x14ac:dyDescent="0.25">
      <c r="A4" s="109" t="s">
        <v>25</v>
      </c>
      <c r="B4" s="155">
        <f>+AHP_nivel_0!D179</f>
        <v>0.63210651391127737</v>
      </c>
      <c r="C4" s="155">
        <f>+AHP_nivel_0!E179</f>
        <v>0.53333987111264036</v>
      </c>
      <c r="D4" s="155">
        <f>+AHP_nivel_0!F179</f>
        <v>2.4296594128464726</v>
      </c>
      <c r="E4" s="155">
        <f>+AHP_nivel_0!G179</f>
        <v>0.63210651391127737</v>
      </c>
      <c r="F4" s="155">
        <f>+AHP_nivel_0!H179</f>
        <v>1.185199713583645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U4" s="111"/>
    </row>
    <row r="5" spans="1:44" ht="18" customHeight="1" x14ac:dyDescent="0.25">
      <c r="A5" s="112" t="s">
        <v>44</v>
      </c>
      <c r="B5" s="155">
        <f>+AHP_nivel_0!D180</f>
        <v>0.96650214738666307</v>
      </c>
      <c r="C5" s="155">
        <f>+AHP_nivel_0!E180</f>
        <v>0.19330042947733261</v>
      </c>
      <c r="D5" s="155">
        <f>+AHP_nivel_0!F180</f>
        <v>1.2081276842333291</v>
      </c>
      <c r="E5" s="155">
        <f>+AHP_nivel_0!G180</f>
        <v>0.62822639580133111</v>
      </c>
      <c r="F5" s="155">
        <f>+AHP_nivel_0!H180</f>
        <v>2.4162553684666577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ht="18" customHeight="1" x14ac:dyDescent="0.25">
      <c r="A6" s="113" t="s">
        <v>49</v>
      </c>
      <c r="B6" s="155">
        <f>+AHP_nivel_0!D181</f>
        <v>0.92407034579407787</v>
      </c>
      <c r="C6" s="155">
        <f>+AHP_nivel_0!E181</f>
        <v>0.33002512349788493</v>
      </c>
      <c r="D6" s="155">
        <f>+AHP_nivel_0!F181</f>
        <v>0.85806532109450095</v>
      </c>
      <c r="E6" s="155">
        <f>+AHP_nivel_0!G181</f>
        <v>1.5841205927898476</v>
      </c>
      <c r="F6" s="155">
        <f>+AHP_nivel_0!H181</f>
        <v>1.7161306421890019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spans="1:44" ht="18" customHeight="1" x14ac:dyDescent="0.25">
      <c r="A7" s="114" t="s">
        <v>53</v>
      </c>
      <c r="B7" s="155">
        <f>+AHP_nivel_0!D182</f>
        <v>0.66105795729652672</v>
      </c>
      <c r="C7" s="155">
        <f>+AHP_nivel_0!E182</f>
        <v>0.33052897864826342</v>
      </c>
      <c r="D7" s="155">
        <f>+AHP_nivel_0!F182</f>
        <v>1.3221159145930537</v>
      </c>
      <c r="E7" s="155">
        <f>+AHP_nivel_0!G182</f>
        <v>1.6939610155723499</v>
      </c>
      <c r="F7" s="155">
        <f>+AHP_nivel_0!H182</f>
        <v>1.4047481592551194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</row>
    <row r="8" spans="1:44" ht="18" customHeight="1" x14ac:dyDescent="0.25">
      <c r="A8" s="114" t="s">
        <v>58</v>
      </c>
      <c r="B8" s="155">
        <f>+AHP_nivel_0!D183</f>
        <v>0.15464034358186612</v>
      </c>
      <c r="C8" s="155">
        <f>+AHP_nivel_0!E183</f>
        <v>1.0824824050730628</v>
      </c>
      <c r="D8" s="155">
        <f>+AHP_nivel_0!F183</f>
        <v>1.4433098734307503</v>
      </c>
      <c r="E8" s="155">
        <f>+AHP_nivel_0!G183</f>
        <v>1.1340291862670182</v>
      </c>
      <c r="F8" s="155">
        <f>+AHP_nivel_0!H183</f>
        <v>1.5979502170126165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</row>
    <row r="9" spans="1:44" ht="18" customHeight="1" x14ac:dyDescent="0.25">
      <c r="A9" s="115" t="s">
        <v>63</v>
      </c>
      <c r="B9" s="155">
        <f>+AHP_nivel_0!D184</f>
        <v>0.7414263048445634</v>
      </c>
      <c r="C9" s="155">
        <f>+AHP_nivel_0!E184</f>
        <v>1.779423131626952</v>
      </c>
      <c r="D9" s="155">
        <f>+AHP_nivel_0!F184</f>
        <v>1.2604247182357575</v>
      </c>
      <c r="E9" s="155">
        <f>+AHP_nivel_0!G184</f>
        <v>0.222427891453369</v>
      </c>
      <c r="F9" s="155">
        <f>+AHP_nivel_0!H184</f>
        <v>1.4087099792046704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</row>
    <row r="10" spans="1:44" ht="18" customHeight="1" x14ac:dyDescent="0.25">
      <c r="A10" s="114" t="s">
        <v>66</v>
      </c>
      <c r="B10" s="155">
        <f>+AHP_nivel_0!D185</f>
        <v>1.22423605335644</v>
      </c>
      <c r="C10" s="155">
        <f>+AHP_nivel_0!E185</f>
        <v>1.2886695298488839</v>
      </c>
      <c r="D10" s="155">
        <f>+AHP_nivel_0!F185</f>
        <v>1.4175364828337726</v>
      </c>
      <c r="E10" s="155">
        <f>+AHP_nivel_0!G185</f>
        <v>0.1288669529848884</v>
      </c>
      <c r="F10" s="155">
        <f>+AHP_nivel_0!H185</f>
        <v>1.3531030063413281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</row>
    <row r="11" spans="1:44" ht="18" customHeight="1" x14ac:dyDescent="0.25">
      <c r="A11" s="114" t="s">
        <v>69</v>
      </c>
      <c r="B11" s="155">
        <f>+AHP_nivel_0!D186</f>
        <v>3.3765506213288194</v>
      </c>
      <c r="C11" s="155">
        <f>+AHP_nivel_0!E186</f>
        <v>0.39724124956809642</v>
      </c>
      <c r="D11" s="155">
        <f>+AHP_nivel_0!F186</f>
        <v>0.29793093717607239</v>
      </c>
      <c r="E11" s="155">
        <f>+AHP_nivel_0!G186</f>
        <v>1.142068592508277</v>
      </c>
      <c r="F11" s="155">
        <f>+AHP_nivel_0!H186</f>
        <v>0.19862062478404821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AA11" s="92">
        <f>ROUND($AC$26*AA19+$AC$25,0)</f>
        <v>5</v>
      </c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</row>
    <row r="12" spans="1:44" ht="18" customHeight="1" x14ac:dyDescent="0.25">
      <c r="A12" s="114" t="s">
        <v>74</v>
      </c>
      <c r="B12" s="155">
        <f>+AHP_nivel_0!D187</f>
        <v>4.095879370546724</v>
      </c>
      <c r="C12" s="155">
        <f>+AHP_nivel_0!E187</f>
        <v>7.3140703045477207E-2</v>
      </c>
      <c r="D12" s="155">
        <f>+AHP_nivel_0!F187</f>
        <v>0.73140703045477207</v>
      </c>
      <c r="E12" s="155">
        <f>+AHP_nivel_0!G187</f>
        <v>0.43884421827286324</v>
      </c>
      <c r="F12" s="155">
        <f>+AHP_nivel_0!H187</f>
        <v>7.3140703045477207E-2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44" ht="18" customHeight="1" x14ac:dyDescent="0.25">
      <c r="A13" s="116" t="s">
        <v>79</v>
      </c>
      <c r="B13" s="155">
        <f>+AHP_nivel_0!D188</f>
        <v>2.3761808891847718</v>
      </c>
      <c r="C13" s="155">
        <f>+AHP_nivel_0!E188</f>
        <v>0.66005024699576997</v>
      </c>
      <c r="D13" s="155">
        <f>+AHP_nivel_0!F188</f>
        <v>1.5841205927898476</v>
      </c>
      <c r="E13" s="155">
        <f>+AHP_nivel_0!G188</f>
        <v>0.52804019759661591</v>
      </c>
      <c r="F13" s="155">
        <f>+AHP_nivel_0!H188</f>
        <v>0.26402009879830796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5" spans="1:44" x14ac:dyDescent="0.25">
      <c r="AA15" s="92">
        <v>0.25</v>
      </c>
      <c r="AB15" s="92">
        <v>0.25</v>
      </c>
      <c r="AC15" s="92">
        <v>0.25</v>
      </c>
      <c r="AD15" s="92">
        <v>0.25</v>
      </c>
      <c r="AE15" s="92">
        <v>0.25</v>
      </c>
      <c r="AF15" s="92">
        <v>0.25</v>
      </c>
      <c r="AG15" s="92"/>
      <c r="AH15" s="92"/>
      <c r="AI15" s="92"/>
      <c r="AJ15" s="92"/>
      <c r="AK15" s="92"/>
      <c r="AL15" s="92"/>
    </row>
    <row r="17" spans="1:44" ht="15.75" thickBot="1" x14ac:dyDescent="0.3">
      <c r="AA17" s="87">
        <v>0.2112</v>
      </c>
      <c r="AB17" s="87"/>
      <c r="AC17" s="87"/>
      <c r="AD17" s="87"/>
      <c r="AE17" s="87">
        <v>0.19639999999999999</v>
      </c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</row>
    <row r="18" spans="1:44" ht="64.5" thickBot="1" x14ac:dyDescent="0.3">
      <c r="A18" s="162" t="s">
        <v>182</v>
      </c>
      <c r="B18" s="131" t="s">
        <v>2</v>
      </c>
      <c r="C18" s="132" t="s">
        <v>3</v>
      </c>
      <c r="D18" s="133" t="s">
        <v>4</v>
      </c>
      <c r="E18" s="134" t="s">
        <v>5</v>
      </c>
      <c r="F18" s="136" t="s">
        <v>6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AA18" s="131" t="s">
        <v>2</v>
      </c>
      <c r="AB18" s="132" t="s">
        <v>3</v>
      </c>
      <c r="AC18" s="133" t="s">
        <v>4</v>
      </c>
      <c r="AD18" s="134" t="s">
        <v>5</v>
      </c>
      <c r="AE18" s="135" t="s">
        <v>6</v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</row>
    <row r="19" spans="1:44" x14ac:dyDescent="0.25">
      <c r="A19" s="118" t="s">
        <v>25</v>
      </c>
      <c r="B19" s="110">
        <f>IFERROR(+$U$26*B4+$U$24,"")</f>
        <v>1.5558062375580624</v>
      </c>
      <c r="C19" s="110">
        <f t="shared" ref="B19:F28" si="0">IFERROR(+$U$26*C4+$U$24,"")</f>
        <v>1.4575978765759787</v>
      </c>
      <c r="D19" s="110">
        <f t="shared" si="0"/>
        <v>3.3431984074319838</v>
      </c>
      <c r="E19" s="110">
        <f t="shared" si="0"/>
        <v>1.5558062375580624</v>
      </c>
      <c r="F19" s="137">
        <f t="shared" si="0"/>
        <v>2.1057730590577304</v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11"/>
      <c r="U19" t="s">
        <v>99</v>
      </c>
      <c r="Z19" s="119" t="s">
        <v>100</v>
      </c>
      <c r="AA19" s="88">
        <v>0.2112</v>
      </c>
      <c r="AB19" s="89">
        <v>0.19639999999999999</v>
      </c>
      <c r="AC19" s="90">
        <v>0.17449999999999999</v>
      </c>
      <c r="AD19" s="91">
        <v>0.20669999999999999</v>
      </c>
      <c r="AE19" s="91">
        <v>0.2112</v>
      </c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118" t="s">
        <v>44</v>
      </c>
      <c r="B20" s="110">
        <f>IFERROR(+$U$26*B5+$U$24,"")</f>
        <v>1.8883116883116884</v>
      </c>
      <c r="C20" s="110">
        <f t="shared" si="0"/>
        <v>1.1194805194805195</v>
      </c>
      <c r="D20" s="110">
        <f t="shared" si="0"/>
        <v>2.128571428571429</v>
      </c>
      <c r="E20" s="110">
        <f t="shared" si="0"/>
        <v>1.551948051948052</v>
      </c>
      <c r="F20" s="137">
        <f t="shared" si="0"/>
        <v>3.3298701298701299</v>
      </c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11"/>
      <c r="U20" t="s">
        <v>101</v>
      </c>
      <c r="AA20" s="120">
        <f>ROUND($AC$26*AA19+$AC$25,0)</f>
        <v>5</v>
      </c>
      <c r="AB20" s="120">
        <f t="shared" ref="AB20:AE20" si="1">ROUND($AC$26*AB19+$AC$25,0)</f>
        <v>3</v>
      </c>
      <c r="AC20" s="120">
        <f t="shared" si="1"/>
        <v>1</v>
      </c>
      <c r="AD20" s="120">
        <f t="shared" si="1"/>
        <v>5</v>
      </c>
      <c r="AE20" s="120">
        <f t="shared" si="1"/>
        <v>5</v>
      </c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</row>
    <row r="21" spans="1:44" x14ac:dyDescent="0.25">
      <c r="A21" s="118" t="s">
        <v>49</v>
      </c>
      <c r="B21" s="110">
        <f>IFERROR(+$U$26*B6+$U$24,"")</f>
        <v>1.846119733924612</v>
      </c>
      <c r="C21" s="110">
        <f t="shared" si="0"/>
        <v>1.2554323725055432</v>
      </c>
      <c r="D21" s="110">
        <f t="shared" si="0"/>
        <v>1.780487804878049</v>
      </c>
      <c r="E21" s="110">
        <f t="shared" si="0"/>
        <v>2.5024390243902439</v>
      </c>
      <c r="F21" s="137">
        <f t="shared" si="0"/>
        <v>2.6337028824833704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11"/>
      <c r="Z21" t="s">
        <v>172</v>
      </c>
      <c r="AA21" s="92">
        <f>ROUND($AC$26*AA19+$AC$25,0)</f>
        <v>5</v>
      </c>
      <c r="AB21" s="92">
        <f t="shared" ref="AB21:AE21" si="2">$AC$26*AB19+$AC$25</f>
        <v>3.3869209809264262</v>
      </c>
      <c r="AC21" s="92">
        <f t="shared" si="2"/>
        <v>0.99999999999999645</v>
      </c>
      <c r="AD21" s="92">
        <f t="shared" si="2"/>
        <v>4.5095367847411403</v>
      </c>
      <c r="AE21" s="92">
        <f t="shared" si="2"/>
        <v>4.9999999999999964</v>
      </c>
    </row>
    <row r="22" spans="1:44" x14ac:dyDescent="0.25">
      <c r="A22" s="118" t="s">
        <v>53</v>
      </c>
      <c r="B22" s="110">
        <f t="shared" ref="B22:B25" si="3">IFERROR(+$U$26*B7+$U$24,"")</f>
        <v>1.584594031922276</v>
      </c>
      <c r="C22" s="110">
        <f>IFERROR(+$U$26*C7+$U$24,"")</f>
        <v>1.2559333795975018</v>
      </c>
      <c r="D22" s="110">
        <f t="shared" si="0"/>
        <v>2.2419153365718252</v>
      </c>
      <c r="E22" s="110">
        <f t="shared" si="0"/>
        <v>2.6116585704371964</v>
      </c>
      <c r="F22" s="137">
        <f t="shared" si="0"/>
        <v>2.3240804996530189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11"/>
    </row>
    <row r="23" spans="1:44" x14ac:dyDescent="0.25">
      <c r="A23" s="118" t="s">
        <v>58</v>
      </c>
      <c r="B23" s="110">
        <f t="shared" si="3"/>
        <v>1.0810389610389612</v>
      </c>
      <c r="C23" s="110">
        <f t="shared" si="0"/>
        <v>2.0036363636363639</v>
      </c>
      <c r="D23" s="110">
        <f t="shared" si="0"/>
        <v>2.3624242424242428</v>
      </c>
      <c r="E23" s="110">
        <f t="shared" si="0"/>
        <v>2.0548917748917752</v>
      </c>
      <c r="F23" s="137">
        <f t="shared" si="0"/>
        <v>2.5161904761904763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1"/>
      <c r="W23" t="s">
        <v>102</v>
      </c>
      <c r="X23" s="111">
        <f>+MIN(B4:F13)</f>
        <v>7.3140703045477207E-2</v>
      </c>
      <c r="AB23" s="92" t="s">
        <v>102</v>
      </c>
      <c r="AC23" s="121">
        <f>+ROUND(MIN(AA19:AE19),5)</f>
        <v>0.17449999999999999</v>
      </c>
      <c r="AD23" s="121"/>
      <c r="AE23" s="121"/>
      <c r="AF23" s="121"/>
      <c r="AG23" s="121"/>
    </row>
    <row r="24" spans="1:44" ht="18" customHeight="1" x14ac:dyDescent="0.25">
      <c r="A24" s="118" t="s">
        <v>63</v>
      </c>
      <c r="B24" s="110">
        <f t="shared" si="3"/>
        <v>1.664508094645081</v>
      </c>
      <c r="C24" s="110">
        <f t="shared" si="0"/>
        <v>2.6966376089663759</v>
      </c>
      <c r="D24" s="110">
        <f>IFERROR(+$U$26*D9+$U$24,"")</f>
        <v>2.1805728518057284</v>
      </c>
      <c r="E24" s="110">
        <f t="shared" si="0"/>
        <v>1.1484433374844334</v>
      </c>
      <c r="F24" s="137">
        <f t="shared" si="0"/>
        <v>2.328019925280199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11"/>
      <c r="U24" s="122">
        <f>(5*X23-X24)/(X23-X24)</f>
        <v>0.92727272727272736</v>
      </c>
      <c r="W24" t="s">
        <v>103</v>
      </c>
      <c r="X24" s="111">
        <f>+MAX(B4:F13)</f>
        <v>4.095879370546724</v>
      </c>
      <c r="AB24" s="92" t="s">
        <v>103</v>
      </c>
      <c r="AC24" s="121">
        <f>+ROUND(MAX(AA19:AE19),5)</f>
        <v>0.2112</v>
      </c>
      <c r="AD24" s="121"/>
      <c r="AE24" s="121"/>
      <c r="AF24" s="121"/>
      <c r="AG24" s="121"/>
    </row>
    <row r="25" spans="1:44" x14ac:dyDescent="0.25">
      <c r="A25" s="118" t="s">
        <v>66</v>
      </c>
      <c r="B25" s="110">
        <f t="shared" si="3"/>
        <v>2.1445887445887446</v>
      </c>
      <c r="C25" s="110">
        <f t="shared" si="0"/>
        <v>2.2086580086580083</v>
      </c>
      <c r="D25" s="110">
        <f t="shared" si="0"/>
        <v>2.3367965367965371</v>
      </c>
      <c r="E25" s="110">
        <f>IFERROR(+$U$26*E10+$U$24,"")</f>
        <v>1.0554112554112556</v>
      </c>
      <c r="F25" s="137">
        <f t="shared" si="0"/>
        <v>2.2727272727272725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11"/>
      <c r="AB25" t="s">
        <v>104</v>
      </c>
      <c r="AC25" s="123">
        <f>(5*AC23-AC24)/(AC23-AC24)</f>
        <v>-18.019073569482284</v>
      </c>
      <c r="AD25"/>
      <c r="AE25"/>
    </row>
    <row r="26" spans="1:44" x14ac:dyDescent="0.25">
      <c r="A26" s="118" t="s">
        <v>69</v>
      </c>
      <c r="B26" s="110">
        <f t="shared" si="0"/>
        <v>4.2847372810675566</v>
      </c>
      <c r="C26" s="110">
        <f t="shared" si="0"/>
        <v>1.3222685571309425</v>
      </c>
      <c r="D26" s="110">
        <f t="shared" si="0"/>
        <v>1.2235195996663888</v>
      </c>
      <c r="E26" s="110">
        <f t="shared" si="0"/>
        <v>2.0628857381150958</v>
      </c>
      <c r="F26" s="137">
        <f t="shared" si="0"/>
        <v>1.1247706422018349</v>
      </c>
      <c r="G26" s="125"/>
      <c r="H26" s="138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11"/>
      <c r="U26" s="122">
        <f>+-4/(X23-X24)</f>
        <v>0.99434746589805922</v>
      </c>
      <c r="AB26" t="s">
        <v>105</v>
      </c>
      <c r="AC26" s="123">
        <f>+-4/(AC23-AC24)</f>
        <v>108.99182561307899</v>
      </c>
      <c r="AD26"/>
      <c r="AE26"/>
      <c r="AJ26" t="s">
        <v>106</v>
      </c>
    </row>
    <row r="27" spans="1:44" x14ac:dyDescent="0.25">
      <c r="A27" s="118" t="s">
        <v>74</v>
      </c>
      <c r="B27" s="110">
        <f t="shared" si="0"/>
        <v>5.0000000000000009</v>
      </c>
      <c r="C27" s="110">
        <f t="shared" si="0"/>
        <v>1</v>
      </c>
      <c r="D27" s="110">
        <f t="shared" si="0"/>
        <v>1.6545454545454545</v>
      </c>
      <c r="E27" s="110">
        <f t="shared" si="0"/>
        <v>1.3636363636363638</v>
      </c>
      <c r="F27" s="137">
        <f>IFERROR(+$U$26*F12+$U$24,"")</f>
        <v>1</v>
      </c>
      <c r="G27" s="125"/>
      <c r="H27" s="138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11"/>
    </row>
    <row r="28" spans="1:44" x14ac:dyDescent="0.25">
      <c r="A28" s="118" t="s">
        <v>79</v>
      </c>
      <c r="B28" s="110">
        <f t="shared" si="0"/>
        <v>3.2900221729490022</v>
      </c>
      <c r="C28" s="110">
        <f t="shared" si="0"/>
        <v>1.5835920177383593</v>
      </c>
      <c r="D28" s="110">
        <f t="shared" si="0"/>
        <v>2.5024390243902439</v>
      </c>
      <c r="E28" s="110">
        <f t="shared" si="0"/>
        <v>1.4523281596452329</v>
      </c>
      <c r="F28" s="137">
        <f t="shared" si="0"/>
        <v>1.1898004434589802</v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11"/>
    </row>
    <row r="29" spans="1:44" x14ac:dyDescent="0.25">
      <c r="A29" s="124"/>
      <c r="B29" s="125"/>
      <c r="C29" s="125"/>
      <c r="D29" s="125"/>
      <c r="E29" s="125"/>
      <c r="F29" s="125"/>
      <c r="T29" s="111"/>
    </row>
    <row r="30" spans="1:44" x14ac:dyDescent="0.25">
      <c r="A30" s="108"/>
      <c r="B30" s="92"/>
      <c r="C30" s="92"/>
      <c r="D30" s="92"/>
      <c r="E30" s="92"/>
      <c r="F30" s="92"/>
      <c r="U30" s="223" t="s">
        <v>107</v>
      </c>
    </row>
    <row r="31" spans="1:44" x14ac:dyDescent="0.25">
      <c r="A31" s="124"/>
      <c r="B31" s="125"/>
      <c r="C31" s="125"/>
      <c r="D31" s="125"/>
      <c r="E31" s="125"/>
      <c r="F31" s="125"/>
      <c r="U31" s="223"/>
    </row>
    <row r="32" spans="1:44" ht="33.75" customHeight="1" x14ac:dyDescent="0.25">
      <c r="A32" s="119" t="s">
        <v>190</v>
      </c>
      <c r="B32" s="114" t="s">
        <v>108</v>
      </c>
      <c r="C32" s="114" t="s">
        <v>109</v>
      </c>
      <c r="D32" s="114" t="s">
        <v>110</v>
      </c>
      <c r="E32" s="114" t="s">
        <v>111</v>
      </c>
      <c r="F32" s="114" t="s">
        <v>112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U32" s="223"/>
      <c r="W32" t="s">
        <v>113</v>
      </c>
      <c r="AA32" s="224"/>
      <c r="AB32" s="224"/>
      <c r="AC32" s="224"/>
      <c r="AD32" s="224"/>
    </row>
    <row r="33" spans="1:44" s="92" customFormat="1" x14ac:dyDescent="0.25">
      <c r="A33"/>
      <c r="B33">
        <f>+IFERROR(B19/MAX(B19:B28),0)</f>
        <v>0.31116124751161239</v>
      </c>
      <c r="C33">
        <f>+IFERROR(C19/MAX(C19:C28),0)</f>
        <v>0.54052419640274818</v>
      </c>
      <c r="D33">
        <f>+IFERROR(D19/MAX(D19:D28),0)</f>
        <v>1</v>
      </c>
      <c r="E33">
        <f>+IFERROR(E19/MAX(E19:E28),0)</f>
        <v>0.59571578581101337</v>
      </c>
      <c r="F33">
        <f>+IFERROR(F19/MAX(F19:F28),0)</f>
        <v>0.63238894519284417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126" t="s">
        <v>25</v>
      </c>
      <c r="V33" s="111">
        <f>+SUM(B34:S34)</f>
        <v>10.317902481785593</v>
      </c>
      <c r="W33" s="111">
        <f>+V33/MAX($V$33:$V$42)*100</f>
        <v>82.40532487860726</v>
      </c>
      <c r="X33">
        <f t="shared" ref="X33:X38" si="4">+RANK(W33,$W$33:$W$42)</f>
        <v>10</v>
      </c>
      <c r="Y33" s="127"/>
      <c r="Z33"/>
      <c r="AA33" s="128"/>
      <c r="AF33" s="111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92" customFormat="1" x14ac:dyDescent="0.25">
      <c r="A34" t="s">
        <v>114</v>
      </c>
      <c r="B34">
        <f>+PRODUCT(B33,AA20)</f>
        <v>1.5558062375580619</v>
      </c>
      <c r="C34">
        <f t="shared" ref="C34:E34" si="5">+PRODUCT(C33,AB20)</f>
        <v>1.6215725892082444</v>
      </c>
      <c r="D34">
        <f t="shared" si="5"/>
        <v>1</v>
      </c>
      <c r="E34">
        <f t="shared" si="5"/>
        <v>2.9785789290550668</v>
      </c>
      <c r="F34">
        <f>+PRODUCT(F33,AE20)</f>
        <v>3.1619447259642208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126" t="s">
        <v>44</v>
      </c>
      <c r="V34" s="111">
        <f>+SUM(B37:S37)</f>
        <v>11.741609490415527</v>
      </c>
      <c r="W34" s="111">
        <f t="shared" ref="W34:W42" si="6">+V34/MAX($V$33:$V$42)*100</f>
        <v>93.775953626573155</v>
      </c>
      <c r="X34">
        <f t="shared" si="4"/>
        <v>4</v>
      </c>
      <c r="Y34" s="127"/>
      <c r="Z34"/>
      <c r="AA34" s="128"/>
      <c r="AF34" s="111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92" customFormat="1" x14ac:dyDescent="0.25">
      <c r="A35"/>
      <c r="B35" s="114" t="s">
        <v>115</v>
      </c>
      <c r="C35" s="114" t="s">
        <v>116</v>
      </c>
      <c r="D35" s="114" t="s">
        <v>117</v>
      </c>
      <c r="E35" s="114" t="s">
        <v>118</v>
      </c>
      <c r="F35" s="114" t="s">
        <v>119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>
        <v>3</v>
      </c>
      <c r="U35" s="126" t="s">
        <v>49</v>
      </c>
      <c r="V35" s="111">
        <f>+SUM(B40:S40)</f>
        <v>12.520917182214955</v>
      </c>
      <c r="W35" s="111">
        <f t="shared" si="6"/>
        <v>100</v>
      </c>
      <c r="X35">
        <f t="shared" si="4"/>
        <v>1</v>
      </c>
      <c r="Y35" s="127"/>
      <c r="Z35"/>
      <c r="AA35" s="128"/>
      <c r="AF35" s="111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92" customFormat="1" x14ac:dyDescent="0.25">
      <c r="A36"/>
      <c r="B36">
        <f>+IFERROR(B20/MAX(B19:B28),0)</f>
        <v>0.37766233766233759</v>
      </c>
      <c r="C36">
        <f>+IFERROR(C20/MAX(C19:C28),0)</f>
        <v>0.41513940017680667</v>
      </c>
      <c r="D36">
        <f t="shared" ref="D36:E36" si="7">+IFERROR(D20/MAX(D19:D28),0)</f>
        <v>0.63668713883076178</v>
      </c>
      <c r="E36">
        <f t="shared" si="7"/>
        <v>0.59423849254853134</v>
      </c>
      <c r="F36">
        <f>+IFERROR(F20/MAX(F19:F28),0)</f>
        <v>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126" t="s">
        <v>53</v>
      </c>
      <c r="V36" s="111">
        <f>+SUM(B43:S43)</f>
        <v>12.142152001840621</v>
      </c>
      <c r="W36" s="111">
        <f t="shared" si="6"/>
        <v>96.974940614475585</v>
      </c>
      <c r="X36">
        <f t="shared" si="4"/>
        <v>2</v>
      </c>
      <c r="Y36" s="127"/>
      <c r="Z36"/>
      <c r="AA36" s="128"/>
      <c r="AF36" s="111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92" customFormat="1" x14ac:dyDescent="0.25">
      <c r="A37" t="s">
        <v>114</v>
      </c>
      <c r="B37">
        <f>+PRODUCT(B36,AA20)</f>
        <v>1.8883116883116879</v>
      </c>
      <c r="C37">
        <f t="shared" ref="C37:F37" si="8">+PRODUCT(C36,AB20)</f>
        <v>1.24541820053042</v>
      </c>
      <c r="D37">
        <f t="shared" si="8"/>
        <v>0.63668713883076178</v>
      </c>
      <c r="E37">
        <f t="shared" si="8"/>
        <v>2.9711924627426569</v>
      </c>
      <c r="F37">
        <f t="shared" si="8"/>
        <v>5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126" t="s">
        <v>58</v>
      </c>
      <c r="V37" s="111">
        <f>+SUM(B46:S46)</f>
        <v>11.728998876823745</v>
      </c>
      <c r="W37" s="111">
        <f t="shared" si="6"/>
        <v>93.675237254056171</v>
      </c>
      <c r="X37">
        <f t="shared" si="4"/>
        <v>5</v>
      </c>
      <c r="Y37" s="127"/>
      <c r="Z37"/>
      <c r="AA37" s="128"/>
      <c r="AF37" s="111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92" customFormat="1" x14ac:dyDescent="0.25">
      <c r="A38"/>
      <c r="B38" s="114" t="s">
        <v>120</v>
      </c>
      <c r="C38" s="114" t="s">
        <v>121</v>
      </c>
      <c r="D38" s="114" t="s">
        <v>122</v>
      </c>
      <c r="E38" s="114" t="s">
        <v>123</v>
      </c>
      <c r="F38" s="114" t="s">
        <v>124</v>
      </c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>
        <v>6</v>
      </c>
      <c r="U38" s="126" t="s">
        <v>63</v>
      </c>
      <c r="V38" s="111">
        <f>+SUM(B49:S49)</f>
        <v>11.011097199544395</v>
      </c>
      <c r="W38" s="111">
        <f t="shared" si="6"/>
        <v>87.941618327967632</v>
      </c>
      <c r="X38">
        <f t="shared" si="4"/>
        <v>6</v>
      </c>
      <c r="Y38" s="127"/>
      <c r="Z38"/>
      <c r="AA38" s="128"/>
      <c r="AF38" s="111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92" customFormat="1" x14ac:dyDescent="0.25">
      <c r="A39"/>
      <c r="B39">
        <f>+IFERROR(B21/MAX(B19:B28),0)</f>
        <v>0.36922394678492232</v>
      </c>
      <c r="C39">
        <f t="shared" ref="C39:E39" si="9">+IFERROR(C21/MAX(C19:C28),0)</f>
        <v>0.46555472204763609</v>
      </c>
      <c r="D39">
        <f t="shared" si="9"/>
        <v>0.53257018815275692</v>
      </c>
      <c r="E39">
        <f t="shared" si="9"/>
        <v>0.95818000588466323</v>
      </c>
      <c r="F39">
        <f>+IFERROR(F21/MAX(F19:F28),0)</f>
        <v>0.79093261291427264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126" t="s">
        <v>66</v>
      </c>
      <c r="V39" s="111">
        <f>+SUM(B52:S52)</f>
        <v>10.73389660919254</v>
      </c>
      <c r="W39" s="111">
        <f t="shared" si="6"/>
        <v>85.727718289194115</v>
      </c>
      <c r="X39">
        <f t="shared" ref="X39:X42" si="10">+RANK(W39,$W$33:$W$42)</f>
        <v>7</v>
      </c>
      <c r="Y39" s="127"/>
      <c r="Z39"/>
      <c r="AA39" s="128"/>
      <c r="AF39" s="111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92" customFormat="1" x14ac:dyDescent="0.25">
      <c r="A40" t="s">
        <v>114</v>
      </c>
      <c r="B40">
        <f>+PRODUCT(B39,AA20)</f>
        <v>1.8461197339246116</v>
      </c>
      <c r="C40">
        <f t="shared" ref="C40:F40" si="11">+PRODUCT(C39,AB20)</f>
        <v>1.3966641661429082</v>
      </c>
      <c r="D40">
        <f t="shared" si="11"/>
        <v>0.53257018815275692</v>
      </c>
      <c r="E40">
        <f t="shared" si="11"/>
        <v>4.7909000294233159</v>
      </c>
      <c r="F40">
        <f t="shared" si="11"/>
        <v>3.9546630645713634</v>
      </c>
      <c r="G40"/>
      <c r="H40"/>
      <c r="I40"/>
      <c r="J40"/>
      <c r="K40"/>
      <c r="L40"/>
      <c r="M40"/>
      <c r="N40"/>
      <c r="O40"/>
      <c r="P40"/>
      <c r="Q40"/>
      <c r="R40"/>
      <c r="S40"/>
      <c r="T40">
        <v>8</v>
      </c>
      <c r="U40" s="126" t="s">
        <v>69</v>
      </c>
      <c r="V40" s="111">
        <f>+SUM(B55:S55)</f>
        <v>11.760018607141244</v>
      </c>
      <c r="W40" s="111">
        <f t="shared" si="6"/>
        <v>93.922980529297718</v>
      </c>
      <c r="X40">
        <f>+RANK(W40,$W$33:$W$42)</f>
        <v>3</v>
      </c>
      <c r="Y40" s="127"/>
      <c r="Z40"/>
      <c r="AA40" s="128"/>
      <c r="AF40" s="111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92" customFormat="1" x14ac:dyDescent="0.25">
      <c r="A41"/>
      <c r="B41" s="114" t="s">
        <v>125</v>
      </c>
      <c r="C41" s="114" t="s">
        <v>126</v>
      </c>
      <c r="D41" s="114" t="s">
        <v>127</v>
      </c>
      <c r="E41" s="114" t="s">
        <v>128</v>
      </c>
      <c r="F41" s="114" t="s">
        <v>129</v>
      </c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>
        <v>9</v>
      </c>
      <c r="U41" s="126" t="s">
        <v>74</v>
      </c>
      <c r="V41" s="111">
        <f>+SUM(B58:S58)</f>
        <v>10.719626772267258</v>
      </c>
      <c r="W41" s="111">
        <f t="shared" si="6"/>
        <v>85.613750304919364</v>
      </c>
      <c r="X41">
        <f>+RANK(W41,$W$33:$W$42)</f>
        <v>8</v>
      </c>
      <c r="Y41" s="127"/>
      <c r="Z41"/>
      <c r="AA41" s="128"/>
      <c r="AF41" s="11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92" customFormat="1" x14ac:dyDescent="0.25">
      <c r="A42"/>
      <c r="B42">
        <f>+IFERROR(B22/MAX(B19:B28),0)</f>
        <v>0.31691880638445513</v>
      </c>
      <c r="C42">
        <f t="shared" ref="C42:E42" si="12">+IFERROR(C22/MAX(C19:C28),0)</f>
        <v>0.46574051159914753</v>
      </c>
      <c r="D42">
        <f t="shared" si="12"/>
        <v>0.67058997503349227</v>
      </c>
      <c r="E42">
        <f t="shared" si="12"/>
        <v>1</v>
      </c>
      <c r="F42">
        <f>+IFERROR(F22/MAX(F19:F28),0)</f>
        <v>0.69794929201748224</v>
      </c>
      <c r="G42"/>
      <c r="H42"/>
      <c r="I42"/>
      <c r="J42"/>
      <c r="K42"/>
      <c r="L42"/>
      <c r="M42"/>
      <c r="N42"/>
      <c r="O42"/>
      <c r="P42"/>
      <c r="Q42"/>
      <c r="R42"/>
      <c r="S42"/>
      <c r="T42">
        <v>10</v>
      </c>
      <c r="U42" s="126" t="s">
        <v>79</v>
      </c>
      <c r="V42" s="111">
        <f>+SUM(B61:S61)</f>
        <v>10.367307046685035</v>
      </c>
      <c r="W42" s="111">
        <f t="shared" si="6"/>
        <v>82.799901123945091</v>
      </c>
      <c r="X42">
        <f t="shared" si="10"/>
        <v>9</v>
      </c>
      <c r="Y42" s="127"/>
      <c r="Z42"/>
      <c r="AA42" s="128"/>
      <c r="AF42" s="111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92" customFormat="1" x14ac:dyDescent="0.25">
      <c r="A43" t="s">
        <v>114</v>
      </c>
      <c r="B43">
        <f>+PRODUCT(B42,AA20)</f>
        <v>1.5845940319222755</v>
      </c>
      <c r="C43">
        <f t="shared" ref="C43:F43" si="13">+PRODUCT(C42,AB20)</f>
        <v>1.3972215347974426</v>
      </c>
      <c r="D43">
        <f t="shared" si="13"/>
        <v>0.67058997503349227</v>
      </c>
      <c r="E43">
        <f t="shared" si="13"/>
        <v>5</v>
      </c>
      <c r="F43">
        <f t="shared" si="13"/>
        <v>3.4897464600874111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111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92" customFormat="1" x14ac:dyDescent="0.25">
      <c r="A44"/>
      <c r="B44" s="114" t="s">
        <v>130</v>
      </c>
      <c r="C44" s="114" t="s">
        <v>131</v>
      </c>
      <c r="D44" s="114" t="s">
        <v>132</v>
      </c>
      <c r="E44" s="114" t="s">
        <v>133</v>
      </c>
      <c r="F44" s="114" t="s">
        <v>134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/>
      <c r="U44"/>
      <c r="V44" s="3" t="s">
        <v>135</v>
      </c>
      <c r="W44" s="102">
        <f>+AVERAGE(W33:W42)</f>
        <v>90.283742494903635</v>
      </c>
      <c r="X44" s="102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92" customFormat="1" x14ac:dyDescent="0.25">
      <c r="A45"/>
      <c r="B45">
        <f>+IFERROR(B23/MAX(B19:B28),0)</f>
        <v>0.21620779220779221</v>
      </c>
      <c r="C45">
        <f t="shared" ref="C45:E45" si="14">+IFERROR(C23/MAX(C19:C28),0)</f>
        <v>0.74301283827468378</v>
      </c>
      <c r="D45">
        <f t="shared" si="14"/>
        <v>0.70663596787212379</v>
      </c>
      <c r="E45">
        <f t="shared" si="14"/>
        <v>0.78681486092869424</v>
      </c>
      <c r="F45">
        <f>+IFERROR(F23/MAX(F19:F28),0)</f>
        <v>0.75564222568902761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 t="s">
        <v>136</v>
      </c>
      <c r="W45" s="102">
        <f>+_xlfn.STDEV.P(V33:V42)</f>
        <v>0.73249901329621736</v>
      </c>
      <c r="X45" s="102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92" customFormat="1" x14ac:dyDescent="0.25">
      <c r="A46" t="s">
        <v>114</v>
      </c>
      <c r="B46">
        <f>+PRODUCT(B45,AA20)</f>
        <v>1.081038961038961</v>
      </c>
      <c r="C46">
        <f t="shared" ref="C46:F46" si="15">+PRODUCT(C45,AB20)</f>
        <v>2.2290385148240515</v>
      </c>
      <c r="D46">
        <f t="shared" si="15"/>
        <v>0.70663596787212379</v>
      </c>
      <c r="E46">
        <f t="shared" si="15"/>
        <v>3.9340743046434712</v>
      </c>
      <c r="F46">
        <f t="shared" si="15"/>
        <v>3.7782111284451378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 t="s">
        <v>137</v>
      </c>
      <c r="W46" s="102">
        <f>+_xlfn.VAR.P(V33:V42)</f>
        <v>0.53655480447993198</v>
      </c>
      <c r="X46" s="102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92" customFormat="1" x14ac:dyDescent="0.25">
      <c r="A47"/>
      <c r="B47" s="114" t="s">
        <v>138</v>
      </c>
      <c r="C47" s="114" t="s">
        <v>139</v>
      </c>
      <c r="D47" s="114" t="s">
        <v>140</v>
      </c>
      <c r="E47" s="114" t="s">
        <v>141</v>
      </c>
      <c r="F47" s="114" t="s">
        <v>142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/>
      <c r="U47"/>
      <c r="V47" s="111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92" customFormat="1" x14ac:dyDescent="0.25">
      <c r="A48"/>
      <c r="B48">
        <f>+IFERROR(B24/MAX(B19:B28),0)</f>
        <v>0.33290161892901615</v>
      </c>
      <c r="C48">
        <f t="shared" ref="C48:E48" si="16">+IFERROR(C24/MAX(C19:C28),0)</f>
        <v>1</v>
      </c>
      <c r="D48">
        <f t="shared" si="16"/>
        <v>0.6522415322280245</v>
      </c>
      <c r="E48">
        <f t="shared" si="16"/>
        <v>0.43973716567865984</v>
      </c>
      <c r="F48">
        <f>+IFERROR(F24/MAX(F19:F28),0)</f>
        <v>0.69913234885559794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111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114</v>
      </c>
      <c r="B49">
        <f>+PRODUCT(B48,AA20)</f>
        <v>1.6645080946450808</v>
      </c>
      <c r="C49">
        <f t="shared" ref="C49:F49" si="17">+PRODUCT(C48,AB20)</f>
        <v>3</v>
      </c>
      <c r="D49">
        <f t="shared" si="17"/>
        <v>0.6522415322280245</v>
      </c>
      <c r="E49">
        <f t="shared" si="17"/>
        <v>2.1986858283932991</v>
      </c>
      <c r="F49">
        <f t="shared" si="17"/>
        <v>3.4956617442779896</v>
      </c>
      <c r="V49" s="111"/>
    </row>
    <row r="50" spans="1:22" x14ac:dyDescent="0.25">
      <c r="B50" s="114" t="s">
        <v>143</v>
      </c>
      <c r="C50" s="114" t="s">
        <v>144</v>
      </c>
      <c r="D50" s="114" t="s">
        <v>145</v>
      </c>
      <c r="E50" s="114" t="s">
        <v>146</v>
      </c>
      <c r="F50" s="114" t="s">
        <v>147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U50" s="163"/>
      <c r="V50" s="111"/>
    </row>
    <row r="51" spans="1:22" x14ac:dyDescent="0.25">
      <c r="B51">
        <f>+IFERROR(B25/MAX(B19:B28),0)</f>
        <v>0.42891774891774886</v>
      </c>
      <c r="C51">
        <f t="shared" ref="C51:E51" si="18">+IFERROR(C25/MAX(C19:C28),0)</f>
        <v>0.81904146160172753</v>
      </c>
      <c r="D51">
        <f t="shared" si="18"/>
        <v>0.69897034277170056</v>
      </c>
      <c r="E51">
        <f t="shared" si="18"/>
        <v>0.4041153263133388</v>
      </c>
      <c r="F51">
        <f>+IFERROR(F25/MAX(F19:F28),0)</f>
        <v>0.68252730109204363</v>
      </c>
      <c r="U51" s="163"/>
      <c r="V51" s="111"/>
    </row>
    <row r="52" spans="1:22" x14ac:dyDescent="0.25">
      <c r="A52" t="s">
        <v>114</v>
      </c>
      <c r="B52">
        <f>+PRODUCT(B51,AA20)</f>
        <v>2.1445887445887442</v>
      </c>
      <c r="C52">
        <f t="shared" ref="C52:F52" si="19">+PRODUCT(C51,AB20)</f>
        <v>2.4571243848051827</v>
      </c>
      <c r="D52">
        <f t="shared" si="19"/>
        <v>0.69897034277170056</v>
      </c>
      <c r="E52">
        <f t="shared" si="19"/>
        <v>2.0205766315666942</v>
      </c>
      <c r="F52">
        <f t="shared" si="19"/>
        <v>3.4126365054602181</v>
      </c>
      <c r="U52" s="163"/>
      <c r="V52" s="111"/>
    </row>
    <row r="53" spans="1:22" x14ac:dyDescent="0.25">
      <c r="B53" s="114" t="s">
        <v>148</v>
      </c>
      <c r="C53" s="114" t="s">
        <v>149</v>
      </c>
      <c r="D53" s="114" t="s">
        <v>150</v>
      </c>
      <c r="E53" s="114" t="s">
        <v>151</v>
      </c>
      <c r="F53" s="114" t="s">
        <v>152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U53" s="126"/>
      <c r="V53" s="111"/>
    </row>
    <row r="54" spans="1:22" x14ac:dyDescent="0.25">
      <c r="B54">
        <f>+IFERROR(B26/MAX(B19:B28),0)</f>
        <v>0.85694745621351121</v>
      </c>
      <c r="C54">
        <f t="shared" ref="C54:E54" si="20">+IFERROR(C26/MAX(C19:C28),0)</f>
        <v>0.4903397300157693</v>
      </c>
      <c r="D54">
        <f t="shared" si="20"/>
        <v>0.36597277533588346</v>
      </c>
      <c r="E54">
        <f t="shared" si="20"/>
        <v>0.78987573699948266</v>
      </c>
      <c r="F54">
        <f>+IFERROR(F26/MAX(F19:F28),0)</f>
        <v>0.33778213513861655</v>
      </c>
      <c r="U54" s="126"/>
      <c r="V54" s="111"/>
    </row>
    <row r="55" spans="1:22" x14ac:dyDescent="0.25">
      <c r="A55" t="s">
        <v>114</v>
      </c>
      <c r="B55">
        <f>+PRODUCT(B54,AA20)</f>
        <v>4.2847372810675557</v>
      </c>
      <c r="C55">
        <f t="shared" ref="C55:F55" si="21">+PRODUCT(C54,AB20)</f>
        <v>1.471019190047308</v>
      </c>
      <c r="D55">
        <f t="shared" si="21"/>
        <v>0.36597277533588346</v>
      </c>
      <c r="E55">
        <f t="shared" si="21"/>
        <v>3.9493786849974133</v>
      </c>
      <c r="F55">
        <f t="shared" si="21"/>
        <v>1.6889106756930827</v>
      </c>
      <c r="U55" s="126"/>
      <c r="V55" s="111"/>
    </row>
    <row r="56" spans="1:22" x14ac:dyDescent="0.25">
      <c r="B56" s="114" t="s">
        <v>153</v>
      </c>
      <c r="C56" s="114" t="s">
        <v>154</v>
      </c>
      <c r="D56" s="114" t="s">
        <v>155</v>
      </c>
      <c r="E56" s="114" t="s">
        <v>156</v>
      </c>
      <c r="F56" s="114" t="s">
        <v>157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U56" s="126"/>
      <c r="V56" s="111"/>
    </row>
    <row r="57" spans="1:22" x14ac:dyDescent="0.25">
      <c r="B57">
        <f>+IFERROR(B27/MAX(B19:B28),0)</f>
        <v>1</v>
      </c>
      <c r="C57">
        <f t="shared" ref="C57:E57" si="22">+IFERROR(C27/MAX(C19:C28),0)</f>
        <v>0.37083217881222869</v>
      </c>
      <c r="D57">
        <f t="shared" si="22"/>
        <v>0.49489897185502763</v>
      </c>
      <c r="E57">
        <f t="shared" si="22"/>
        <v>0.5221342403146092</v>
      </c>
      <c r="F57">
        <f>+IFERROR(F27/MAX(F19:F28),0)</f>
        <v>0.30031201248049921</v>
      </c>
      <c r="U57" s="126"/>
      <c r="V57" s="111"/>
    </row>
    <row r="58" spans="1:22" x14ac:dyDescent="0.25">
      <c r="A58" t="s">
        <v>114</v>
      </c>
      <c r="B58">
        <f>+PRODUCT(B57,AA20)</f>
        <v>5</v>
      </c>
      <c r="C58">
        <f t="shared" ref="C58:F58" si="23">+PRODUCT(C57,AB20)</f>
        <v>1.1124965364366861</v>
      </c>
      <c r="D58">
        <f t="shared" si="23"/>
        <v>0.49489897185502763</v>
      </c>
      <c r="E58">
        <f t="shared" si="23"/>
        <v>2.6106712015730462</v>
      </c>
      <c r="F58">
        <f t="shared" si="23"/>
        <v>1.5015600624024961</v>
      </c>
      <c r="U58" s="126"/>
      <c r="V58" s="111"/>
    </row>
    <row r="59" spans="1:22" x14ac:dyDescent="0.25">
      <c r="B59" s="114" t="s">
        <v>158</v>
      </c>
      <c r="C59" s="114" t="s">
        <v>159</v>
      </c>
      <c r="D59" s="114" t="s">
        <v>160</v>
      </c>
      <c r="E59" s="114" t="s">
        <v>161</v>
      </c>
      <c r="F59" s="114" t="s">
        <v>162</v>
      </c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U59" s="126"/>
      <c r="V59" s="111"/>
    </row>
    <row r="60" spans="1:22" x14ac:dyDescent="0.25">
      <c r="B60">
        <f>+IFERROR(B28/MAX(B19:B28),0)</f>
        <v>0.65800443458980029</v>
      </c>
      <c r="C60">
        <f t="shared" ref="C60:E60" si="24">+IFERROR(C28/MAX(C19:C28),0)</f>
        <v>0.58724687828756927</v>
      </c>
      <c r="D60">
        <f t="shared" si="24"/>
        <v>0.74851645622565555</v>
      </c>
      <c r="E60">
        <f t="shared" si="24"/>
        <v>0.55609419090417722</v>
      </c>
      <c r="F60">
        <f>+IFERROR(F28/MAX(F19:F28),0)</f>
        <v>0.35731136562535676</v>
      </c>
      <c r="U60" s="126"/>
      <c r="V60" s="111"/>
    </row>
    <row r="61" spans="1:22" x14ac:dyDescent="0.25">
      <c r="A61" t="s">
        <v>114</v>
      </c>
      <c r="B61">
        <f>+PRODUCT(B60,AA20)</f>
        <v>3.2900221729490013</v>
      </c>
      <c r="C61">
        <f t="shared" ref="C61:F61" si="25">+PRODUCT(C60,AB20)</f>
        <v>1.7617406348627078</v>
      </c>
      <c r="D61">
        <f t="shared" si="25"/>
        <v>0.74851645622565555</v>
      </c>
      <c r="E61">
        <f>+PRODUCT(E60,AD20)</f>
        <v>2.7804709545208861</v>
      </c>
      <c r="F61">
        <f t="shared" si="25"/>
        <v>1.7865568281267838</v>
      </c>
      <c r="U61" s="126"/>
      <c r="V61" s="111"/>
    </row>
    <row r="62" spans="1:22" x14ac:dyDescent="0.25">
      <c r="U62" s="126"/>
      <c r="V62" s="111"/>
    </row>
    <row r="63" spans="1:22" x14ac:dyDescent="0.25">
      <c r="V63" s="111"/>
    </row>
    <row r="64" spans="1:22" x14ac:dyDescent="0.25">
      <c r="V64" s="111"/>
    </row>
    <row r="65" spans="22:22" x14ac:dyDescent="0.25">
      <c r="V65" s="111"/>
    </row>
    <row r="66" spans="22:22" x14ac:dyDescent="0.25">
      <c r="V66" s="111"/>
    </row>
    <row r="67" spans="22:22" x14ac:dyDescent="0.25">
      <c r="V67" s="111"/>
    </row>
    <row r="68" spans="22:22" x14ac:dyDescent="0.25">
      <c r="V68" s="111"/>
    </row>
    <row r="69" spans="22:22" x14ac:dyDescent="0.25">
      <c r="V69" s="111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6B5C-67BB-41F4-AD4C-604DA038F077}">
  <dimension ref="A1:AR69"/>
  <sheetViews>
    <sheetView topLeftCell="Q22" zoomScale="85" zoomScaleNormal="85" workbookViewId="0">
      <selection activeCell="X52" sqref="X52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92" customWidth="1"/>
    <col min="32" max="44" width="10.5703125" bestFit="1" customWidth="1"/>
  </cols>
  <sheetData>
    <row r="1" spans="1:44" ht="15.75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</row>
    <row r="2" spans="1:44" ht="18" customHeight="1" thickBot="1" x14ac:dyDescent="0.3">
      <c r="B2" s="131" t="s">
        <v>2</v>
      </c>
      <c r="C2" s="132" t="s">
        <v>3</v>
      </c>
      <c r="D2" s="133" t="s">
        <v>4</v>
      </c>
      <c r="E2" s="134" t="s">
        <v>5</v>
      </c>
      <c r="F2" s="136" t="s">
        <v>6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44" ht="31.5" customHeight="1" x14ac:dyDescent="0.25">
      <c r="A3" s="108" t="s">
        <v>97</v>
      </c>
    </row>
    <row r="4" spans="1:44" ht="18" customHeight="1" x14ac:dyDescent="0.25">
      <c r="A4" s="109" t="s">
        <v>25</v>
      </c>
      <c r="B4" s="155">
        <f>+AHP_nivel_0!D179</f>
        <v>0.63210651391127737</v>
      </c>
      <c r="C4" s="155">
        <f>+AHP_nivel_0!E179</f>
        <v>0.53333987111264036</v>
      </c>
      <c r="D4" s="155">
        <f>+AHP_nivel_0!F179</f>
        <v>2.4296594128464726</v>
      </c>
      <c r="E4" s="155">
        <f>+AHP_nivel_0!G179</f>
        <v>0.63210651391127737</v>
      </c>
      <c r="F4" s="155">
        <f>+AHP_nivel_0!H179</f>
        <v>1.185199713583645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U4" s="111"/>
    </row>
    <row r="5" spans="1:44" ht="18" customHeight="1" x14ac:dyDescent="0.25">
      <c r="A5" s="112" t="s">
        <v>44</v>
      </c>
      <c r="B5" s="155">
        <f>+AHP_nivel_0!D180</f>
        <v>0.96650214738666307</v>
      </c>
      <c r="C5" s="155">
        <f>+AHP_nivel_0!E180</f>
        <v>0.19330042947733261</v>
      </c>
      <c r="D5" s="155">
        <f>+AHP_nivel_0!F180</f>
        <v>1.2081276842333291</v>
      </c>
      <c r="E5" s="155">
        <f>+AHP_nivel_0!G180</f>
        <v>0.62822639580133111</v>
      </c>
      <c r="F5" s="155">
        <f>+AHP_nivel_0!H180</f>
        <v>2.4162553684666577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ht="18" customHeight="1" x14ac:dyDescent="0.25">
      <c r="A6" s="113" t="s">
        <v>49</v>
      </c>
      <c r="B6" s="155">
        <f>+AHP_nivel_0!D181</f>
        <v>0.92407034579407787</v>
      </c>
      <c r="C6" s="155">
        <f>+AHP_nivel_0!E181</f>
        <v>0.33002512349788493</v>
      </c>
      <c r="D6" s="155">
        <f>+AHP_nivel_0!F181</f>
        <v>0.85806532109450095</v>
      </c>
      <c r="E6" s="155">
        <f>+AHP_nivel_0!G181</f>
        <v>1.5841205927898476</v>
      </c>
      <c r="F6" s="155">
        <f>+AHP_nivel_0!H181</f>
        <v>1.7161306421890019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spans="1:44" ht="18" customHeight="1" x14ac:dyDescent="0.25">
      <c r="A7" s="114" t="s">
        <v>53</v>
      </c>
      <c r="B7" s="155">
        <f>+AHP_nivel_0!D182</f>
        <v>0.66105795729652672</v>
      </c>
      <c r="C7" s="155">
        <f>+AHP_nivel_0!E182</f>
        <v>0.33052897864826342</v>
      </c>
      <c r="D7" s="155">
        <f>+AHP_nivel_0!F182</f>
        <v>1.3221159145930537</v>
      </c>
      <c r="E7" s="155">
        <f>+AHP_nivel_0!G182</f>
        <v>1.6939610155723499</v>
      </c>
      <c r="F7" s="155">
        <f>+AHP_nivel_0!H182</f>
        <v>1.4047481592551194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</row>
    <row r="8" spans="1:44" ht="18" customHeight="1" x14ac:dyDescent="0.25">
      <c r="A8" s="114" t="s">
        <v>58</v>
      </c>
      <c r="B8" s="155">
        <f>+AHP_nivel_0!D183</f>
        <v>0.15464034358186612</v>
      </c>
      <c r="C8" s="155">
        <f>+AHP_nivel_0!E183</f>
        <v>1.0824824050730628</v>
      </c>
      <c r="D8" s="155">
        <f>+AHP_nivel_0!F183</f>
        <v>1.4433098734307503</v>
      </c>
      <c r="E8" s="155">
        <f>+AHP_nivel_0!G183</f>
        <v>1.1340291862670182</v>
      </c>
      <c r="F8" s="155">
        <f>+AHP_nivel_0!H183</f>
        <v>1.5979502170126165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</row>
    <row r="9" spans="1:44" ht="18" customHeight="1" x14ac:dyDescent="0.25">
      <c r="A9" s="115" t="s">
        <v>63</v>
      </c>
      <c r="B9" s="155">
        <f>+AHP_nivel_0!D184</f>
        <v>0.7414263048445634</v>
      </c>
      <c r="C9" s="155">
        <f>+AHP_nivel_0!E184</f>
        <v>1.779423131626952</v>
      </c>
      <c r="D9" s="155">
        <f>+AHP_nivel_0!F184</f>
        <v>1.2604247182357575</v>
      </c>
      <c r="E9" s="155">
        <f>+AHP_nivel_0!G184</f>
        <v>0.222427891453369</v>
      </c>
      <c r="F9" s="155">
        <f>+AHP_nivel_0!H184</f>
        <v>1.4087099792046704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</row>
    <row r="10" spans="1:44" ht="18" customHeight="1" x14ac:dyDescent="0.25">
      <c r="A10" s="114" t="s">
        <v>66</v>
      </c>
      <c r="B10" s="155">
        <f>+AHP_nivel_0!D185</f>
        <v>1.22423605335644</v>
      </c>
      <c r="C10" s="155">
        <f>+AHP_nivel_0!E185</f>
        <v>1.2886695298488839</v>
      </c>
      <c r="D10" s="155">
        <f>+AHP_nivel_0!F185</f>
        <v>1.4175364828337726</v>
      </c>
      <c r="E10" s="155">
        <f>+AHP_nivel_0!G185</f>
        <v>0.1288669529848884</v>
      </c>
      <c r="F10" s="155">
        <f>+AHP_nivel_0!H185</f>
        <v>1.3531030063413281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</row>
    <row r="11" spans="1:44" ht="18" customHeight="1" x14ac:dyDescent="0.25">
      <c r="A11" s="114" t="s">
        <v>69</v>
      </c>
      <c r="B11" s="155">
        <f>+AHP_nivel_0!D186</f>
        <v>3.3765506213288194</v>
      </c>
      <c r="C11" s="155">
        <f>+AHP_nivel_0!E186</f>
        <v>0.39724124956809642</v>
      </c>
      <c r="D11" s="155">
        <f>+AHP_nivel_0!F186</f>
        <v>0.29793093717607239</v>
      </c>
      <c r="E11" s="155">
        <f>+AHP_nivel_0!G186</f>
        <v>1.142068592508277</v>
      </c>
      <c r="F11" s="155">
        <f>+AHP_nivel_0!H186</f>
        <v>0.19862062478404821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AA11" s="92">
        <f>ROUND($AC$26*AA19+$AC$25,0)</f>
        <v>5</v>
      </c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</row>
    <row r="12" spans="1:44" ht="18" customHeight="1" x14ac:dyDescent="0.25">
      <c r="A12" s="114" t="s">
        <v>74</v>
      </c>
      <c r="B12" s="155">
        <f>+AHP_nivel_0!D187</f>
        <v>4.095879370546724</v>
      </c>
      <c r="C12" s="155">
        <f>+AHP_nivel_0!E187</f>
        <v>7.3140703045477207E-2</v>
      </c>
      <c r="D12" s="155">
        <f>+AHP_nivel_0!F187</f>
        <v>0.73140703045477207</v>
      </c>
      <c r="E12" s="155">
        <f>+AHP_nivel_0!G187</f>
        <v>0.43884421827286324</v>
      </c>
      <c r="F12" s="155">
        <f>+AHP_nivel_0!H187</f>
        <v>7.3140703045477207E-2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44" ht="18" customHeight="1" x14ac:dyDescent="0.25">
      <c r="A13" s="116" t="s">
        <v>79</v>
      </c>
      <c r="B13" s="155">
        <f>+AHP_nivel_0!D188</f>
        <v>2.3761808891847718</v>
      </c>
      <c r="C13" s="155">
        <f>+AHP_nivel_0!E188</f>
        <v>0.66005024699576997</v>
      </c>
      <c r="D13" s="155">
        <f>+AHP_nivel_0!F188</f>
        <v>1.5841205927898476</v>
      </c>
      <c r="E13" s="155">
        <f>+AHP_nivel_0!G188</f>
        <v>0.52804019759661591</v>
      </c>
      <c r="F13" s="155">
        <f>+AHP_nivel_0!H188</f>
        <v>0.26402009879830796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5" spans="1:44" x14ac:dyDescent="0.25">
      <c r="AA15" s="92">
        <v>0.25</v>
      </c>
      <c r="AB15" s="92">
        <v>0.25</v>
      </c>
      <c r="AC15" s="92">
        <v>0.25</v>
      </c>
      <c r="AD15" s="92">
        <v>0.25</v>
      </c>
      <c r="AE15" s="92">
        <v>0.25</v>
      </c>
      <c r="AF15" s="92">
        <v>0.25</v>
      </c>
      <c r="AG15" s="92"/>
      <c r="AH15" s="92"/>
      <c r="AI15" s="92"/>
      <c r="AJ15" s="92"/>
      <c r="AK15" s="92"/>
      <c r="AL15" s="92"/>
    </row>
    <row r="17" spans="1:44" ht="15.75" thickBot="1" x14ac:dyDescent="0.3">
      <c r="AA17" s="87">
        <v>0.2112</v>
      </c>
      <c r="AB17" s="87"/>
      <c r="AC17" s="87"/>
      <c r="AD17" s="87"/>
      <c r="AE17" s="87">
        <v>0.19639999999999999</v>
      </c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</row>
    <row r="18" spans="1:44" ht="64.5" thickBot="1" x14ac:dyDescent="0.3">
      <c r="A18" s="162" t="s">
        <v>182</v>
      </c>
      <c r="B18" s="131" t="s">
        <v>2</v>
      </c>
      <c r="C18" s="132" t="s">
        <v>3</v>
      </c>
      <c r="D18" s="133" t="s">
        <v>4</v>
      </c>
      <c r="E18" s="134" t="s">
        <v>5</v>
      </c>
      <c r="F18" s="136" t="s">
        <v>6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AA18" s="131" t="s">
        <v>2</v>
      </c>
      <c r="AB18" s="132" t="s">
        <v>3</v>
      </c>
      <c r="AC18" s="133" t="s">
        <v>4</v>
      </c>
      <c r="AD18" s="134" t="s">
        <v>5</v>
      </c>
      <c r="AE18" s="135" t="s">
        <v>6</v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</row>
    <row r="19" spans="1:44" x14ac:dyDescent="0.25">
      <c r="A19" s="118" t="s">
        <v>25</v>
      </c>
      <c r="B19" s="110">
        <f>IFERROR(+$U$26*B4+$U$24,"")</f>
        <v>1.5558062375580624</v>
      </c>
      <c r="C19" s="110">
        <f t="shared" ref="B19:F28" si="0">IFERROR(+$U$26*C4+$U$24,"")</f>
        <v>1.4575978765759787</v>
      </c>
      <c r="D19" s="110">
        <f t="shared" si="0"/>
        <v>3.3431984074319838</v>
      </c>
      <c r="E19" s="110">
        <f t="shared" si="0"/>
        <v>1.5558062375580624</v>
      </c>
      <c r="F19" s="137">
        <f t="shared" si="0"/>
        <v>2.1057730590577304</v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11"/>
      <c r="U19" t="s">
        <v>99</v>
      </c>
      <c r="Z19" s="119" t="s">
        <v>100</v>
      </c>
      <c r="AA19" s="88">
        <v>0.2</v>
      </c>
      <c r="AB19" s="89">
        <v>0.2</v>
      </c>
      <c r="AC19" s="90">
        <v>0.2</v>
      </c>
      <c r="AD19" s="91">
        <v>0.19989999999999999</v>
      </c>
      <c r="AE19" s="91">
        <v>0.2</v>
      </c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118" t="s">
        <v>44</v>
      </c>
      <c r="B20" s="110">
        <f>IFERROR(+$U$26*B5+$U$24,"")</f>
        <v>1.8883116883116884</v>
      </c>
      <c r="C20" s="110">
        <f t="shared" si="0"/>
        <v>1.1194805194805195</v>
      </c>
      <c r="D20" s="110">
        <f t="shared" si="0"/>
        <v>2.128571428571429</v>
      </c>
      <c r="E20" s="110">
        <f t="shared" si="0"/>
        <v>1.551948051948052</v>
      </c>
      <c r="F20" s="137">
        <f t="shared" si="0"/>
        <v>3.3298701298701299</v>
      </c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11"/>
      <c r="U20" t="s">
        <v>101</v>
      </c>
      <c r="AA20" s="120">
        <f>ROUND($AC$26*AA19+$AC$25,0)</f>
        <v>5</v>
      </c>
      <c r="AB20" s="120">
        <f t="shared" ref="AB20:AE20" si="1">ROUND($AC$26*AB19+$AC$25,0)</f>
        <v>5</v>
      </c>
      <c r="AC20" s="120">
        <f t="shared" si="1"/>
        <v>5</v>
      </c>
      <c r="AD20" s="120">
        <f t="shared" si="1"/>
        <v>1</v>
      </c>
      <c r="AE20" s="120">
        <f t="shared" si="1"/>
        <v>5</v>
      </c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</row>
    <row r="21" spans="1:44" x14ac:dyDescent="0.25">
      <c r="A21" s="118" t="s">
        <v>49</v>
      </c>
      <c r="B21" s="110">
        <f>IFERROR(+$U$26*B6+$U$24,"")</f>
        <v>1.846119733924612</v>
      </c>
      <c r="C21" s="110">
        <f t="shared" si="0"/>
        <v>1.2554323725055432</v>
      </c>
      <c r="D21" s="110">
        <f t="shared" si="0"/>
        <v>1.780487804878049</v>
      </c>
      <c r="E21" s="110">
        <f t="shared" si="0"/>
        <v>2.5024390243902439</v>
      </c>
      <c r="F21" s="137">
        <f t="shared" si="0"/>
        <v>2.6337028824833704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11"/>
      <c r="Z21" t="s">
        <v>172</v>
      </c>
      <c r="AA21" s="92">
        <f>ROUND($AC$26*AA19+$AC$25,0)</f>
        <v>5</v>
      </c>
      <c r="AB21" s="92">
        <f t="shared" ref="AB21:AE21" si="2">$AC$26*AB19+$AC$25</f>
        <v>5.0000000000009095</v>
      </c>
      <c r="AC21" s="92">
        <f t="shared" si="2"/>
        <v>5.0000000000009095</v>
      </c>
      <c r="AD21" s="92">
        <f t="shared" si="2"/>
        <v>1.0000000000009095</v>
      </c>
      <c r="AE21" s="92">
        <f t="shared" si="2"/>
        <v>5.0000000000009095</v>
      </c>
    </row>
    <row r="22" spans="1:44" x14ac:dyDescent="0.25">
      <c r="A22" s="118" t="s">
        <v>53</v>
      </c>
      <c r="B22" s="110">
        <f t="shared" ref="B22:B25" si="3">IFERROR(+$U$26*B7+$U$24,"")</f>
        <v>1.584594031922276</v>
      </c>
      <c r="C22" s="110">
        <f>IFERROR(+$U$26*C7+$U$24,"")</f>
        <v>1.2559333795975018</v>
      </c>
      <c r="D22" s="110">
        <f t="shared" si="0"/>
        <v>2.2419153365718252</v>
      </c>
      <c r="E22" s="110">
        <f t="shared" si="0"/>
        <v>2.6116585704371964</v>
      </c>
      <c r="F22" s="137">
        <f t="shared" si="0"/>
        <v>2.3240804996530189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11"/>
    </row>
    <row r="23" spans="1:44" x14ac:dyDescent="0.25">
      <c r="A23" s="118" t="s">
        <v>58</v>
      </c>
      <c r="B23" s="110">
        <f t="shared" si="3"/>
        <v>1.0810389610389612</v>
      </c>
      <c r="C23" s="110">
        <f t="shared" si="0"/>
        <v>2.0036363636363639</v>
      </c>
      <c r="D23" s="110">
        <f t="shared" si="0"/>
        <v>2.3624242424242428</v>
      </c>
      <c r="E23" s="110">
        <f t="shared" si="0"/>
        <v>2.0548917748917752</v>
      </c>
      <c r="F23" s="137">
        <f t="shared" si="0"/>
        <v>2.5161904761904763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1"/>
      <c r="W23" t="s">
        <v>102</v>
      </c>
      <c r="X23" s="111">
        <f>+MIN(B4:F13)</f>
        <v>7.3140703045477207E-2</v>
      </c>
      <c r="AB23" s="92" t="s">
        <v>102</v>
      </c>
      <c r="AC23" s="121">
        <f>+ROUND(MIN(AA19:AE19),5)</f>
        <v>0.19989999999999999</v>
      </c>
      <c r="AD23" s="121"/>
      <c r="AE23" s="121"/>
      <c r="AF23" s="121"/>
      <c r="AG23" s="121"/>
    </row>
    <row r="24" spans="1:44" ht="18" customHeight="1" x14ac:dyDescent="0.25">
      <c r="A24" s="118" t="s">
        <v>63</v>
      </c>
      <c r="B24" s="110">
        <f t="shared" si="3"/>
        <v>1.664508094645081</v>
      </c>
      <c r="C24" s="110">
        <f t="shared" si="0"/>
        <v>2.6966376089663759</v>
      </c>
      <c r="D24" s="110">
        <f>IFERROR(+$U$26*D9+$U$24,"")</f>
        <v>2.1805728518057284</v>
      </c>
      <c r="E24" s="110">
        <f t="shared" si="0"/>
        <v>1.1484433374844334</v>
      </c>
      <c r="F24" s="137">
        <f t="shared" si="0"/>
        <v>2.328019925280199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11"/>
      <c r="U24" s="122">
        <f>(5*X23-X24)/(X23-X24)</f>
        <v>0.92727272727272736</v>
      </c>
      <c r="W24" t="s">
        <v>103</v>
      </c>
      <c r="X24" s="111">
        <f>+MAX(B4:F13)</f>
        <v>4.095879370546724</v>
      </c>
      <c r="AB24" s="92" t="s">
        <v>103</v>
      </c>
      <c r="AC24" s="121">
        <f>+ROUND(MAX(AA19:AE19),5)</f>
        <v>0.2</v>
      </c>
      <c r="AD24" s="121"/>
      <c r="AE24" s="121"/>
      <c r="AF24" s="121"/>
      <c r="AG24" s="121"/>
    </row>
    <row r="25" spans="1:44" x14ac:dyDescent="0.25">
      <c r="A25" s="118" t="s">
        <v>66</v>
      </c>
      <c r="B25" s="110">
        <f t="shared" si="3"/>
        <v>2.1445887445887446</v>
      </c>
      <c r="C25" s="110">
        <f t="shared" si="0"/>
        <v>2.2086580086580083</v>
      </c>
      <c r="D25" s="110">
        <f t="shared" si="0"/>
        <v>2.3367965367965371</v>
      </c>
      <c r="E25" s="110">
        <f>IFERROR(+$U$26*E10+$U$24,"")</f>
        <v>1.0554112554112556</v>
      </c>
      <c r="F25" s="137">
        <f t="shared" si="0"/>
        <v>2.2727272727272725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11"/>
      <c r="AB25" t="s">
        <v>104</v>
      </c>
      <c r="AC25" s="123">
        <f>(5*AC23-AC24)/(AC23-AC24)</f>
        <v>-7994.9999999986603</v>
      </c>
      <c r="AD25"/>
      <c r="AE25"/>
    </row>
    <row r="26" spans="1:44" x14ac:dyDescent="0.25">
      <c r="A26" s="118" t="s">
        <v>69</v>
      </c>
      <c r="B26" s="110">
        <f t="shared" si="0"/>
        <v>4.2847372810675566</v>
      </c>
      <c r="C26" s="110">
        <f t="shared" si="0"/>
        <v>1.3222685571309425</v>
      </c>
      <c r="D26" s="110">
        <f t="shared" si="0"/>
        <v>1.2235195996663888</v>
      </c>
      <c r="E26" s="110">
        <f t="shared" si="0"/>
        <v>2.0628857381150958</v>
      </c>
      <c r="F26" s="137">
        <f t="shared" si="0"/>
        <v>1.1247706422018349</v>
      </c>
      <c r="G26" s="125"/>
      <c r="H26" s="138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11"/>
      <c r="U26" s="122">
        <f>+-4/(X23-X24)</f>
        <v>0.99434746589805922</v>
      </c>
      <c r="AB26" t="s">
        <v>105</v>
      </c>
      <c r="AC26" s="123">
        <f>+-4/(AC23-AC24)</f>
        <v>39999.999999993306</v>
      </c>
      <c r="AD26"/>
      <c r="AE26"/>
      <c r="AJ26" t="s">
        <v>106</v>
      </c>
    </row>
    <row r="27" spans="1:44" x14ac:dyDescent="0.25">
      <c r="A27" s="118" t="s">
        <v>74</v>
      </c>
      <c r="B27" s="110">
        <f t="shared" si="0"/>
        <v>5.0000000000000009</v>
      </c>
      <c r="C27" s="110">
        <f t="shared" si="0"/>
        <v>1</v>
      </c>
      <c r="D27" s="110">
        <f t="shared" si="0"/>
        <v>1.6545454545454545</v>
      </c>
      <c r="E27" s="110">
        <f t="shared" si="0"/>
        <v>1.3636363636363638</v>
      </c>
      <c r="F27" s="137">
        <f>IFERROR(+$U$26*F12+$U$24,"")</f>
        <v>1</v>
      </c>
      <c r="G27" s="125"/>
      <c r="H27" s="138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11"/>
    </row>
    <row r="28" spans="1:44" x14ac:dyDescent="0.25">
      <c r="A28" s="118" t="s">
        <v>79</v>
      </c>
      <c r="B28" s="110">
        <f t="shared" si="0"/>
        <v>3.2900221729490022</v>
      </c>
      <c r="C28" s="110">
        <f t="shared" si="0"/>
        <v>1.5835920177383593</v>
      </c>
      <c r="D28" s="110">
        <f t="shared" si="0"/>
        <v>2.5024390243902439</v>
      </c>
      <c r="E28" s="110">
        <f t="shared" si="0"/>
        <v>1.4523281596452329</v>
      </c>
      <c r="F28" s="137">
        <f t="shared" si="0"/>
        <v>1.1898004434589802</v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11"/>
    </row>
    <row r="29" spans="1:44" x14ac:dyDescent="0.25">
      <c r="A29" s="124"/>
      <c r="B29" s="125"/>
      <c r="C29" s="125"/>
      <c r="D29" s="125"/>
      <c r="E29" s="125"/>
      <c r="F29" s="125"/>
      <c r="T29" s="111"/>
    </row>
    <row r="30" spans="1:44" x14ac:dyDescent="0.25">
      <c r="A30" s="108"/>
      <c r="B30" s="92"/>
      <c r="C30" s="92"/>
      <c r="D30" s="92"/>
      <c r="E30" s="92"/>
      <c r="F30" s="92"/>
      <c r="U30" s="223" t="s">
        <v>107</v>
      </c>
    </row>
    <row r="31" spans="1:44" x14ac:dyDescent="0.25">
      <c r="A31" s="124"/>
      <c r="B31" s="125"/>
      <c r="C31" s="125"/>
      <c r="D31" s="125"/>
      <c r="E31" s="125"/>
      <c r="F31" s="125"/>
      <c r="U31" s="223"/>
    </row>
    <row r="32" spans="1:44" ht="33.75" customHeight="1" x14ac:dyDescent="0.25">
      <c r="A32" s="119" t="s">
        <v>190</v>
      </c>
      <c r="B32" s="114" t="s">
        <v>108</v>
      </c>
      <c r="C32" s="114" t="s">
        <v>109</v>
      </c>
      <c r="D32" s="114" t="s">
        <v>110</v>
      </c>
      <c r="E32" s="114" t="s">
        <v>111</v>
      </c>
      <c r="F32" s="114" t="s">
        <v>112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U32" s="223"/>
      <c r="W32" t="s">
        <v>113</v>
      </c>
      <c r="AA32" s="224"/>
      <c r="AB32" s="224"/>
      <c r="AC32" s="224"/>
      <c r="AD32" s="224"/>
    </row>
    <row r="33" spans="1:44" s="92" customFormat="1" x14ac:dyDescent="0.25">
      <c r="A33"/>
      <c r="B33">
        <f>+IFERROR(B19/MAX(B19:B28),0)</f>
        <v>0.31116124751161239</v>
      </c>
      <c r="C33">
        <f>+IFERROR(C19/MAX(C19:C28),0)</f>
        <v>0.54052419640274818</v>
      </c>
      <c r="D33">
        <f>+IFERROR(D19/MAX(D19:D28),0)</f>
        <v>1</v>
      </c>
      <c r="E33">
        <f>+IFERROR(E19/MAX(E19:E28),0)</f>
        <v>0.59571578581101337</v>
      </c>
      <c r="F33">
        <f>+IFERROR(F19/MAX(F19:F28),0)</f>
        <v>0.63238894519284417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126" t="s">
        <v>25</v>
      </c>
      <c r="V33" s="111">
        <f>+SUM(B34:S34)</f>
        <v>13.016087731347037</v>
      </c>
      <c r="W33" s="111">
        <f>+V33/MAX($V$33:$V$42)*100</f>
        <v>93.903614862350693</v>
      </c>
      <c r="X33">
        <f t="shared" ref="X33:X42" si="4">+RANK(W33,$W$33:$W$42)</f>
        <v>3</v>
      </c>
      <c r="Y33" s="127"/>
      <c r="Z33"/>
      <c r="AA33" s="128"/>
      <c r="AF33" s="111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92" customFormat="1" x14ac:dyDescent="0.25">
      <c r="A34" t="s">
        <v>114</v>
      </c>
      <c r="B34">
        <f>+PRODUCT(B33,AA20)</f>
        <v>1.5558062375580619</v>
      </c>
      <c r="C34">
        <f t="shared" ref="C34:E34" si="5">+PRODUCT(C33,AB20)</f>
        <v>2.702620982013741</v>
      </c>
      <c r="D34">
        <f t="shared" si="5"/>
        <v>5</v>
      </c>
      <c r="E34">
        <f t="shared" si="5"/>
        <v>0.59571578581101337</v>
      </c>
      <c r="F34">
        <f>+PRODUCT(F33,AE20)</f>
        <v>3.1619447259642208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126" t="s">
        <v>44</v>
      </c>
      <c r="V34" s="111">
        <f>+SUM(B37:S37)</f>
        <v>12.741682875898061</v>
      </c>
      <c r="W34" s="111">
        <f t="shared" ref="W34:W42" si="6">+V34/MAX($V$33:$V$42)*100</f>
        <v>91.923941062182408</v>
      </c>
      <c r="X34">
        <f t="shared" si="4"/>
        <v>5</v>
      </c>
      <c r="Y34" s="127"/>
      <c r="Z34"/>
      <c r="AA34" s="128"/>
      <c r="AF34" s="111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92" customFormat="1" x14ac:dyDescent="0.25">
      <c r="A35"/>
      <c r="B35" s="114" t="s">
        <v>115</v>
      </c>
      <c r="C35" s="114" t="s">
        <v>116</v>
      </c>
      <c r="D35" s="114" t="s">
        <v>117</v>
      </c>
      <c r="E35" s="114" t="s">
        <v>118</v>
      </c>
      <c r="F35" s="114" t="s">
        <v>119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>
        <v>3</v>
      </c>
      <c r="U35" s="126" t="s">
        <v>49</v>
      </c>
      <c r="V35" s="111">
        <f>+SUM(B40:S40)</f>
        <v>11.749587355382603</v>
      </c>
      <c r="W35" s="111">
        <f t="shared" si="6"/>
        <v>84.766540344854448</v>
      </c>
      <c r="X35">
        <f t="shared" si="4"/>
        <v>8</v>
      </c>
      <c r="Y35" s="127"/>
      <c r="Z35"/>
      <c r="AA35" s="128"/>
      <c r="AF35" s="111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92" customFormat="1" x14ac:dyDescent="0.25">
      <c r="A36"/>
      <c r="B36">
        <f>+IFERROR(B20/MAX(B19:B28),0)</f>
        <v>0.37766233766233759</v>
      </c>
      <c r="C36">
        <f>+IFERROR(C20/MAX(C19:C28),0)</f>
        <v>0.41513940017680667</v>
      </c>
      <c r="D36">
        <f t="shared" ref="D36:E36" si="7">+IFERROR(D20/MAX(D19:D28),0)</f>
        <v>0.63668713883076178</v>
      </c>
      <c r="E36">
        <f t="shared" si="7"/>
        <v>0.59423849254853134</v>
      </c>
      <c r="F36">
        <f>+IFERROR(F20/MAX(F19:F28),0)</f>
        <v>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126" t="s">
        <v>53</v>
      </c>
      <c r="V36" s="111">
        <f>+SUM(B43:S43)</f>
        <v>11.755992925172887</v>
      </c>
      <c r="W36" s="111">
        <f t="shared" si="6"/>
        <v>84.812752860548542</v>
      </c>
      <c r="X36">
        <f t="shared" si="4"/>
        <v>7</v>
      </c>
      <c r="Y36" s="127"/>
      <c r="Z36"/>
      <c r="AA36" s="128"/>
      <c r="AF36" s="111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92" customFormat="1" x14ac:dyDescent="0.25">
      <c r="A37" t="s">
        <v>114</v>
      </c>
      <c r="B37">
        <f>+PRODUCT(B36,AA20)</f>
        <v>1.8883116883116879</v>
      </c>
      <c r="C37">
        <f t="shared" ref="C37:F37" si="8">+PRODUCT(C36,AB20)</f>
        <v>2.0756970008840332</v>
      </c>
      <c r="D37">
        <f t="shared" si="8"/>
        <v>3.1834356941538089</v>
      </c>
      <c r="E37">
        <f t="shared" si="8"/>
        <v>0.59423849254853134</v>
      </c>
      <c r="F37">
        <f t="shared" si="8"/>
        <v>5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126" t="s">
        <v>58</v>
      </c>
      <c r="V37" s="111">
        <f>+SUM(B46:S46)</f>
        <v>12.89430898114683</v>
      </c>
      <c r="W37" s="111">
        <f t="shared" si="6"/>
        <v>93.025050957954264</v>
      </c>
      <c r="X37">
        <f t="shared" si="4"/>
        <v>4</v>
      </c>
      <c r="Y37" s="127"/>
      <c r="Z37"/>
      <c r="AA37" s="128"/>
      <c r="AF37" s="111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92" customFormat="1" x14ac:dyDescent="0.25">
      <c r="A38"/>
      <c r="B38" s="114" t="s">
        <v>120</v>
      </c>
      <c r="C38" s="114" t="s">
        <v>121</v>
      </c>
      <c r="D38" s="114" t="s">
        <v>122</v>
      </c>
      <c r="E38" s="114" t="s">
        <v>123</v>
      </c>
      <c r="F38" s="114" t="s">
        <v>124</v>
      </c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>
        <v>6</v>
      </c>
      <c r="U38" s="126" t="s">
        <v>63</v>
      </c>
      <c r="V38" s="111">
        <f>+SUM(B49:S49)</f>
        <v>13.861114665741852</v>
      </c>
      <c r="W38" s="111">
        <f t="shared" si="6"/>
        <v>100</v>
      </c>
      <c r="X38">
        <f t="shared" si="4"/>
        <v>1</v>
      </c>
      <c r="Y38" s="127"/>
      <c r="Z38"/>
      <c r="AA38" s="128"/>
      <c r="AF38" s="111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92" customFormat="1" x14ac:dyDescent="0.25">
      <c r="A39"/>
      <c r="B39">
        <f>+IFERROR(B21/MAX(B19:B28),0)</f>
        <v>0.36922394678492232</v>
      </c>
      <c r="C39">
        <f t="shared" ref="C39:E39" si="9">+IFERROR(C21/MAX(C19:C28),0)</f>
        <v>0.46555472204763609</v>
      </c>
      <c r="D39">
        <f t="shared" si="9"/>
        <v>0.53257018815275692</v>
      </c>
      <c r="E39">
        <f t="shared" si="9"/>
        <v>0.95818000588466323</v>
      </c>
      <c r="F39">
        <f>+IFERROR(F21/MAX(F19:F28),0)</f>
        <v>0.79093261291427264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126" t="s">
        <v>66</v>
      </c>
      <c r="V39" s="111">
        <f>+SUM(B52:S52)</f>
        <v>13.551399598229441</v>
      </c>
      <c r="W39" s="111">
        <f t="shared" si="6"/>
        <v>97.765583252277096</v>
      </c>
      <c r="X39">
        <f t="shared" si="4"/>
        <v>2</v>
      </c>
      <c r="Y39" s="127"/>
      <c r="Z39"/>
      <c r="AA39" s="128"/>
      <c r="AF39" s="111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92" customFormat="1" x14ac:dyDescent="0.25">
      <c r="A40" t="s">
        <v>114</v>
      </c>
      <c r="B40">
        <f>+PRODUCT(B39,AA20)</f>
        <v>1.8461197339246116</v>
      </c>
      <c r="C40">
        <f t="shared" ref="C40:F40" si="10">+PRODUCT(C39,AB20)</f>
        <v>2.3277736102381805</v>
      </c>
      <c r="D40">
        <f t="shared" si="10"/>
        <v>2.6628509407637848</v>
      </c>
      <c r="E40">
        <f t="shared" si="10"/>
        <v>0.95818000588466323</v>
      </c>
      <c r="F40">
        <f t="shared" si="10"/>
        <v>3.9546630645713634</v>
      </c>
      <c r="G40"/>
      <c r="H40"/>
      <c r="I40"/>
      <c r="J40"/>
      <c r="K40"/>
      <c r="L40"/>
      <c r="M40"/>
      <c r="N40"/>
      <c r="O40"/>
      <c r="P40"/>
      <c r="Q40"/>
      <c r="R40"/>
      <c r="S40"/>
      <c r="T40">
        <v>8</v>
      </c>
      <c r="U40" s="126" t="s">
        <v>69</v>
      </c>
      <c r="V40" s="111">
        <f>+SUM(B55:S55)</f>
        <v>11.045086220518385</v>
      </c>
      <c r="W40" s="111">
        <f t="shared" si="6"/>
        <v>79.683968330603577</v>
      </c>
      <c r="X40">
        <f>+RANK(W40,$W$33:$W$42)</f>
        <v>10</v>
      </c>
      <c r="Y40" s="127"/>
      <c r="Z40"/>
      <c r="AA40" s="128"/>
      <c r="AF40" s="111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92" customFormat="1" x14ac:dyDescent="0.25">
      <c r="A41"/>
      <c r="B41" s="114" t="s">
        <v>125</v>
      </c>
      <c r="C41" s="114" t="s">
        <v>126</v>
      </c>
      <c r="D41" s="114" t="s">
        <v>127</v>
      </c>
      <c r="E41" s="114" t="s">
        <v>128</v>
      </c>
      <c r="F41" s="114" t="s">
        <v>129</v>
      </c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>
        <v>9</v>
      </c>
      <c r="U41" s="126" t="s">
        <v>74</v>
      </c>
      <c r="V41" s="111">
        <f>+SUM(B58:S58)</f>
        <v>11.352350056053385</v>
      </c>
      <c r="W41" s="111">
        <f t="shared" si="6"/>
        <v>81.900700844146741</v>
      </c>
      <c r="X41">
        <f>+RANK(W41,$W$33:$W$42)</f>
        <v>9</v>
      </c>
      <c r="Y41" s="127"/>
      <c r="Z41"/>
      <c r="AA41" s="128"/>
      <c r="AF41" s="11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92" customFormat="1" x14ac:dyDescent="0.25">
      <c r="A42"/>
      <c r="B42">
        <f>+IFERROR(B22/MAX(B19:B28),0)</f>
        <v>0.31691880638445513</v>
      </c>
      <c r="C42">
        <f t="shared" ref="C42:E42" si="11">+IFERROR(C22/MAX(C19:C28),0)</f>
        <v>0.46574051159914753</v>
      </c>
      <c r="D42">
        <f t="shared" si="11"/>
        <v>0.67058997503349227</v>
      </c>
      <c r="E42">
        <f t="shared" si="11"/>
        <v>1</v>
      </c>
      <c r="F42">
        <f>+IFERROR(F22/MAX(F19:F28),0)</f>
        <v>0.69794929201748224</v>
      </c>
      <c r="G42"/>
      <c r="H42"/>
      <c r="I42"/>
      <c r="J42"/>
      <c r="K42"/>
      <c r="L42"/>
      <c r="M42"/>
      <c r="N42"/>
      <c r="O42"/>
      <c r="P42"/>
      <c r="Q42"/>
      <c r="R42"/>
      <c r="S42"/>
      <c r="T42">
        <v>10</v>
      </c>
      <c r="U42" s="126" t="s">
        <v>79</v>
      </c>
      <c r="V42" s="111">
        <f>+SUM(B61:S61)</f>
        <v>12.311489864546088</v>
      </c>
      <c r="W42" s="111">
        <f t="shared" si="6"/>
        <v>88.820344982602975</v>
      </c>
      <c r="X42">
        <f t="shared" si="4"/>
        <v>6</v>
      </c>
      <c r="Y42" s="127"/>
      <c r="Z42"/>
      <c r="AA42" s="128"/>
      <c r="AF42" s="111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92" customFormat="1" x14ac:dyDescent="0.25">
      <c r="A43" t="s">
        <v>114</v>
      </c>
      <c r="B43">
        <f>+PRODUCT(B42,AA20)</f>
        <v>1.5845940319222755</v>
      </c>
      <c r="C43">
        <f t="shared" ref="C43:F43" si="12">+PRODUCT(C42,AB20)</f>
        <v>2.3287025579957374</v>
      </c>
      <c r="D43">
        <f t="shared" si="12"/>
        <v>3.3529498751674613</v>
      </c>
      <c r="E43">
        <f t="shared" si="12"/>
        <v>1</v>
      </c>
      <c r="F43">
        <f t="shared" si="12"/>
        <v>3.4897464600874111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111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92" customFormat="1" x14ac:dyDescent="0.25">
      <c r="A44"/>
      <c r="B44" s="114" t="s">
        <v>130</v>
      </c>
      <c r="C44" s="114" t="s">
        <v>131</v>
      </c>
      <c r="D44" s="114" t="s">
        <v>132</v>
      </c>
      <c r="E44" s="114" t="s">
        <v>133</v>
      </c>
      <c r="F44" s="114" t="s">
        <v>134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/>
      <c r="U44"/>
      <c r="V44" s="3" t="s">
        <v>135</v>
      </c>
      <c r="W44" s="102">
        <f>+AVERAGE(W33:W42)</f>
        <v>89.660249749752069</v>
      </c>
      <c r="X44" s="102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92" customFormat="1" x14ac:dyDescent="0.25">
      <c r="A45"/>
      <c r="B45">
        <f>+IFERROR(B23/MAX(B19:B28),0)</f>
        <v>0.21620779220779221</v>
      </c>
      <c r="C45">
        <f t="shared" ref="C45:E45" si="13">+IFERROR(C23/MAX(C19:C28),0)</f>
        <v>0.74301283827468378</v>
      </c>
      <c r="D45">
        <f t="shared" si="13"/>
        <v>0.70663596787212379</v>
      </c>
      <c r="E45">
        <f t="shared" si="13"/>
        <v>0.78681486092869424</v>
      </c>
      <c r="F45">
        <f>+IFERROR(F23/MAX(F19:F28),0)</f>
        <v>0.75564222568902761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 t="s">
        <v>136</v>
      </c>
      <c r="W45" s="102">
        <f>+_xlfn.STDEV.P(V33:V42)</f>
        <v>0.89288395516197827</v>
      </c>
      <c r="X45" s="102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92" customFormat="1" x14ac:dyDescent="0.25">
      <c r="A46" t="s">
        <v>114</v>
      </c>
      <c r="B46">
        <f>+PRODUCT(B45,AA20)</f>
        <v>1.081038961038961</v>
      </c>
      <c r="C46">
        <f t="shared" ref="C46:F46" si="14">+PRODUCT(C45,AB20)</f>
        <v>3.7150641913734188</v>
      </c>
      <c r="D46">
        <f t="shared" si="14"/>
        <v>3.5331798393606189</v>
      </c>
      <c r="E46">
        <f t="shared" si="14"/>
        <v>0.78681486092869424</v>
      </c>
      <c r="F46">
        <f t="shared" si="14"/>
        <v>3.7782111284451378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 t="s">
        <v>137</v>
      </c>
      <c r="W46" s="102">
        <f>+_xlfn.VAR.P(V33:V42)</f>
        <v>0.79724175738569769</v>
      </c>
      <c r="X46" s="102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92" customFormat="1" x14ac:dyDescent="0.25">
      <c r="A47"/>
      <c r="B47" s="114" t="s">
        <v>138</v>
      </c>
      <c r="C47" s="114" t="s">
        <v>139</v>
      </c>
      <c r="D47" s="114" t="s">
        <v>140</v>
      </c>
      <c r="E47" s="114" t="s">
        <v>141</v>
      </c>
      <c r="F47" s="114" t="s">
        <v>142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/>
      <c r="U47"/>
      <c r="V47" s="111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92" customFormat="1" x14ac:dyDescent="0.25">
      <c r="A48"/>
      <c r="B48">
        <f>+IFERROR(B24/MAX(B19:B28),0)</f>
        <v>0.33290161892901615</v>
      </c>
      <c r="C48">
        <f t="shared" ref="C48:E48" si="15">+IFERROR(C24/MAX(C19:C28),0)</f>
        <v>1</v>
      </c>
      <c r="D48">
        <f t="shared" si="15"/>
        <v>0.6522415322280245</v>
      </c>
      <c r="E48">
        <f t="shared" si="15"/>
        <v>0.43973716567865984</v>
      </c>
      <c r="F48">
        <f>+IFERROR(F24/MAX(F19:F28),0)</f>
        <v>0.69913234885559794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111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114</v>
      </c>
      <c r="B49">
        <f>+PRODUCT(B48,AA20)</f>
        <v>1.6645080946450808</v>
      </c>
      <c r="C49">
        <f t="shared" ref="C49:F49" si="16">+PRODUCT(C48,AB20)</f>
        <v>5</v>
      </c>
      <c r="D49">
        <f t="shared" si="16"/>
        <v>3.2612076611401224</v>
      </c>
      <c r="E49">
        <f t="shared" si="16"/>
        <v>0.43973716567865984</v>
      </c>
      <c r="F49">
        <f t="shared" si="16"/>
        <v>3.4956617442779896</v>
      </c>
      <c r="V49" s="111"/>
    </row>
    <row r="50" spans="1:22" x14ac:dyDescent="0.25">
      <c r="B50" s="114" t="s">
        <v>143</v>
      </c>
      <c r="C50" s="114" t="s">
        <v>144</v>
      </c>
      <c r="D50" s="114" t="s">
        <v>145</v>
      </c>
      <c r="E50" s="114" t="s">
        <v>146</v>
      </c>
      <c r="F50" s="114" t="s">
        <v>147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U50" s="163"/>
      <c r="V50" s="111"/>
    </row>
    <row r="51" spans="1:22" x14ac:dyDescent="0.25">
      <c r="B51">
        <f>+IFERROR(B25/MAX(B19:B28),0)</f>
        <v>0.42891774891774886</v>
      </c>
      <c r="C51">
        <f t="shared" ref="C51:E51" si="17">+IFERROR(C25/MAX(C19:C28),0)</f>
        <v>0.81904146160172753</v>
      </c>
      <c r="D51">
        <f t="shared" si="17"/>
        <v>0.69897034277170056</v>
      </c>
      <c r="E51">
        <f t="shared" si="17"/>
        <v>0.4041153263133388</v>
      </c>
      <c r="F51">
        <f>+IFERROR(F25/MAX(F19:F28),0)</f>
        <v>0.68252730109204363</v>
      </c>
      <c r="U51" s="163"/>
      <c r="V51" s="111"/>
    </row>
    <row r="52" spans="1:22" x14ac:dyDescent="0.25">
      <c r="A52" t="s">
        <v>114</v>
      </c>
      <c r="B52">
        <f>+PRODUCT(B51,AA20)</f>
        <v>2.1445887445887442</v>
      </c>
      <c r="C52">
        <f t="shared" ref="C52:F52" si="18">+PRODUCT(C51,AB20)</f>
        <v>4.0952073080086375</v>
      </c>
      <c r="D52">
        <f t="shared" si="18"/>
        <v>3.4948517138585027</v>
      </c>
      <c r="E52">
        <f t="shared" si="18"/>
        <v>0.4041153263133388</v>
      </c>
      <c r="F52">
        <f t="shared" si="18"/>
        <v>3.4126365054602181</v>
      </c>
      <c r="U52" s="163"/>
      <c r="V52" s="111"/>
    </row>
    <row r="53" spans="1:22" x14ac:dyDescent="0.25">
      <c r="B53" s="114" t="s">
        <v>148</v>
      </c>
      <c r="C53" s="114" t="s">
        <v>149</v>
      </c>
      <c r="D53" s="114" t="s">
        <v>150</v>
      </c>
      <c r="E53" s="114" t="s">
        <v>151</v>
      </c>
      <c r="F53" s="114" t="s">
        <v>152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U53" s="126"/>
      <c r="V53" s="111"/>
    </row>
    <row r="54" spans="1:22" x14ac:dyDescent="0.25">
      <c r="B54">
        <f>+IFERROR(B26/MAX(B19:B28),0)</f>
        <v>0.85694745621351121</v>
      </c>
      <c r="C54">
        <f t="shared" ref="C54:E54" si="19">+IFERROR(C26/MAX(C19:C28),0)</f>
        <v>0.4903397300157693</v>
      </c>
      <c r="D54">
        <f t="shared" si="19"/>
        <v>0.36597277533588346</v>
      </c>
      <c r="E54">
        <f t="shared" si="19"/>
        <v>0.78987573699948266</v>
      </c>
      <c r="F54">
        <f>+IFERROR(F26/MAX(F19:F28),0)</f>
        <v>0.33778213513861655</v>
      </c>
      <c r="U54" s="126"/>
      <c r="V54" s="111"/>
    </row>
    <row r="55" spans="1:22" x14ac:dyDescent="0.25">
      <c r="A55" t="s">
        <v>114</v>
      </c>
      <c r="B55">
        <f>+PRODUCT(B54,AA20)</f>
        <v>4.2847372810675557</v>
      </c>
      <c r="C55">
        <f t="shared" ref="C55:F55" si="20">+PRODUCT(C54,AB20)</f>
        <v>2.4516986500788467</v>
      </c>
      <c r="D55">
        <f t="shared" si="20"/>
        <v>1.8298638766794173</v>
      </c>
      <c r="E55">
        <f t="shared" si="20"/>
        <v>0.78987573699948266</v>
      </c>
      <c r="F55">
        <f t="shared" si="20"/>
        <v>1.6889106756930827</v>
      </c>
      <c r="U55" s="126"/>
      <c r="V55" s="111"/>
    </row>
    <row r="56" spans="1:22" x14ac:dyDescent="0.25">
      <c r="B56" s="114" t="s">
        <v>153</v>
      </c>
      <c r="C56" s="114" t="s">
        <v>154</v>
      </c>
      <c r="D56" s="114" t="s">
        <v>155</v>
      </c>
      <c r="E56" s="114" t="s">
        <v>156</v>
      </c>
      <c r="F56" s="114" t="s">
        <v>157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U56" s="126"/>
      <c r="V56" s="111"/>
    </row>
    <row r="57" spans="1:22" x14ac:dyDescent="0.25">
      <c r="B57">
        <f>+IFERROR(B27/MAX(B19:B28),0)</f>
        <v>1</v>
      </c>
      <c r="C57">
        <f t="shared" ref="C57:E57" si="21">+IFERROR(C27/MAX(C19:C28),0)</f>
        <v>0.37083217881222869</v>
      </c>
      <c r="D57">
        <f t="shared" si="21"/>
        <v>0.49489897185502763</v>
      </c>
      <c r="E57">
        <f t="shared" si="21"/>
        <v>0.5221342403146092</v>
      </c>
      <c r="F57">
        <f>+IFERROR(F27/MAX(F19:F28),0)</f>
        <v>0.30031201248049921</v>
      </c>
      <c r="U57" s="126"/>
      <c r="V57" s="111"/>
    </row>
    <row r="58" spans="1:22" x14ac:dyDescent="0.25">
      <c r="A58" t="s">
        <v>114</v>
      </c>
      <c r="B58">
        <f>+PRODUCT(B57,AA20)</f>
        <v>5</v>
      </c>
      <c r="C58">
        <f t="shared" ref="C58:F58" si="22">+PRODUCT(C57,AB20)</f>
        <v>1.8541608940611434</v>
      </c>
      <c r="D58">
        <f t="shared" si="22"/>
        <v>2.4744948592751381</v>
      </c>
      <c r="E58">
        <f t="shared" si="22"/>
        <v>0.5221342403146092</v>
      </c>
      <c r="F58">
        <f t="shared" si="22"/>
        <v>1.5015600624024961</v>
      </c>
      <c r="U58" s="126"/>
      <c r="V58" s="111"/>
    </row>
    <row r="59" spans="1:22" x14ac:dyDescent="0.25">
      <c r="B59" s="114" t="s">
        <v>158</v>
      </c>
      <c r="C59" s="114" t="s">
        <v>159</v>
      </c>
      <c r="D59" s="114" t="s">
        <v>160</v>
      </c>
      <c r="E59" s="114" t="s">
        <v>161</v>
      </c>
      <c r="F59" s="114" t="s">
        <v>162</v>
      </c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U59" s="126"/>
      <c r="V59" s="111"/>
    </row>
    <row r="60" spans="1:22" x14ac:dyDescent="0.25">
      <c r="B60">
        <f>+IFERROR(B28/MAX(B19:B28),0)</f>
        <v>0.65800443458980029</v>
      </c>
      <c r="C60">
        <f t="shared" ref="C60:E60" si="23">+IFERROR(C28/MAX(C19:C28),0)</f>
        <v>0.58724687828756927</v>
      </c>
      <c r="D60">
        <f t="shared" si="23"/>
        <v>0.74851645622565555</v>
      </c>
      <c r="E60">
        <f t="shared" si="23"/>
        <v>0.55609419090417722</v>
      </c>
      <c r="F60">
        <f>+IFERROR(F28/MAX(F19:F28),0)</f>
        <v>0.35731136562535676</v>
      </c>
      <c r="U60" s="126"/>
      <c r="V60" s="111"/>
    </row>
    <row r="61" spans="1:22" x14ac:dyDescent="0.25">
      <c r="A61" t="s">
        <v>114</v>
      </c>
      <c r="B61">
        <f>+PRODUCT(B60,AA20)</f>
        <v>3.2900221729490013</v>
      </c>
      <c r="C61">
        <f t="shared" ref="C61:F61" si="24">+PRODUCT(C60,AB20)</f>
        <v>2.9362343914378464</v>
      </c>
      <c r="D61">
        <f t="shared" si="24"/>
        <v>3.7425822811282776</v>
      </c>
      <c r="E61">
        <f>+PRODUCT(E60,AD20)</f>
        <v>0.55609419090417722</v>
      </c>
      <c r="F61">
        <f t="shared" si="24"/>
        <v>1.7865568281267838</v>
      </c>
      <c r="U61" s="126"/>
      <c r="V61" s="111"/>
    </row>
    <row r="62" spans="1:22" x14ac:dyDescent="0.25">
      <c r="U62" s="126"/>
      <c r="V62" s="111"/>
    </row>
    <row r="63" spans="1:22" x14ac:dyDescent="0.25">
      <c r="V63" s="111"/>
    </row>
    <row r="64" spans="1:22" x14ac:dyDescent="0.25">
      <c r="V64" s="111"/>
    </row>
    <row r="65" spans="22:22" x14ac:dyDescent="0.25">
      <c r="V65" s="111"/>
    </row>
    <row r="66" spans="22:22" x14ac:dyDescent="0.25">
      <c r="V66" s="111"/>
    </row>
    <row r="67" spans="22:22" x14ac:dyDescent="0.25">
      <c r="V67" s="111"/>
    </row>
    <row r="68" spans="22:22" x14ac:dyDescent="0.25">
      <c r="V68" s="111"/>
    </row>
    <row r="69" spans="22:22" x14ac:dyDescent="0.25">
      <c r="V69" s="111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69"/>
  <sheetViews>
    <sheetView topLeftCell="M28" zoomScale="85" zoomScaleNormal="85" workbookViewId="0">
      <selection activeCell="H4" sqref="H4:H13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92" customWidth="1"/>
    <col min="32" max="44" width="10.5703125" bestFit="1" customWidth="1"/>
  </cols>
  <sheetData>
    <row r="1" spans="1:44" ht="15.75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</row>
    <row r="2" spans="1:44" ht="18" customHeight="1" thickBot="1" x14ac:dyDescent="0.3">
      <c r="B2" s="131" t="s">
        <v>2</v>
      </c>
      <c r="C2" s="132" t="s">
        <v>3</v>
      </c>
      <c r="D2" s="133" t="s">
        <v>4</v>
      </c>
      <c r="E2" s="134" t="s">
        <v>5</v>
      </c>
      <c r="F2" s="136" t="s">
        <v>6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44" ht="31.5" customHeight="1" x14ac:dyDescent="0.25">
      <c r="A3" s="108" t="s">
        <v>97</v>
      </c>
    </row>
    <row r="4" spans="1:44" ht="18" customHeight="1" x14ac:dyDescent="0.25">
      <c r="A4" s="109" t="s">
        <v>25</v>
      </c>
      <c r="B4" s="110">
        <f>+AHP_nivel_0!D179</f>
        <v>0.63210651391127737</v>
      </c>
      <c r="C4" s="110">
        <f>+AHP_nivel_0!E179</f>
        <v>0.53333987111264036</v>
      </c>
      <c r="D4" s="110">
        <f>+AHP_nivel_0!F179</f>
        <v>2.4296594128464726</v>
      </c>
      <c r="E4" s="110">
        <f>+AHP_nivel_0!G179</f>
        <v>0.63210651391127737</v>
      </c>
      <c r="F4" s="110">
        <f>+AHP_nivel_0!H179</f>
        <v>1.185199713583645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U4" s="111"/>
    </row>
    <row r="5" spans="1:44" ht="18" customHeight="1" x14ac:dyDescent="0.25">
      <c r="A5" s="112" t="s">
        <v>44</v>
      </c>
      <c r="B5" s="110">
        <f>+AHP_nivel_0!D180</f>
        <v>0.96650214738666307</v>
      </c>
      <c r="C5" s="110">
        <f>+AHP_nivel_0!E180</f>
        <v>0.19330042947733261</v>
      </c>
      <c r="D5" s="110">
        <f>+AHP_nivel_0!F180</f>
        <v>1.2081276842333291</v>
      </c>
      <c r="E5" s="110">
        <f>+AHP_nivel_0!G180</f>
        <v>0.62822639580133111</v>
      </c>
      <c r="F5" s="110">
        <f>+AHP_nivel_0!H180</f>
        <v>2.4162553684666577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ht="18" customHeight="1" x14ac:dyDescent="0.25">
      <c r="A6" s="113" t="s">
        <v>49</v>
      </c>
      <c r="B6" s="110">
        <f>+AHP_nivel_0!D181</f>
        <v>0.92407034579407787</v>
      </c>
      <c r="C6" s="110">
        <f>+AHP_nivel_0!E181</f>
        <v>0.33002512349788493</v>
      </c>
      <c r="D6" s="110">
        <f>+AHP_nivel_0!F181</f>
        <v>0.85806532109450095</v>
      </c>
      <c r="E6" s="110">
        <f>+AHP_nivel_0!G181</f>
        <v>1.5841205927898476</v>
      </c>
      <c r="F6" s="110">
        <f>+AHP_nivel_0!H181</f>
        <v>1.7161306421890019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spans="1:44" ht="18" customHeight="1" x14ac:dyDescent="0.25">
      <c r="A7" s="114" t="s">
        <v>53</v>
      </c>
      <c r="B7" s="110">
        <f>+AHP_nivel_0!D182</f>
        <v>0.66105795729652672</v>
      </c>
      <c r="C7" s="110">
        <f>+AHP_nivel_0!E182</f>
        <v>0.33052897864826342</v>
      </c>
      <c r="D7" s="110">
        <f>+AHP_nivel_0!F182</f>
        <v>1.3221159145930537</v>
      </c>
      <c r="E7" s="110">
        <f>+AHP_nivel_0!G182</f>
        <v>1.6939610155723499</v>
      </c>
      <c r="F7" s="110">
        <f>+AHP_nivel_0!H182</f>
        <v>1.4047481592551194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</row>
    <row r="8" spans="1:44" ht="18" customHeight="1" x14ac:dyDescent="0.25">
      <c r="A8" s="114" t="s">
        <v>58</v>
      </c>
      <c r="B8" s="110">
        <f>+AHP_nivel_0!D183</f>
        <v>0.15464034358186612</v>
      </c>
      <c r="C8" s="110">
        <f>+AHP_nivel_0!E183</f>
        <v>1.0824824050730628</v>
      </c>
      <c r="D8" s="110">
        <f>+AHP_nivel_0!F183</f>
        <v>1.4433098734307503</v>
      </c>
      <c r="E8" s="110">
        <f>+AHP_nivel_0!G183</f>
        <v>1.1340291862670182</v>
      </c>
      <c r="F8" s="110">
        <f>+AHP_nivel_0!H183</f>
        <v>1.5979502170126165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</row>
    <row r="9" spans="1:44" ht="18" customHeight="1" x14ac:dyDescent="0.25">
      <c r="A9" s="115" t="s">
        <v>63</v>
      </c>
      <c r="B9" s="110">
        <f>+AHP_nivel_0!D184</f>
        <v>0.7414263048445634</v>
      </c>
      <c r="C9" s="110">
        <f>+AHP_nivel_0!E184</f>
        <v>1.779423131626952</v>
      </c>
      <c r="D9" s="110">
        <f>+AHP_nivel_0!F184</f>
        <v>1.2604247182357575</v>
      </c>
      <c r="E9" s="110">
        <f>+AHP_nivel_0!G184</f>
        <v>0.222427891453369</v>
      </c>
      <c r="F9" s="110">
        <f>+AHP_nivel_0!H184</f>
        <v>1.4087099792046704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</row>
    <row r="10" spans="1:44" ht="18" customHeight="1" x14ac:dyDescent="0.25">
      <c r="A10" s="114" t="s">
        <v>66</v>
      </c>
      <c r="B10" s="110">
        <f>+AHP_nivel_0!D185</f>
        <v>1.22423605335644</v>
      </c>
      <c r="C10" s="110">
        <f>+AHP_nivel_0!E185</f>
        <v>1.2886695298488839</v>
      </c>
      <c r="D10" s="110">
        <f>+AHP_nivel_0!F185</f>
        <v>1.4175364828337726</v>
      </c>
      <c r="E10" s="110">
        <f>+AHP_nivel_0!G185</f>
        <v>0.1288669529848884</v>
      </c>
      <c r="F10" s="110">
        <f>+AHP_nivel_0!H185</f>
        <v>1.3531030063413281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</row>
    <row r="11" spans="1:44" ht="18" customHeight="1" x14ac:dyDescent="0.25">
      <c r="A11" s="114" t="s">
        <v>69</v>
      </c>
      <c r="B11" s="110">
        <f>+AHP_nivel_0!D186</f>
        <v>3.3765506213288194</v>
      </c>
      <c r="C11" s="110">
        <f>+AHP_nivel_0!E186</f>
        <v>0.39724124956809642</v>
      </c>
      <c r="D11" s="110">
        <f>+AHP_nivel_0!F186</f>
        <v>0.29793093717607239</v>
      </c>
      <c r="E11" s="110">
        <f>+AHP_nivel_0!G186</f>
        <v>1.142068592508277</v>
      </c>
      <c r="F11" s="110">
        <f>+AHP_nivel_0!H186</f>
        <v>0.19862062478404821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AA11" s="92">
        <f>ROUND($AC$26*AA19+$AC$25,0)</f>
        <v>5</v>
      </c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</row>
    <row r="12" spans="1:44" ht="18" customHeight="1" x14ac:dyDescent="0.25">
      <c r="A12" s="114" t="s">
        <v>74</v>
      </c>
      <c r="B12" s="110">
        <f>+AHP_nivel_0!D187</f>
        <v>4.095879370546724</v>
      </c>
      <c r="C12" s="110">
        <f>+AHP_nivel_0!E187</f>
        <v>7.3140703045477207E-2</v>
      </c>
      <c r="D12" s="110">
        <f>+AHP_nivel_0!F187</f>
        <v>0.73140703045477207</v>
      </c>
      <c r="E12" s="110">
        <f>+AHP_nivel_0!G187</f>
        <v>0.43884421827286324</v>
      </c>
      <c r="F12" s="110">
        <f>+AHP_nivel_0!H187</f>
        <v>7.3140703045477207E-2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44" ht="18" customHeight="1" x14ac:dyDescent="0.25">
      <c r="A13" s="116" t="s">
        <v>79</v>
      </c>
      <c r="B13" s="110">
        <f>+AHP_nivel_0!D188</f>
        <v>2.3761808891847718</v>
      </c>
      <c r="C13" s="110">
        <f>+AHP_nivel_0!E188</f>
        <v>0.66005024699576997</v>
      </c>
      <c r="D13" s="110">
        <f>+AHP_nivel_0!F188</f>
        <v>1.5841205927898476</v>
      </c>
      <c r="E13" s="110">
        <f>+AHP_nivel_0!G188</f>
        <v>0.52804019759661591</v>
      </c>
      <c r="F13" s="110">
        <f>+AHP_nivel_0!H188</f>
        <v>0.26402009879830796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5" spans="1:44" x14ac:dyDescent="0.25">
      <c r="AA15" s="92">
        <v>0.25</v>
      </c>
      <c r="AB15" s="92">
        <v>0.25</v>
      </c>
      <c r="AC15" s="92">
        <v>0.25</v>
      </c>
      <c r="AD15" s="92">
        <v>0.25</v>
      </c>
      <c r="AE15" s="92">
        <v>0.25</v>
      </c>
      <c r="AF15" s="92">
        <v>0.25</v>
      </c>
      <c r="AG15" s="92"/>
      <c r="AH15" s="92"/>
      <c r="AI15" s="92"/>
      <c r="AJ15" s="92"/>
      <c r="AK15" s="92"/>
      <c r="AL15" s="92"/>
    </row>
    <row r="17" spans="1:44" ht="15.75" thickBot="1" x14ac:dyDescent="0.3">
      <c r="AA17" s="87">
        <v>0.2112</v>
      </c>
      <c r="AB17" s="87"/>
      <c r="AC17" s="87"/>
      <c r="AD17" s="87"/>
      <c r="AE17" s="87">
        <v>0.19639999999999999</v>
      </c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</row>
    <row r="18" spans="1:44" ht="64.5" thickBot="1" x14ac:dyDescent="0.3">
      <c r="A18" s="117" t="s">
        <v>98</v>
      </c>
      <c r="B18" s="131" t="s">
        <v>2</v>
      </c>
      <c r="C18" s="132" t="s">
        <v>3</v>
      </c>
      <c r="D18" s="133" t="s">
        <v>4</v>
      </c>
      <c r="E18" s="134" t="s">
        <v>5</v>
      </c>
      <c r="F18" s="136" t="s">
        <v>6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AA18" s="131" t="s">
        <v>2</v>
      </c>
      <c r="AB18" s="132" t="s">
        <v>3</v>
      </c>
      <c r="AC18" s="133" t="s">
        <v>4</v>
      </c>
      <c r="AD18" s="134" t="s">
        <v>5</v>
      </c>
      <c r="AE18" s="135" t="s">
        <v>6</v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</row>
    <row r="19" spans="1:44" x14ac:dyDescent="0.25">
      <c r="A19" s="118" t="s">
        <v>25</v>
      </c>
      <c r="B19" s="110">
        <f t="shared" ref="B19:F28" si="0">IFERROR(+$U$26*B4+$U$24,"")</f>
        <v>1.5558062375580624</v>
      </c>
      <c r="C19" s="110">
        <f t="shared" si="0"/>
        <v>1.4575978765759787</v>
      </c>
      <c r="D19" s="110">
        <f t="shared" si="0"/>
        <v>3.3431984074319838</v>
      </c>
      <c r="E19" s="110">
        <f t="shared" si="0"/>
        <v>1.5558062375580624</v>
      </c>
      <c r="F19" s="137">
        <f t="shared" si="0"/>
        <v>2.1057730590577304</v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11"/>
      <c r="U19" t="s">
        <v>99</v>
      </c>
      <c r="Z19" s="119" t="s">
        <v>100</v>
      </c>
      <c r="AA19" s="88">
        <v>0.2112</v>
      </c>
      <c r="AB19" s="89">
        <v>0.19639999999999999</v>
      </c>
      <c r="AC19" s="90">
        <v>0.17449999999999999</v>
      </c>
      <c r="AD19" s="91">
        <v>0.20669999999999999</v>
      </c>
      <c r="AE19" s="91">
        <v>0.2112</v>
      </c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118" t="s">
        <v>44</v>
      </c>
      <c r="B20" s="110">
        <f t="shared" si="0"/>
        <v>1.8883116883116884</v>
      </c>
      <c r="C20" s="110">
        <f t="shared" si="0"/>
        <v>1.1194805194805195</v>
      </c>
      <c r="D20" s="110">
        <f t="shared" si="0"/>
        <v>2.128571428571429</v>
      </c>
      <c r="E20" s="110">
        <f t="shared" si="0"/>
        <v>1.551948051948052</v>
      </c>
      <c r="F20" s="137">
        <f t="shared" si="0"/>
        <v>3.3298701298701299</v>
      </c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11"/>
      <c r="U20" t="s">
        <v>101</v>
      </c>
      <c r="AA20" s="120">
        <f>ROUND($AC$26*AA19+$AC$25,0)</f>
        <v>5</v>
      </c>
      <c r="AB20" s="120">
        <f t="shared" ref="AB20:AE20" si="1">ROUND($AC$26*AB19+$AC$25,0)</f>
        <v>3</v>
      </c>
      <c r="AC20" s="120">
        <f t="shared" si="1"/>
        <v>1</v>
      </c>
      <c r="AD20" s="120">
        <f t="shared" si="1"/>
        <v>5</v>
      </c>
      <c r="AE20" s="120">
        <f t="shared" si="1"/>
        <v>5</v>
      </c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</row>
    <row r="21" spans="1:44" x14ac:dyDescent="0.25">
      <c r="A21" s="118" t="s">
        <v>49</v>
      </c>
      <c r="B21" s="110">
        <f t="shared" si="0"/>
        <v>1.846119733924612</v>
      </c>
      <c r="C21" s="110">
        <f t="shared" si="0"/>
        <v>1.2554323725055432</v>
      </c>
      <c r="D21" s="110">
        <f t="shared" si="0"/>
        <v>1.780487804878049</v>
      </c>
      <c r="E21" s="110">
        <f t="shared" si="0"/>
        <v>2.5024390243902439</v>
      </c>
      <c r="F21" s="137">
        <f t="shared" si="0"/>
        <v>2.6337028824833704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11"/>
      <c r="Z21" t="s">
        <v>172</v>
      </c>
      <c r="AA21" s="92">
        <f>ROUND($AC$26*AA19+$AC$25,0)</f>
        <v>5</v>
      </c>
      <c r="AB21" s="92">
        <f t="shared" ref="AB21:AE21" si="2">$AC$26*AB19+$AC$25</f>
        <v>3.3869209809264262</v>
      </c>
      <c r="AC21" s="92">
        <f t="shared" si="2"/>
        <v>0.99999999999999645</v>
      </c>
      <c r="AD21" s="92">
        <f t="shared" si="2"/>
        <v>4.5095367847411403</v>
      </c>
      <c r="AE21" s="92">
        <f t="shared" si="2"/>
        <v>4.9999999999999964</v>
      </c>
    </row>
    <row r="22" spans="1:44" x14ac:dyDescent="0.25">
      <c r="A22" s="118" t="s">
        <v>53</v>
      </c>
      <c r="B22" s="110">
        <f t="shared" si="0"/>
        <v>1.584594031922276</v>
      </c>
      <c r="C22" s="110">
        <f t="shared" si="0"/>
        <v>1.2559333795975018</v>
      </c>
      <c r="D22" s="110">
        <f t="shared" si="0"/>
        <v>2.2419153365718252</v>
      </c>
      <c r="E22" s="110">
        <f t="shared" si="0"/>
        <v>2.6116585704371964</v>
      </c>
      <c r="F22" s="137">
        <f t="shared" si="0"/>
        <v>2.3240804996530189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11"/>
    </row>
    <row r="23" spans="1:44" x14ac:dyDescent="0.25">
      <c r="A23" s="118" t="s">
        <v>58</v>
      </c>
      <c r="B23" s="110">
        <f t="shared" si="0"/>
        <v>1.0810389610389612</v>
      </c>
      <c r="C23" s="110">
        <f t="shared" si="0"/>
        <v>2.0036363636363639</v>
      </c>
      <c r="D23" s="110">
        <f t="shared" si="0"/>
        <v>2.3624242424242428</v>
      </c>
      <c r="E23" s="110">
        <f t="shared" si="0"/>
        <v>2.0548917748917752</v>
      </c>
      <c r="F23" s="137">
        <f t="shared" si="0"/>
        <v>2.5161904761904763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1"/>
      <c r="W23" t="s">
        <v>102</v>
      </c>
      <c r="X23" s="111">
        <f>+MIN(B4:F13)</f>
        <v>7.3140703045477207E-2</v>
      </c>
      <c r="AB23" s="92" t="s">
        <v>102</v>
      </c>
      <c r="AC23" s="121">
        <f>+ROUND(MIN(AA19:AE19),5)</f>
        <v>0.17449999999999999</v>
      </c>
      <c r="AD23" s="121"/>
      <c r="AE23" s="121"/>
      <c r="AF23" s="121"/>
      <c r="AG23" s="121"/>
    </row>
    <row r="24" spans="1:44" ht="18" customHeight="1" x14ac:dyDescent="0.25">
      <c r="A24" s="118" t="s">
        <v>63</v>
      </c>
      <c r="B24" s="110">
        <f t="shared" si="0"/>
        <v>1.664508094645081</v>
      </c>
      <c r="C24" s="110">
        <f t="shared" si="0"/>
        <v>2.6966376089663759</v>
      </c>
      <c r="D24" s="110">
        <f t="shared" si="0"/>
        <v>2.1805728518057284</v>
      </c>
      <c r="E24" s="110">
        <f t="shared" si="0"/>
        <v>1.1484433374844334</v>
      </c>
      <c r="F24" s="137">
        <f t="shared" si="0"/>
        <v>2.328019925280199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11"/>
      <c r="U24" s="122">
        <f>(5*X23-X24)/(X23-X24)</f>
        <v>0.92727272727272736</v>
      </c>
      <c r="W24" t="s">
        <v>103</v>
      </c>
      <c r="X24" s="111">
        <f>+MAX(B4:F13)</f>
        <v>4.095879370546724</v>
      </c>
      <c r="AB24" s="92" t="s">
        <v>103</v>
      </c>
      <c r="AC24" s="121">
        <f>+ROUND(MAX(AA19:AE19),5)</f>
        <v>0.2112</v>
      </c>
      <c r="AD24" s="121"/>
      <c r="AE24" s="121"/>
      <c r="AF24" s="121"/>
      <c r="AG24" s="121"/>
    </row>
    <row r="25" spans="1:44" x14ac:dyDescent="0.25">
      <c r="A25" s="118" t="s">
        <v>66</v>
      </c>
      <c r="B25" s="110">
        <f t="shared" si="0"/>
        <v>2.1445887445887446</v>
      </c>
      <c r="C25" s="110">
        <f t="shared" si="0"/>
        <v>2.2086580086580083</v>
      </c>
      <c r="D25" s="110">
        <f t="shared" si="0"/>
        <v>2.3367965367965371</v>
      </c>
      <c r="E25" s="110">
        <f t="shared" si="0"/>
        <v>1.0554112554112556</v>
      </c>
      <c r="F25" s="137">
        <f t="shared" si="0"/>
        <v>2.2727272727272725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11"/>
      <c r="AB25" t="s">
        <v>104</v>
      </c>
      <c r="AC25" s="123">
        <f>(5*AC23-AC24)/(AC23-AC24)</f>
        <v>-18.019073569482284</v>
      </c>
      <c r="AD25"/>
      <c r="AE25"/>
    </row>
    <row r="26" spans="1:44" x14ac:dyDescent="0.25">
      <c r="A26" s="118" t="s">
        <v>69</v>
      </c>
      <c r="B26" s="110">
        <f t="shared" si="0"/>
        <v>4.2847372810675566</v>
      </c>
      <c r="C26" s="110">
        <f t="shared" si="0"/>
        <v>1.3222685571309425</v>
      </c>
      <c r="D26" s="110">
        <f t="shared" si="0"/>
        <v>1.2235195996663888</v>
      </c>
      <c r="E26" s="110">
        <f t="shared" si="0"/>
        <v>2.0628857381150958</v>
      </c>
      <c r="F26" s="137">
        <f t="shared" si="0"/>
        <v>1.1247706422018349</v>
      </c>
      <c r="G26" s="125"/>
      <c r="H26" s="138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11"/>
      <c r="U26" s="122">
        <f>+-4/(X23-X24)</f>
        <v>0.99434746589805922</v>
      </c>
      <c r="AB26" t="s">
        <v>105</v>
      </c>
      <c r="AC26" s="123">
        <f>+-4/(AC23-AC24)</f>
        <v>108.99182561307899</v>
      </c>
      <c r="AD26"/>
      <c r="AE26"/>
      <c r="AJ26" t="s">
        <v>106</v>
      </c>
    </row>
    <row r="27" spans="1:44" x14ac:dyDescent="0.25">
      <c r="A27" s="118" t="s">
        <v>74</v>
      </c>
      <c r="B27" s="110">
        <f t="shared" si="0"/>
        <v>5.0000000000000009</v>
      </c>
      <c r="C27" s="110">
        <f t="shared" si="0"/>
        <v>1</v>
      </c>
      <c r="D27" s="110">
        <f t="shared" si="0"/>
        <v>1.6545454545454545</v>
      </c>
      <c r="E27" s="110">
        <f t="shared" si="0"/>
        <v>1.3636363636363638</v>
      </c>
      <c r="F27" s="137">
        <f t="shared" si="0"/>
        <v>1</v>
      </c>
      <c r="G27" s="125"/>
      <c r="H27" s="138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11"/>
    </row>
    <row r="28" spans="1:44" x14ac:dyDescent="0.25">
      <c r="A28" s="118" t="s">
        <v>79</v>
      </c>
      <c r="B28" s="110">
        <f t="shared" si="0"/>
        <v>3.2900221729490022</v>
      </c>
      <c r="C28" s="110">
        <f t="shared" si="0"/>
        <v>1.5835920177383593</v>
      </c>
      <c r="D28" s="110">
        <f t="shared" si="0"/>
        <v>2.5024390243902439</v>
      </c>
      <c r="E28" s="110">
        <f t="shared" si="0"/>
        <v>1.4523281596452329</v>
      </c>
      <c r="F28" s="137">
        <f t="shared" si="0"/>
        <v>1.1898004434589802</v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11"/>
    </row>
    <row r="29" spans="1:44" x14ac:dyDescent="0.25">
      <c r="A29" s="124"/>
      <c r="B29" s="125"/>
      <c r="C29" s="125"/>
      <c r="D29" s="125"/>
      <c r="E29" s="125"/>
      <c r="F29" s="125"/>
      <c r="T29" s="111"/>
    </row>
    <row r="30" spans="1:44" x14ac:dyDescent="0.25">
      <c r="A30" s="108"/>
      <c r="B30" s="92"/>
      <c r="C30" s="92"/>
      <c r="D30" s="92"/>
      <c r="E30" s="92"/>
      <c r="F30" s="92"/>
      <c r="U30" s="225" t="s">
        <v>181</v>
      </c>
      <c r="V30" s="111"/>
    </row>
    <row r="31" spans="1:44" x14ac:dyDescent="0.25">
      <c r="A31" s="124"/>
      <c r="B31" s="125"/>
      <c r="C31" s="125"/>
      <c r="D31" s="125"/>
      <c r="E31" s="125"/>
      <c r="F31" s="125"/>
      <c r="U31" s="225"/>
      <c r="V31" s="111"/>
    </row>
    <row r="32" spans="1:44" ht="33.75" customHeight="1" x14ac:dyDescent="0.25">
      <c r="A32" s="119" t="s">
        <v>191</v>
      </c>
      <c r="B32" s="114" t="s">
        <v>108</v>
      </c>
      <c r="C32" s="114" t="s">
        <v>109</v>
      </c>
      <c r="D32" s="114" t="s">
        <v>110</v>
      </c>
      <c r="E32" s="114" t="s">
        <v>111</v>
      </c>
      <c r="F32" s="114" t="s">
        <v>112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U32" s="225"/>
      <c r="V32" s="111"/>
      <c r="AA32" s="224"/>
      <c r="AB32" s="224"/>
      <c r="AC32" s="224"/>
      <c r="AD32" s="224"/>
    </row>
    <row r="33" spans="1:44" s="92" customFormat="1" x14ac:dyDescent="0.25">
      <c r="A33"/>
      <c r="B33">
        <f>+IFERROR(B19/MAX(B19:B28),0)</f>
        <v>0.31116124751161239</v>
      </c>
      <c r="C33">
        <f>+IFERROR(C19/MAX(C19:C28),0)</f>
        <v>0.54052419640274818</v>
      </c>
      <c r="D33">
        <f>+IFERROR(D19/MAX(D19:D28),0)</f>
        <v>1</v>
      </c>
      <c r="E33">
        <f>+IFERROR(E19/MAX(E19:E28),0)</f>
        <v>0.59571578581101337</v>
      </c>
      <c r="F33">
        <f>+IFERROR(F19/MAX(F19:F28),0)</f>
        <v>0.63238894519284417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126" t="s">
        <v>25</v>
      </c>
      <c r="V33" s="181">
        <f>+PRODUCT(B34:S34)</f>
        <v>3.495343237951823E-6</v>
      </c>
      <c r="W33">
        <f>+V33/MAX($V$33:$V$42)*100</f>
        <v>3.791565204751933</v>
      </c>
      <c r="X33">
        <f>+RANK(W33,$W$33:$W$42)</f>
        <v>9</v>
      </c>
      <c r="Y33" s="127"/>
      <c r="Z33"/>
      <c r="AA33" s="128"/>
      <c r="AF33" s="111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92" customFormat="1" x14ac:dyDescent="0.25">
      <c r="A34" t="s">
        <v>192</v>
      </c>
      <c r="B34" s="111">
        <f>+B33^AA20</f>
        <v>2.9169401612238808E-3</v>
      </c>
      <c r="C34" s="111">
        <f t="shared" ref="C34:F34" si="3">+C33^AB20</f>
        <v>0.15792301230379099</v>
      </c>
      <c r="D34" s="111">
        <f t="shared" si="3"/>
        <v>1</v>
      </c>
      <c r="E34" s="111">
        <f t="shared" si="3"/>
        <v>7.5023192831326233E-2</v>
      </c>
      <c r="F34" s="111">
        <f t="shared" si="3"/>
        <v>0.10113962686828591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126" t="s">
        <v>44</v>
      </c>
      <c r="V34" s="181">
        <f>+PRODUCT(B37:S37)</f>
        <v>2.5931654367817744E-5</v>
      </c>
      <c r="W34">
        <f t="shared" ref="W34:W42" si="4">+V34/MAX($V$33:$V$42)*100</f>
        <v>28.129299959761617</v>
      </c>
      <c r="X34">
        <f t="shared" ref="X34:X42" si="5">+RANK(W34,$W$33:$W$42)</f>
        <v>4</v>
      </c>
      <c r="Y34" s="127"/>
      <c r="Z34"/>
      <c r="AA34" s="128"/>
      <c r="AF34" s="111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92" customFormat="1" x14ac:dyDescent="0.25">
      <c r="A35"/>
      <c r="B35" s="114" t="s">
        <v>115</v>
      </c>
      <c r="C35" s="114" t="s">
        <v>116</v>
      </c>
      <c r="D35" s="114" t="s">
        <v>117</v>
      </c>
      <c r="E35" s="114" t="s">
        <v>118</v>
      </c>
      <c r="F35" s="114" t="s">
        <v>119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>
        <v>3</v>
      </c>
      <c r="U35" s="126" t="s">
        <v>49</v>
      </c>
      <c r="V35" s="181">
        <f>+PRODUCT(B40:S40)</f>
        <v>9.2187343463621358E-5</v>
      </c>
      <c r="W35">
        <f t="shared" si="4"/>
        <v>100</v>
      </c>
      <c r="X35">
        <f t="shared" si="5"/>
        <v>1</v>
      </c>
      <c r="Y35" s="127"/>
      <c r="Z35"/>
      <c r="AA35" s="128"/>
      <c r="AF35" s="111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92" customFormat="1" x14ac:dyDescent="0.25">
      <c r="A36"/>
      <c r="B36">
        <f>+IFERROR(B20/MAX(B19:B28),0)</f>
        <v>0.37766233766233759</v>
      </c>
      <c r="C36">
        <f>+IFERROR(C20/MAX(C19:C28),0)</f>
        <v>0.41513940017680667</v>
      </c>
      <c r="D36">
        <f t="shared" ref="D36:F36" si="6">+IFERROR(D20/MAX(D19:D28),0)</f>
        <v>0.63668713883076178</v>
      </c>
      <c r="E36">
        <f t="shared" si="6"/>
        <v>0.59423849254853134</v>
      </c>
      <c r="F36">
        <f t="shared" si="6"/>
        <v>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126" t="s">
        <v>53</v>
      </c>
      <c r="V36" s="181">
        <f>+PRODUCT(B43:S43)</f>
        <v>3.5871415749540537E-5</v>
      </c>
      <c r="W36">
        <f t="shared" si="4"/>
        <v>38.911432309247509</v>
      </c>
      <c r="X36">
        <f t="shared" si="5"/>
        <v>2</v>
      </c>
      <c r="Y36" s="127"/>
      <c r="Z36"/>
      <c r="AA36" s="128"/>
      <c r="AF36" s="111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92" customFormat="1" x14ac:dyDescent="0.25">
      <c r="A37" t="s">
        <v>192</v>
      </c>
      <c r="B37">
        <f>+(B36^AA20)</f>
        <v>7.6827797865164091E-3</v>
      </c>
      <c r="C37">
        <f t="shared" ref="C37:F37" si="7">+(C36^AB20)</f>
        <v>7.1545423782410036E-2</v>
      </c>
      <c r="D37">
        <f t="shared" si="7"/>
        <v>0.63668713883076178</v>
      </c>
      <c r="E37">
        <f t="shared" si="7"/>
        <v>7.409755909094011E-2</v>
      </c>
      <c r="F37">
        <f t="shared" si="7"/>
        <v>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126" t="s">
        <v>58</v>
      </c>
      <c r="V37" s="181">
        <f>+PRODUCT(B46:S46)</f>
        <v>1.017384849310089E-5</v>
      </c>
      <c r="W37">
        <f t="shared" si="4"/>
        <v>11.036057782829655</v>
      </c>
      <c r="X37">
        <f t="shared" si="5"/>
        <v>5</v>
      </c>
      <c r="Y37" s="127"/>
      <c r="Z37"/>
      <c r="AA37" s="128"/>
      <c r="AF37" s="111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92" customFormat="1" x14ac:dyDescent="0.25">
      <c r="A38"/>
      <c r="B38" s="114" t="s">
        <v>120</v>
      </c>
      <c r="C38" s="114" t="s">
        <v>121</v>
      </c>
      <c r="D38" s="114" t="s">
        <v>122</v>
      </c>
      <c r="E38" s="114" t="s">
        <v>123</v>
      </c>
      <c r="F38" s="114" t="s">
        <v>124</v>
      </c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>
        <v>6</v>
      </c>
      <c r="U38" s="126" t="s">
        <v>63</v>
      </c>
      <c r="V38" s="181">
        <f>+PRODUCT(B49:S49)</f>
        <v>7.3240421775661895E-6</v>
      </c>
      <c r="W38">
        <f t="shared" si="4"/>
        <v>7.9447372083743542</v>
      </c>
      <c r="X38">
        <f t="shared" si="5"/>
        <v>7</v>
      </c>
      <c r="Y38" s="127"/>
      <c r="Z38"/>
      <c r="AA38" s="128"/>
      <c r="AF38" s="111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92" customFormat="1" x14ac:dyDescent="0.25">
      <c r="A39"/>
      <c r="B39">
        <f>+IFERROR(B21/MAX(B19:B28),0)</f>
        <v>0.36922394678492232</v>
      </c>
      <c r="C39">
        <f t="shared" ref="C39:F39" si="8">+IFERROR(C21/MAX(C19:C28),0)</f>
        <v>0.46555472204763609</v>
      </c>
      <c r="D39">
        <f t="shared" si="8"/>
        <v>0.53257018815275692</v>
      </c>
      <c r="E39">
        <f t="shared" si="8"/>
        <v>0.95818000588466323</v>
      </c>
      <c r="F39">
        <f t="shared" si="8"/>
        <v>0.79093261291427264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126" t="s">
        <v>66</v>
      </c>
      <c r="V39" s="181">
        <f>+PRODUCT(B52:S52)</f>
        <v>8.8996565753703078E-6</v>
      </c>
      <c r="W39">
        <f t="shared" si="4"/>
        <v>9.6538811522237431</v>
      </c>
      <c r="X39">
        <f t="shared" si="5"/>
        <v>6</v>
      </c>
      <c r="Y39" s="127"/>
      <c r="Z39"/>
      <c r="AA39" s="128"/>
      <c r="AF39" s="111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92" customFormat="1" x14ac:dyDescent="0.25">
      <c r="A40" t="s">
        <v>192</v>
      </c>
      <c r="B40" s="111">
        <f>+B39^AA20</f>
        <v>6.8619776893848287E-3</v>
      </c>
      <c r="C40" s="111">
        <f t="shared" ref="C40:F40" si="9">+C39^AB20</f>
        <v>0.10090488875953493</v>
      </c>
      <c r="D40" s="111">
        <f t="shared" si="9"/>
        <v>0.53257018815275692</v>
      </c>
      <c r="E40" s="111">
        <f t="shared" si="9"/>
        <v>0.80767291919424578</v>
      </c>
      <c r="F40" s="111">
        <f t="shared" si="9"/>
        <v>0.30952620068280945</v>
      </c>
      <c r="G40"/>
      <c r="H40"/>
      <c r="I40"/>
      <c r="J40"/>
      <c r="K40"/>
      <c r="L40"/>
      <c r="M40"/>
      <c r="N40"/>
      <c r="O40"/>
      <c r="P40"/>
      <c r="Q40"/>
      <c r="R40"/>
      <c r="S40"/>
      <c r="T40">
        <v>8</v>
      </c>
      <c r="U40" s="126" t="s">
        <v>69</v>
      </c>
      <c r="V40" s="181">
        <f>+PRODUCT(B55:S55)</f>
        <v>2.6958036116279186E-5</v>
      </c>
      <c r="W40">
        <f t="shared" si="4"/>
        <v>29.242665102848171</v>
      </c>
      <c r="X40">
        <f t="shared" si="5"/>
        <v>3</v>
      </c>
      <c r="Y40" s="127"/>
      <c r="Z40"/>
      <c r="AA40" s="128"/>
      <c r="AF40" s="111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92" customFormat="1" x14ac:dyDescent="0.25">
      <c r="A41"/>
      <c r="B41" s="114" t="s">
        <v>125</v>
      </c>
      <c r="C41" s="114" t="s">
        <v>126</v>
      </c>
      <c r="D41" s="114" t="s">
        <v>127</v>
      </c>
      <c r="E41" s="114" t="s">
        <v>128</v>
      </c>
      <c r="F41" s="114" t="s">
        <v>129</v>
      </c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>
        <v>9</v>
      </c>
      <c r="U41" s="126" t="s">
        <v>74</v>
      </c>
      <c r="V41" s="181">
        <f>+PRODUCT(B58:S58)</f>
        <v>2.3923415459588038E-6</v>
      </c>
      <c r="W41">
        <f t="shared" si="4"/>
        <v>2.5950867614520869</v>
      </c>
      <c r="X41">
        <f t="shared" si="5"/>
        <v>10</v>
      </c>
      <c r="Y41" s="127"/>
      <c r="Z41"/>
      <c r="AA41" s="128"/>
      <c r="AF41" s="11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92" customFormat="1" x14ac:dyDescent="0.25">
      <c r="A42"/>
      <c r="B42">
        <f>+IFERROR(B22/MAX(B19:B28),0)</f>
        <v>0.31691880638445513</v>
      </c>
      <c r="C42">
        <f t="shared" ref="C42:F42" si="10">+IFERROR(C22/MAX(C19:C28),0)</f>
        <v>0.46574051159914753</v>
      </c>
      <c r="D42">
        <f t="shared" si="10"/>
        <v>0.67058997503349227</v>
      </c>
      <c r="E42">
        <f t="shared" si="10"/>
        <v>1</v>
      </c>
      <c r="F42">
        <f t="shared" si="10"/>
        <v>0.69794929201748224</v>
      </c>
      <c r="G42"/>
      <c r="H42"/>
      <c r="I42"/>
      <c r="J42"/>
      <c r="K42"/>
      <c r="L42"/>
      <c r="M42"/>
      <c r="N42"/>
      <c r="O42"/>
      <c r="P42"/>
      <c r="Q42"/>
      <c r="R42"/>
      <c r="S42"/>
      <c r="T42">
        <v>10</v>
      </c>
      <c r="U42" s="126" t="s">
        <v>79</v>
      </c>
      <c r="V42" s="181">
        <f>+PRODUCT(B61:S61)</f>
        <v>5.7913998639731165E-6</v>
      </c>
      <c r="W42">
        <f t="shared" si="4"/>
        <v>6.2822071299391533</v>
      </c>
      <c r="X42">
        <f t="shared" si="5"/>
        <v>8</v>
      </c>
      <c r="Y42" s="127"/>
      <c r="Z42"/>
      <c r="AA42" s="128"/>
      <c r="AF42" s="111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92" customFormat="1" x14ac:dyDescent="0.25">
      <c r="A43" t="s">
        <v>192</v>
      </c>
      <c r="B43" s="111">
        <f>+B42^AA20</f>
        <v>3.1969810192993505E-3</v>
      </c>
      <c r="C43" s="111">
        <f t="shared" ref="C43:E43" si="11">+C42^AB20</f>
        <v>0.10102574172625478</v>
      </c>
      <c r="D43" s="111">
        <f t="shared" si="11"/>
        <v>0.67058997503349227</v>
      </c>
      <c r="E43" s="111">
        <f t="shared" si="11"/>
        <v>1</v>
      </c>
      <c r="F43" s="111">
        <f>+F42^AE20</f>
        <v>0.16562250740406304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111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92" customFormat="1" x14ac:dyDescent="0.25">
      <c r="A44"/>
      <c r="B44" s="114" t="s">
        <v>130</v>
      </c>
      <c r="C44" s="114" t="s">
        <v>131</v>
      </c>
      <c r="D44" s="114" t="s">
        <v>132</v>
      </c>
      <c r="E44" s="114" t="s">
        <v>133</v>
      </c>
      <c r="F44" s="114" t="s">
        <v>134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/>
      <c r="U44"/>
      <c r="V44" s="3"/>
      <c r="W44" s="102"/>
      <c r="X44" s="102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92" customFormat="1" x14ac:dyDescent="0.25">
      <c r="A45"/>
      <c r="B45">
        <f>+IFERROR(B23/MAX(B19:B28),0)</f>
        <v>0.21620779220779221</v>
      </c>
      <c r="C45">
        <f>+IFERROR(C23/MAX(C19:C28),0)</f>
        <v>0.74301283827468378</v>
      </c>
      <c r="D45">
        <f t="shared" ref="D45:F45" si="12">+IFERROR(D23/MAX(D19:D28),0)</f>
        <v>0.70663596787212379</v>
      </c>
      <c r="E45">
        <f t="shared" si="12"/>
        <v>0.78681486092869424</v>
      </c>
      <c r="F45">
        <f t="shared" si="12"/>
        <v>0.75564222568902761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/>
      <c r="W45" s="102"/>
      <c r="X45" s="102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92" customFormat="1" x14ac:dyDescent="0.25">
      <c r="A46" t="s">
        <v>192</v>
      </c>
      <c r="B46" s="111">
        <f>+B45^AA20</f>
        <v>4.724509321088097E-4</v>
      </c>
      <c r="C46" s="111">
        <f t="shared" ref="C46:F46" si="13">+C45^AB20</f>
        <v>0.41019366943749153</v>
      </c>
      <c r="D46" s="111">
        <f t="shared" si="13"/>
        <v>0.70663596787212379</v>
      </c>
      <c r="E46" s="111">
        <f t="shared" si="13"/>
        <v>0.30155238674927592</v>
      </c>
      <c r="F46" s="111">
        <f t="shared" si="13"/>
        <v>0.24636618170637301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/>
      <c r="W46" s="102"/>
      <c r="X46" s="102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92" customFormat="1" x14ac:dyDescent="0.25">
      <c r="A47"/>
      <c r="B47" s="114" t="s">
        <v>138</v>
      </c>
      <c r="C47" s="114" t="s">
        <v>139</v>
      </c>
      <c r="D47" s="114" t="s">
        <v>140</v>
      </c>
      <c r="E47" s="114" t="s">
        <v>141</v>
      </c>
      <c r="F47" s="114" t="s">
        <v>142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/>
      <c r="U47"/>
      <c r="V47" s="111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92" customFormat="1" x14ac:dyDescent="0.25">
      <c r="A48"/>
      <c r="B48">
        <f>+IFERROR(B24/MAX(B19:B28),0)</f>
        <v>0.33290161892901615</v>
      </c>
      <c r="C48">
        <f t="shared" ref="C48:F48" si="14">+IFERROR(C24/MAX(C19:C28),0)</f>
        <v>1</v>
      </c>
      <c r="D48">
        <f t="shared" si="14"/>
        <v>0.6522415322280245</v>
      </c>
      <c r="E48">
        <f t="shared" si="14"/>
        <v>0.43973716567865984</v>
      </c>
      <c r="F48">
        <f t="shared" si="14"/>
        <v>0.69913234885559794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111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192</v>
      </c>
      <c r="B49" s="111">
        <f>+ B48^AA20</f>
        <v>4.088646239440526E-3</v>
      </c>
      <c r="C49" s="111">
        <f t="shared" ref="C49:F49" si="15">+ C48^AB20</f>
        <v>1</v>
      </c>
      <c r="D49" s="111">
        <f t="shared" si="15"/>
        <v>0.6522415322280245</v>
      </c>
      <c r="E49" s="111">
        <f t="shared" si="15"/>
        <v>1.6442424798143545E-2</v>
      </c>
      <c r="F49" s="111">
        <f t="shared" si="15"/>
        <v>0.16703096377001134</v>
      </c>
      <c r="V49" s="111"/>
    </row>
    <row r="50" spans="1:22" x14ac:dyDescent="0.25">
      <c r="B50" s="114" t="s">
        <v>143</v>
      </c>
      <c r="C50" s="114" t="s">
        <v>144</v>
      </c>
      <c r="D50" s="114" t="s">
        <v>145</v>
      </c>
      <c r="E50" s="114" t="s">
        <v>146</v>
      </c>
      <c r="F50" s="114" t="s">
        <v>147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</row>
    <row r="51" spans="1:22" x14ac:dyDescent="0.25">
      <c r="B51">
        <f>+IFERROR(B25/MAX(B19:B28),0)</f>
        <v>0.42891774891774886</v>
      </c>
      <c r="C51">
        <f t="shared" ref="C51:F51" si="16">+IFERROR(C25/MAX(C19:C28),0)</f>
        <v>0.81904146160172753</v>
      </c>
      <c r="D51">
        <f t="shared" si="16"/>
        <v>0.69897034277170056</v>
      </c>
      <c r="E51">
        <f t="shared" si="16"/>
        <v>0.4041153263133388</v>
      </c>
      <c r="F51">
        <f t="shared" si="16"/>
        <v>0.68252730109204363</v>
      </c>
    </row>
    <row r="52" spans="1:22" x14ac:dyDescent="0.25">
      <c r="A52" t="s">
        <v>192</v>
      </c>
      <c r="B52" s="111">
        <f>+B51^AA20</f>
        <v>1.4516773144608775E-2</v>
      </c>
      <c r="C52" s="111">
        <f t="shared" ref="C52:F52" si="17">+C51^AB20</f>
        <v>0.54943669570012166</v>
      </c>
      <c r="D52" s="111">
        <f t="shared" si="17"/>
        <v>0.69897034277170056</v>
      </c>
      <c r="E52" s="111">
        <f t="shared" si="17"/>
        <v>1.0777712840641733E-2</v>
      </c>
      <c r="F52" s="111">
        <f t="shared" si="17"/>
        <v>0.1481153738879365</v>
      </c>
    </row>
    <row r="53" spans="1:22" x14ac:dyDescent="0.25">
      <c r="B53" s="114" t="s">
        <v>148</v>
      </c>
      <c r="C53" s="114" t="s">
        <v>149</v>
      </c>
      <c r="D53" s="114" t="s">
        <v>150</v>
      </c>
      <c r="E53" s="114" t="s">
        <v>151</v>
      </c>
      <c r="F53" s="114" t="s">
        <v>152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</row>
    <row r="54" spans="1:22" x14ac:dyDescent="0.25">
      <c r="B54">
        <f>+IFERROR(B26/MAX(B19:B28),0)</f>
        <v>0.85694745621351121</v>
      </c>
      <c r="C54">
        <f t="shared" ref="C54:F54" si="18">+IFERROR(C26/MAX(C19:C28),0)</f>
        <v>0.4903397300157693</v>
      </c>
      <c r="D54">
        <f t="shared" si="18"/>
        <v>0.36597277533588346</v>
      </c>
      <c r="E54">
        <f t="shared" si="18"/>
        <v>0.78987573699948266</v>
      </c>
      <c r="F54">
        <f t="shared" si="18"/>
        <v>0.33778213513861655</v>
      </c>
    </row>
    <row r="55" spans="1:22" x14ac:dyDescent="0.25">
      <c r="A55" t="s">
        <v>192</v>
      </c>
      <c r="B55" s="111">
        <f>+B54^AA20</f>
        <v>0.46213724365182002</v>
      </c>
      <c r="C55" s="111">
        <f t="shared" ref="C55:F55" si="19">+C54^AB20</f>
        <v>0.11789387723179999</v>
      </c>
      <c r="D55" s="111">
        <f t="shared" si="19"/>
        <v>0.36597277533588346</v>
      </c>
      <c r="E55" s="111">
        <f t="shared" si="19"/>
        <v>0.30746371332285122</v>
      </c>
      <c r="F55" s="111">
        <f t="shared" si="19"/>
        <v>4.3972725309182198E-3</v>
      </c>
    </row>
    <row r="56" spans="1:22" x14ac:dyDescent="0.25">
      <c r="B56" s="114" t="s">
        <v>153</v>
      </c>
      <c r="C56" s="114" t="s">
        <v>154</v>
      </c>
      <c r="D56" s="114" t="s">
        <v>155</v>
      </c>
      <c r="E56" s="114" t="s">
        <v>156</v>
      </c>
      <c r="F56" s="114" t="s">
        <v>157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</row>
    <row r="57" spans="1:22" x14ac:dyDescent="0.25">
      <c r="B57">
        <f>+IFERROR(B27/MAX(B19:B28),0)</f>
        <v>1</v>
      </c>
      <c r="C57">
        <f t="shared" ref="C57:E57" si="20">+IFERROR(C27/MAX(C19:C28),0)</f>
        <v>0.37083217881222869</v>
      </c>
      <c r="D57">
        <f t="shared" si="20"/>
        <v>0.49489897185502763</v>
      </c>
      <c r="E57">
        <f t="shared" si="20"/>
        <v>0.5221342403146092</v>
      </c>
      <c r="F57">
        <f>+IFERROR(F27/MAX(F19:F28),0)</f>
        <v>0.30031201248049921</v>
      </c>
    </row>
    <row r="58" spans="1:22" x14ac:dyDescent="0.25">
      <c r="A58" t="s">
        <v>192</v>
      </c>
      <c r="B58" s="111">
        <f>+B57^AA20</f>
        <v>1</v>
      </c>
      <c r="C58" s="111">
        <f t="shared" ref="C58:F58" si="21">+C57^AB20</f>
        <v>5.099554511343294E-2</v>
      </c>
      <c r="D58" s="111">
        <f t="shared" si="21"/>
        <v>0.49489897185502763</v>
      </c>
      <c r="E58" s="111">
        <f t="shared" si="21"/>
        <v>3.8807071491028231E-2</v>
      </c>
      <c r="F58" s="111">
        <f t="shared" si="21"/>
        <v>2.4426628177946687E-3</v>
      </c>
    </row>
    <row r="59" spans="1:22" x14ac:dyDescent="0.25">
      <c r="B59" s="114" t="s">
        <v>158</v>
      </c>
      <c r="C59" s="114" t="s">
        <v>159</v>
      </c>
      <c r="D59" s="114" t="s">
        <v>160</v>
      </c>
      <c r="E59" s="114" t="s">
        <v>161</v>
      </c>
      <c r="F59" s="114" t="s">
        <v>162</v>
      </c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</row>
    <row r="60" spans="1:22" x14ac:dyDescent="0.25">
      <c r="B60">
        <f>+IFERROR(B28/MAX(B19:B28),0)</f>
        <v>0.65800443458980029</v>
      </c>
      <c r="C60">
        <f t="shared" ref="C60:F60" si="22">+IFERROR(C28/MAX(C19:C28),0)</f>
        <v>0.58724687828756927</v>
      </c>
      <c r="D60">
        <f t="shared" si="22"/>
        <v>0.74851645622565555</v>
      </c>
      <c r="E60">
        <f t="shared" si="22"/>
        <v>0.55609419090417722</v>
      </c>
      <c r="F60">
        <f t="shared" si="22"/>
        <v>0.35731136562535676</v>
      </c>
    </row>
    <row r="61" spans="1:22" x14ac:dyDescent="0.25">
      <c r="A61" t="s">
        <v>192</v>
      </c>
      <c r="B61" s="111">
        <f>+B60^AA20</f>
        <v>0.12335140559359395</v>
      </c>
      <c r="C61" s="111">
        <f t="shared" ref="C61:F61" si="23">+C60^AB20</f>
        <v>0.20251731016004862</v>
      </c>
      <c r="D61" s="111">
        <f t="shared" si="23"/>
        <v>0.74851645622565555</v>
      </c>
      <c r="E61" s="111">
        <f t="shared" si="23"/>
        <v>5.3179199023497672E-2</v>
      </c>
      <c r="F61" s="111">
        <f t="shared" si="23"/>
        <v>5.8241714876876858E-3</v>
      </c>
    </row>
    <row r="63" spans="1:22" x14ac:dyDescent="0.25">
      <c r="V63" s="111"/>
    </row>
    <row r="64" spans="1:22" x14ac:dyDescent="0.25">
      <c r="V64" s="111"/>
    </row>
    <row r="65" spans="22:22" x14ac:dyDescent="0.25">
      <c r="V65" s="111"/>
    </row>
    <row r="66" spans="22:22" x14ac:dyDescent="0.25">
      <c r="V66" s="111"/>
    </row>
    <row r="67" spans="22:22" x14ac:dyDescent="0.25">
      <c r="V67" s="111"/>
    </row>
    <row r="68" spans="22:22" x14ac:dyDescent="0.25">
      <c r="V68" s="111"/>
    </row>
    <row r="69" spans="22:22" x14ac:dyDescent="0.25">
      <c r="V69" s="111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044B-65F3-42A1-A659-94EB5B0AF5F1}">
  <dimension ref="A1:AR69"/>
  <sheetViews>
    <sheetView topLeftCell="R19" zoomScale="85" zoomScaleNormal="85" workbookViewId="0">
      <selection activeCell="AB34" sqref="AB34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92" customWidth="1"/>
    <col min="32" max="44" width="10.5703125" bestFit="1" customWidth="1"/>
  </cols>
  <sheetData>
    <row r="1" spans="1:44" ht="15.75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</row>
    <row r="2" spans="1:44" ht="18" customHeight="1" thickBot="1" x14ac:dyDescent="0.3">
      <c r="B2" s="131" t="s">
        <v>2</v>
      </c>
      <c r="C2" s="132" t="s">
        <v>3</v>
      </c>
      <c r="D2" s="133" t="s">
        <v>4</v>
      </c>
      <c r="E2" s="134" t="s">
        <v>5</v>
      </c>
      <c r="F2" s="136" t="s">
        <v>6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44" ht="31.5" customHeight="1" x14ac:dyDescent="0.25">
      <c r="A3" s="108" t="s">
        <v>97</v>
      </c>
    </row>
    <row r="4" spans="1:44" ht="18" customHeight="1" x14ac:dyDescent="0.25">
      <c r="A4" s="109" t="s">
        <v>25</v>
      </c>
      <c r="B4" s="110">
        <f>+AHP_nivel_0!D179</f>
        <v>0.63210651391127737</v>
      </c>
      <c r="C4" s="110">
        <f>+AHP_nivel_0!E179</f>
        <v>0.53333987111264036</v>
      </c>
      <c r="D4" s="110">
        <f>+AHP_nivel_0!F179</f>
        <v>2.4296594128464726</v>
      </c>
      <c r="E4" s="110">
        <f>+AHP_nivel_0!G179</f>
        <v>0.63210651391127737</v>
      </c>
      <c r="F4" s="110">
        <f>+AHP_nivel_0!H179</f>
        <v>1.185199713583645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U4" s="111"/>
    </row>
    <row r="5" spans="1:44" ht="18" customHeight="1" x14ac:dyDescent="0.25">
      <c r="A5" s="112" t="s">
        <v>44</v>
      </c>
      <c r="B5" s="110">
        <f>+AHP_nivel_0!D180</f>
        <v>0.96650214738666307</v>
      </c>
      <c r="C5" s="110">
        <f>+AHP_nivel_0!E180</f>
        <v>0.19330042947733261</v>
      </c>
      <c r="D5" s="110">
        <f>+AHP_nivel_0!F180</f>
        <v>1.2081276842333291</v>
      </c>
      <c r="E5" s="110">
        <f>+AHP_nivel_0!G180</f>
        <v>0.62822639580133111</v>
      </c>
      <c r="F5" s="110">
        <f>+AHP_nivel_0!H180</f>
        <v>2.4162553684666577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ht="18" customHeight="1" x14ac:dyDescent="0.25">
      <c r="A6" s="113" t="s">
        <v>49</v>
      </c>
      <c r="B6" s="110">
        <f>+AHP_nivel_0!D181</f>
        <v>0.92407034579407787</v>
      </c>
      <c r="C6" s="110">
        <f>+AHP_nivel_0!E181</f>
        <v>0.33002512349788493</v>
      </c>
      <c r="D6" s="110">
        <f>+AHP_nivel_0!F181</f>
        <v>0.85806532109450095</v>
      </c>
      <c r="E6" s="110">
        <f>+AHP_nivel_0!G181</f>
        <v>1.5841205927898476</v>
      </c>
      <c r="F6" s="110">
        <f>+AHP_nivel_0!H181</f>
        <v>1.7161306421890019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spans="1:44" ht="18" customHeight="1" x14ac:dyDescent="0.25">
      <c r="A7" s="114" t="s">
        <v>53</v>
      </c>
      <c r="B7" s="110">
        <f>+AHP_nivel_0!D182</f>
        <v>0.66105795729652672</v>
      </c>
      <c r="C7" s="110">
        <f>+AHP_nivel_0!E182</f>
        <v>0.33052897864826342</v>
      </c>
      <c r="D7" s="110">
        <f>+AHP_nivel_0!F182</f>
        <v>1.3221159145930537</v>
      </c>
      <c r="E7" s="110">
        <f>+AHP_nivel_0!G182</f>
        <v>1.6939610155723499</v>
      </c>
      <c r="F7" s="110">
        <f>+AHP_nivel_0!H182</f>
        <v>1.4047481592551194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</row>
    <row r="8" spans="1:44" ht="18" customHeight="1" x14ac:dyDescent="0.25">
      <c r="A8" s="114" t="s">
        <v>58</v>
      </c>
      <c r="B8" s="110">
        <f>+AHP_nivel_0!D183</f>
        <v>0.15464034358186612</v>
      </c>
      <c r="C8" s="110">
        <f>+AHP_nivel_0!E183</f>
        <v>1.0824824050730628</v>
      </c>
      <c r="D8" s="110">
        <f>+AHP_nivel_0!F183</f>
        <v>1.4433098734307503</v>
      </c>
      <c r="E8" s="110">
        <f>+AHP_nivel_0!G183</f>
        <v>1.1340291862670182</v>
      </c>
      <c r="F8" s="110">
        <f>+AHP_nivel_0!H183</f>
        <v>1.5979502170126165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</row>
    <row r="9" spans="1:44" ht="18" customHeight="1" x14ac:dyDescent="0.25">
      <c r="A9" s="115" t="s">
        <v>63</v>
      </c>
      <c r="B9" s="110">
        <f>+AHP_nivel_0!D184</f>
        <v>0.7414263048445634</v>
      </c>
      <c r="C9" s="110">
        <f>+AHP_nivel_0!E184</f>
        <v>1.779423131626952</v>
      </c>
      <c r="D9" s="110">
        <f>+AHP_nivel_0!F184</f>
        <v>1.2604247182357575</v>
      </c>
      <c r="E9" s="110">
        <f>+AHP_nivel_0!G184</f>
        <v>0.222427891453369</v>
      </c>
      <c r="F9" s="110">
        <f>+AHP_nivel_0!H184</f>
        <v>1.4087099792046704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</row>
    <row r="10" spans="1:44" ht="18" customHeight="1" x14ac:dyDescent="0.25">
      <c r="A10" s="114" t="s">
        <v>66</v>
      </c>
      <c r="B10" s="110">
        <f>+AHP_nivel_0!D185</f>
        <v>1.22423605335644</v>
      </c>
      <c r="C10" s="110">
        <f>+AHP_nivel_0!E185</f>
        <v>1.2886695298488839</v>
      </c>
      <c r="D10" s="110">
        <f>+AHP_nivel_0!F185</f>
        <v>1.4175364828337726</v>
      </c>
      <c r="E10" s="110">
        <f>+AHP_nivel_0!G185</f>
        <v>0.1288669529848884</v>
      </c>
      <c r="F10" s="110">
        <f>+AHP_nivel_0!H185</f>
        <v>1.3531030063413281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</row>
    <row r="11" spans="1:44" ht="18" customHeight="1" x14ac:dyDescent="0.25">
      <c r="A11" s="114" t="s">
        <v>69</v>
      </c>
      <c r="B11" s="110">
        <f>+AHP_nivel_0!D186</f>
        <v>3.3765506213288194</v>
      </c>
      <c r="C11" s="110">
        <f>+AHP_nivel_0!E186</f>
        <v>0.39724124956809642</v>
      </c>
      <c r="D11" s="110">
        <f>+AHP_nivel_0!F186</f>
        <v>0.29793093717607239</v>
      </c>
      <c r="E11" s="110">
        <f>+AHP_nivel_0!G186</f>
        <v>1.142068592508277</v>
      </c>
      <c r="F11" s="110">
        <f>+AHP_nivel_0!H186</f>
        <v>0.19862062478404821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AA11" s="92">
        <f>ROUND($AC$26*AA19+$AC$25,0)</f>
        <v>5</v>
      </c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</row>
    <row r="12" spans="1:44" ht="18" customHeight="1" x14ac:dyDescent="0.25">
      <c r="A12" s="114" t="s">
        <v>74</v>
      </c>
      <c r="B12" s="110">
        <f>+AHP_nivel_0!D187</f>
        <v>4.095879370546724</v>
      </c>
      <c r="C12" s="110">
        <f>+AHP_nivel_0!E187</f>
        <v>7.3140703045477207E-2</v>
      </c>
      <c r="D12" s="110">
        <f>+AHP_nivel_0!F187</f>
        <v>0.73140703045477207</v>
      </c>
      <c r="E12" s="110">
        <f>+AHP_nivel_0!G187</f>
        <v>0.43884421827286324</v>
      </c>
      <c r="F12" s="110">
        <f>+AHP_nivel_0!H187</f>
        <v>7.3140703045477207E-2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44" ht="18" customHeight="1" x14ac:dyDescent="0.25">
      <c r="A13" s="116" t="s">
        <v>79</v>
      </c>
      <c r="B13" s="110">
        <f>+AHP_nivel_0!D188</f>
        <v>2.3761808891847718</v>
      </c>
      <c r="C13" s="110">
        <f>+AHP_nivel_0!E188</f>
        <v>0.66005024699576997</v>
      </c>
      <c r="D13" s="110">
        <f>+AHP_nivel_0!F188</f>
        <v>1.5841205927898476</v>
      </c>
      <c r="E13" s="110">
        <f>+AHP_nivel_0!G188</f>
        <v>0.52804019759661591</v>
      </c>
      <c r="F13" s="110">
        <f>+AHP_nivel_0!H188</f>
        <v>0.26402009879830796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5" spans="1:44" x14ac:dyDescent="0.25">
      <c r="AA15" s="92">
        <v>0.25</v>
      </c>
      <c r="AB15" s="92">
        <v>0.25</v>
      </c>
      <c r="AC15" s="92">
        <v>0.25</v>
      </c>
      <c r="AD15" s="92">
        <v>0.25</v>
      </c>
      <c r="AE15" s="92">
        <v>0.25</v>
      </c>
      <c r="AF15" s="92">
        <v>0.25</v>
      </c>
      <c r="AG15" s="92"/>
      <c r="AH15" s="92"/>
      <c r="AI15" s="92"/>
      <c r="AJ15" s="92"/>
      <c r="AK15" s="92"/>
      <c r="AL15" s="92"/>
    </row>
    <row r="17" spans="1:44" ht="15.75" thickBot="1" x14ac:dyDescent="0.3">
      <c r="AA17" s="87">
        <v>0.2112</v>
      </c>
      <c r="AB17" s="87"/>
      <c r="AC17" s="87"/>
      <c r="AD17" s="87"/>
      <c r="AE17" s="87">
        <v>0.19639999999999999</v>
      </c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</row>
    <row r="18" spans="1:44" ht="64.5" thickBot="1" x14ac:dyDescent="0.3">
      <c r="A18" s="117" t="s">
        <v>98</v>
      </c>
      <c r="B18" s="131" t="s">
        <v>2</v>
      </c>
      <c r="C18" s="132" t="s">
        <v>3</v>
      </c>
      <c r="D18" s="133" t="s">
        <v>4</v>
      </c>
      <c r="E18" s="134" t="s">
        <v>5</v>
      </c>
      <c r="F18" s="136" t="s">
        <v>6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AA18" s="131" t="s">
        <v>2</v>
      </c>
      <c r="AB18" s="132" t="s">
        <v>3</v>
      </c>
      <c r="AC18" s="133" t="s">
        <v>4</v>
      </c>
      <c r="AD18" s="134" t="s">
        <v>5</v>
      </c>
      <c r="AE18" s="135" t="s">
        <v>6</v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</row>
    <row r="19" spans="1:44" x14ac:dyDescent="0.25">
      <c r="A19" s="118" t="s">
        <v>25</v>
      </c>
      <c r="B19" s="110">
        <f t="shared" ref="B19:F28" si="0">IFERROR(+$U$26*B4+$U$24,"")</f>
        <v>1.5558062375580624</v>
      </c>
      <c r="C19" s="110">
        <f t="shared" si="0"/>
        <v>1.4575978765759787</v>
      </c>
      <c r="D19" s="110">
        <f t="shared" si="0"/>
        <v>3.3431984074319838</v>
      </c>
      <c r="E19" s="110">
        <f t="shared" si="0"/>
        <v>1.5558062375580624</v>
      </c>
      <c r="F19" s="137">
        <f t="shared" si="0"/>
        <v>2.1057730590577304</v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11"/>
      <c r="U19" t="s">
        <v>99</v>
      </c>
      <c r="Z19" s="119" t="s">
        <v>100</v>
      </c>
      <c r="AA19" s="88">
        <v>0.2</v>
      </c>
      <c r="AB19" s="89">
        <v>0.2</v>
      </c>
      <c r="AC19" s="90">
        <v>0.2</v>
      </c>
      <c r="AD19" s="91">
        <v>0.19999</v>
      </c>
      <c r="AE19" s="91">
        <v>0.2</v>
      </c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118" t="s">
        <v>44</v>
      </c>
      <c r="B20" s="110">
        <f t="shared" si="0"/>
        <v>1.8883116883116884</v>
      </c>
      <c r="C20" s="110">
        <f t="shared" si="0"/>
        <v>1.1194805194805195</v>
      </c>
      <c r="D20" s="110">
        <f t="shared" si="0"/>
        <v>2.128571428571429</v>
      </c>
      <c r="E20" s="110">
        <f t="shared" si="0"/>
        <v>1.551948051948052</v>
      </c>
      <c r="F20" s="137">
        <f t="shared" si="0"/>
        <v>3.3298701298701299</v>
      </c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11"/>
      <c r="U20" t="s">
        <v>101</v>
      </c>
      <c r="AA20" s="120">
        <f>ROUND($AC$26*AA19+$AC$25,0)</f>
        <v>5</v>
      </c>
      <c r="AB20" s="120">
        <f t="shared" ref="AB20:AE20" si="1">ROUND($AC$26*AB19+$AC$25,0)</f>
        <v>5</v>
      </c>
      <c r="AC20" s="120">
        <f t="shared" si="1"/>
        <v>5</v>
      </c>
      <c r="AD20" s="120">
        <f t="shared" si="1"/>
        <v>1</v>
      </c>
      <c r="AE20" s="120">
        <f t="shared" si="1"/>
        <v>5</v>
      </c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</row>
    <row r="21" spans="1:44" x14ac:dyDescent="0.25">
      <c r="A21" s="118" t="s">
        <v>49</v>
      </c>
      <c r="B21" s="110">
        <f t="shared" si="0"/>
        <v>1.846119733924612</v>
      </c>
      <c r="C21" s="110">
        <f t="shared" si="0"/>
        <v>1.2554323725055432</v>
      </c>
      <c r="D21" s="110">
        <f t="shared" si="0"/>
        <v>1.780487804878049</v>
      </c>
      <c r="E21" s="110">
        <f t="shared" si="0"/>
        <v>2.5024390243902439</v>
      </c>
      <c r="F21" s="137">
        <f t="shared" si="0"/>
        <v>2.6337028824833704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11"/>
      <c r="Z21" t="s">
        <v>172</v>
      </c>
      <c r="AA21" s="92">
        <f>ROUND($AC$26*AA19+$AC$25,0)</f>
        <v>5</v>
      </c>
      <c r="AB21" s="92">
        <f t="shared" ref="AB21:AE21" si="2">$AC$26*AB19+$AC$25</f>
        <v>5</v>
      </c>
      <c r="AC21" s="92">
        <f t="shared" si="2"/>
        <v>5</v>
      </c>
      <c r="AD21" s="92">
        <f t="shared" si="2"/>
        <v>1</v>
      </c>
      <c r="AE21" s="92">
        <f t="shared" si="2"/>
        <v>5</v>
      </c>
    </row>
    <row r="22" spans="1:44" x14ac:dyDescent="0.25">
      <c r="A22" s="118" t="s">
        <v>53</v>
      </c>
      <c r="B22" s="110">
        <f t="shared" si="0"/>
        <v>1.584594031922276</v>
      </c>
      <c r="C22" s="110">
        <f t="shared" si="0"/>
        <v>1.2559333795975018</v>
      </c>
      <c r="D22" s="110">
        <f t="shared" si="0"/>
        <v>2.2419153365718252</v>
      </c>
      <c r="E22" s="110">
        <f t="shared" si="0"/>
        <v>2.6116585704371964</v>
      </c>
      <c r="F22" s="137">
        <f t="shared" si="0"/>
        <v>2.3240804996530189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11"/>
    </row>
    <row r="23" spans="1:44" x14ac:dyDescent="0.25">
      <c r="A23" s="118" t="s">
        <v>58</v>
      </c>
      <c r="B23" s="110">
        <f t="shared" si="0"/>
        <v>1.0810389610389612</v>
      </c>
      <c r="C23" s="110">
        <f t="shared" si="0"/>
        <v>2.0036363636363639</v>
      </c>
      <c r="D23" s="110">
        <f t="shared" si="0"/>
        <v>2.3624242424242428</v>
      </c>
      <c r="E23" s="110">
        <f t="shared" si="0"/>
        <v>2.0548917748917752</v>
      </c>
      <c r="F23" s="137">
        <f t="shared" si="0"/>
        <v>2.5161904761904763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1"/>
      <c r="W23" t="s">
        <v>102</v>
      </c>
      <c r="X23" s="111">
        <f>+MIN(B4:F13)</f>
        <v>7.3140703045477207E-2</v>
      </c>
      <c r="AB23" s="92" t="s">
        <v>102</v>
      </c>
      <c r="AC23" s="121">
        <f>+ROUND(MIN(AA19:AE19),5)</f>
        <v>0.19999</v>
      </c>
      <c r="AD23" s="121"/>
      <c r="AE23" s="121"/>
      <c r="AF23" s="121"/>
      <c r="AG23" s="121"/>
    </row>
    <row r="24" spans="1:44" ht="18" customHeight="1" x14ac:dyDescent="0.25">
      <c r="A24" s="118" t="s">
        <v>63</v>
      </c>
      <c r="B24" s="110">
        <f t="shared" si="0"/>
        <v>1.664508094645081</v>
      </c>
      <c r="C24" s="110">
        <f t="shared" si="0"/>
        <v>2.6966376089663759</v>
      </c>
      <c r="D24" s="110">
        <f t="shared" si="0"/>
        <v>2.1805728518057284</v>
      </c>
      <c r="E24" s="110">
        <f t="shared" si="0"/>
        <v>1.1484433374844334</v>
      </c>
      <c r="F24" s="137">
        <f t="shared" si="0"/>
        <v>2.328019925280199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11"/>
      <c r="U24" s="122">
        <f>(5*X23-X24)/(X23-X24)</f>
        <v>0.92727272727272736</v>
      </c>
      <c r="W24" t="s">
        <v>103</v>
      </c>
      <c r="X24" s="111">
        <f>+MAX(B4:F13)</f>
        <v>4.095879370546724</v>
      </c>
      <c r="AB24" s="92" t="s">
        <v>103</v>
      </c>
      <c r="AC24" s="121">
        <f>+ROUND(MAX(AA19:AE19),5)</f>
        <v>0.2</v>
      </c>
      <c r="AD24" s="121"/>
      <c r="AE24" s="121"/>
      <c r="AF24" s="121"/>
      <c r="AG24" s="121"/>
    </row>
    <row r="25" spans="1:44" x14ac:dyDescent="0.25">
      <c r="A25" s="118" t="s">
        <v>66</v>
      </c>
      <c r="B25" s="110">
        <f t="shared" si="0"/>
        <v>2.1445887445887446</v>
      </c>
      <c r="C25" s="110">
        <f t="shared" si="0"/>
        <v>2.2086580086580083</v>
      </c>
      <c r="D25" s="110">
        <f t="shared" si="0"/>
        <v>2.3367965367965371</v>
      </c>
      <c r="E25" s="110">
        <f t="shared" si="0"/>
        <v>1.0554112554112556</v>
      </c>
      <c r="F25" s="137">
        <f t="shared" si="0"/>
        <v>2.2727272727272725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11"/>
      <c r="AB25" t="s">
        <v>104</v>
      </c>
      <c r="AC25" s="123">
        <f>(5*AC23-AC24)/(AC23-AC24)</f>
        <v>-79994.999999919994</v>
      </c>
      <c r="AD25"/>
      <c r="AE25"/>
    </row>
    <row r="26" spans="1:44" x14ac:dyDescent="0.25">
      <c r="A26" s="118" t="s">
        <v>69</v>
      </c>
      <c r="B26" s="110">
        <f t="shared" si="0"/>
        <v>4.2847372810675566</v>
      </c>
      <c r="C26" s="110">
        <f t="shared" si="0"/>
        <v>1.3222685571309425</v>
      </c>
      <c r="D26" s="110">
        <f t="shared" si="0"/>
        <v>1.2235195996663888</v>
      </c>
      <c r="E26" s="110">
        <f t="shared" si="0"/>
        <v>2.0628857381150958</v>
      </c>
      <c r="F26" s="137">
        <f t="shared" si="0"/>
        <v>1.1247706422018349</v>
      </c>
      <c r="G26" s="125"/>
      <c r="H26" s="138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11"/>
      <c r="U26" s="122">
        <f>+-4/(X23-X24)</f>
        <v>0.99434746589805922</v>
      </c>
      <c r="AB26" t="s">
        <v>105</v>
      </c>
      <c r="AC26" s="123">
        <f>+-4/(AC23-AC24)</f>
        <v>399999.99999959994</v>
      </c>
      <c r="AD26"/>
      <c r="AE26"/>
      <c r="AJ26" t="s">
        <v>106</v>
      </c>
    </row>
    <row r="27" spans="1:44" x14ac:dyDescent="0.25">
      <c r="A27" s="118" t="s">
        <v>74</v>
      </c>
      <c r="B27" s="110">
        <f t="shared" si="0"/>
        <v>5.0000000000000009</v>
      </c>
      <c r="C27" s="110">
        <f t="shared" si="0"/>
        <v>1</v>
      </c>
      <c r="D27" s="110">
        <f t="shared" si="0"/>
        <v>1.6545454545454545</v>
      </c>
      <c r="E27" s="110">
        <f t="shared" si="0"/>
        <v>1.3636363636363638</v>
      </c>
      <c r="F27" s="137">
        <f t="shared" si="0"/>
        <v>1</v>
      </c>
      <c r="G27" s="125"/>
      <c r="H27" s="138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11"/>
    </row>
    <row r="28" spans="1:44" x14ac:dyDescent="0.25">
      <c r="A28" s="118" t="s">
        <v>79</v>
      </c>
      <c r="B28" s="110">
        <f t="shared" si="0"/>
        <v>3.2900221729490022</v>
      </c>
      <c r="C28" s="110">
        <f t="shared" si="0"/>
        <v>1.5835920177383593</v>
      </c>
      <c r="D28" s="110">
        <f t="shared" si="0"/>
        <v>2.5024390243902439</v>
      </c>
      <c r="E28" s="110">
        <f t="shared" si="0"/>
        <v>1.4523281596452329</v>
      </c>
      <c r="F28" s="137">
        <f t="shared" si="0"/>
        <v>1.1898004434589802</v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11"/>
    </row>
    <row r="29" spans="1:44" x14ac:dyDescent="0.25">
      <c r="A29" s="124"/>
      <c r="B29" s="125"/>
      <c r="C29" s="125"/>
      <c r="D29" s="125"/>
      <c r="E29" s="125"/>
      <c r="F29" s="125"/>
      <c r="T29" s="111"/>
    </row>
    <row r="30" spans="1:44" x14ac:dyDescent="0.25">
      <c r="A30" s="108"/>
      <c r="B30" s="92"/>
      <c r="C30" s="92"/>
      <c r="D30" s="92"/>
      <c r="E30" s="92"/>
      <c r="F30" s="92"/>
      <c r="U30" s="225" t="s">
        <v>181</v>
      </c>
      <c r="V30" s="111"/>
    </row>
    <row r="31" spans="1:44" x14ac:dyDescent="0.25">
      <c r="A31" s="124"/>
      <c r="B31" s="125"/>
      <c r="C31" s="125"/>
      <c r="D31" s="125"/>
      <c r="E31" s="125"/>
      <c r="F31" s="125"/>
      <c r="U31" s="225"/>
      <c r="V31" s="111"/>
    </row>
    <row r="32" spans="1:44" ht="33.75" customHeight="1" x14ac:dyDescent="0.25">
      <c r="A32" s="119" t="s">
        <v>191</v>
      </c>
      <c r="B32" s="114" t="s">
        <v>108</v>
      </c>
      <c r="C32" s="114" t="s">
        <v>109</v>
      </c>
      <c r="D32" s="114" t="s">
        <v>110</v>
      </c>
      <c r="E32" s="114" t="s">
        <v>111</v>
      </c>
      <c r="F32" s="114" t="s">
        <v>112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U32" s="225"/>
      <c r="V32" s="111"/>
      <c r="AA32" s="224"/>
      <c r="AB32" s="224"/>
      <c r="AC32" s="224"/>
      <c r="AD32" s="224"/>
    </row>
    <row r="33" spans="1:44" s="92" customFormat="1" x14ac:dyDescent="0.25">
      <c r="A33"/>
      <c r="B33">
        <f>+IFERROR(B19/MAX(B19:B28),0)</f>
        <v>0.31116124751161239</v>
      </c>
      <c r="C33">
        <f>+IFERROR(C19/MAX(C19:C28),0)</f>
        <v>0.54052419640274818</v>
      </c>
      <c r="D33">
        <f>+IFERROR(D19/MAX(D19:D28),0)</f>
        <v>1</v>
      </c>
      <c r="E33">
        <f>+IFERROR(E19/MAX(E19:E28),0)</f>
        <v>0.59571578581101337</v>
      </c>
      <c r="F33">
        <f>+IFERROR(F19/MAX(F19:F28),0)</f>
        <v>0.63238894519284417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126" t="s">
        <v>25</v>
      </c>
      <c r="V33" s="181">
        <f>+PRODUCT(B34:S34)</f>
        <v>8.1089322996980296E-6</v>
      </c>
      <c r="W33">
        <f>+V33/MAX($V$33:$V$42)*100</f>
        <v>15.176266426160314</v>
      </c>
      <c r="X33">
        <f>+RANK(W33,$W$33:$W$42)</f>
        <v>3</v>
      </c>
      <c r="Y33" s="127"/>
      <c r="Z33"/>
      <c r="AA33" s="128"/>
      <c r="AF33" s="111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92" customFormat="1" x14ac:dyDescent="0.25">
      <c r="A34" t="s">
        <v>192</v>
      </c>
      <c r="B34" s="111">
        <f>+B33^AA20</f>
        <v>2.9169401612238808E-3</v>
      </c>
      <c r="C34" s="111">
        <f t="shared" ref="C34:F34" si="3">+C33^AB20</f>
        <v>4.6139799071123554E-2</v>
      </c>
      <c r="D34" s="111">
        <f t="shared" si="3"/>
        <v>1</v>
      </c>
      <c r="E34" s="111">
        <f t="shared" si="3"/>
        <v>0.59571578581101337</v>
      </c>
      <c r="F34" s="111">
        <f t="shared" si="3"/>
        <v>0.10113962686828591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126" t="s">
        <v>44</v>
      </c>
      <c r="V34" s="181">
        <f>+PRODUCT(B37:S37)</f>
        <v>5.8895121027426939E-6</v>
      </c>
      <c r="W34">
        <f t="shared" ref="W34:W42" si="4">+V34/MAX($V$33:$V$42)*100</f>
        <v>11.022512149305681</v>
      </c>
      <c r="X34">
        <f t="shared" ref="X34:X42" si="5">+RANK(W34,$W$33:$W$42)</f>
        <v>5</v>
      </c>
      <c r="Y34" s="127"/>
      <c r="Z34"/>
      <c r="AA34" s="128"/>
      <c r="AF34" s="111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92" customFormat="1" x14ac:dyDescent="0.25">
      <c r="A35"/>
      <c r="B35" s="114" t="s">
        <v>115</v>
      </c>
      <c r="C35" s="114" t="s">
        <v>116</v>
      </c>
      <c r="D35" s="114" t="s">
        <v>117</v>
      </c>
      <c r="E35" s="114" t="s">
        <v>118</v>
      </c>
      <c r="F35" s="114" t="s">
        <v>119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>
        <v>3</v>
      </c>
      <c r="U35" s="126" t="s">
        <v>49</v>
      </c>
      <c r="V35" s="181">
        <f>+PRODUCT(B40:S40)</f>
        <v>1.9069168819926837E-6</v>
      </c>
      <c r="W35">
        <f t="shared" si="4"/>
        <v>3.5688889220029099</v>
      </c>
      <c r="X35">
        <f t="shared" si="5"/>
        <v>7</v>
      </c>
      <c r="Y35" s="127"/>
      <c r="Z35"/>
      <c r="AA35" s="128"/>
      <c r="AF35" s="111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92" customFormat="1" x14ac:dyDescent="0.25">
      <c r="A36"/>
      <c r="B36">
        <f>+IFERROR(B20/MAX(B19:B28),0)</f>
        <v>0.37766233766233759</v>
      </c>
      <c r="C36">
        <f>+IFERROR(C20/MAX(C19:C28),0)</f>
        <v>0.41513940017680667</v>
      </c>
      <c r="D36">
        <f t="shared" ref="D36:F36" si="6">+IFERROR(D20/MAX(D19:D28),0)</f>
        <v>0.63668713883076178</v>
      </c>
      <c r="E36">
        <f t="shared" si="6"/>
        <v>0.59423849254853134</v>
      </c>
      <c r="F36">
        <f t="shared" si="6"/>
        <v>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126" t="s">
        <v>53</v>
      </c>
      <c r="V36" s="181">
        <f>+PRODUCT(B43:S43)</f>
        <v>1.573492857706001E-6</v>
      </c>
      <c r="W36">
        <f t="shared" si="4"/>
        <v>2.9448694286294508</v>
      </c>
      <c r="X36">
        <f t="shared" si="5"/>
        <v>8</v>
      </c>
      <c r="Y36" s="127"/>
      <c r="Z36"/>
      <c r="AA36" s="128"/>
      <c r="AF36" s="111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92" customFormat="1" x14ac:dyDescent="0.25">
      <c r="A37" t="s">
        <v>192</v>
      </c>
      <c r="B37">
        <f>+(B36^AA20)</f>
        <v>7.6827797865164091E-3</v>
      </c>
      <c r="C37">
        <f t="shared" ref="C37:F37" si="7">+(C36^AB20)</f>
        <v>1.2330189960347258E-2</v>
      </c>
      <c r="D37">
        <f t="shared" si="7"/>
        <v>0.10462377492141038</v>
      </c>
      <c r="E37">
        <f t="shared" si="7"/>
        <v>0.59423849254853134</v>
      </c>
      <c r="F37">
        <f t="shared" si="7"/>
        <v>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126" t="s">
        <v>58</v>
      </c>
      <c r="V37" s="181">
        <f>+PRODUCT(B46:S46)</f>
        <v>3.6540176661853422E-6</v>
      </c>
      <c r="W37">
        <f t="shared" si="4"/>
        <v>6.8386741408595002</v>
      </c>
      <c r="X37">
        <f t="shared" si="5"/>
        <v>6</v>
      </c>
      <c r="Y37" s="127"/>
      <c r="Z37"/>
      <c r="AA37" s="128"/>
      <c r="AF37" s="111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92" customFormat="1" x14ac:dyDescent="0.25">
      <c r="A38"/>
      <c r="B38" s="114" t="s">
        <v>120</v>
      </c>
      <c r="C38" s="114" t="s">
        <v>121</v>
      </c>
      <c r="D38" s="114" t="s">
        <v>122</v>
      </c>
      <c r="E38" s="114" t="s">
        <v>123</v>
      </c>
      <c r="F38" s="114" t="s">
        <v>124</v>
      </c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>
        <v>6</v>
      </c>
      <c r="U38" s="126" t="s">
        <v>63</v>
      </c>
      <c r="V38" s="181">
        <f>+PRODUCT(B49:S49)</f>
        <v>3.5449649329129594E-5</v>
      </c>
      <c r="W38">
        <f t="shared" si="4"/>
        <v>66.345765761647868</v>
      </c>
      <c r="X38">
        <f t="shared" si="5"/>
        <v>2</v>
      </c>
      <c r="Y38" s="127"/>
      <c r="Z38"/>
      <c r="AA38" s="128"/>
      <c r="AF38" s="111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92" customFormat="1" x14ac:dyDescent="0.25">
      <c r="A39"/>
      <c r="B39">
        <f>+IFERROR(B21/MAX(B19:B28),0)</f>
        <v>0.36922394678492232</v>
      </c>
      <c r="C39">
        <f t="shared" ref="C39:F39" si="8">+IFERROR(C21/MAX(C19:C28),0)</f>
        <v>0.46555472204763609</v>
      </c>
      <c r="D39">
        <f t="shared" si="8"/>
        <v>0.53257018815275692</v>
      </c>
      <c r="E39">
        <f t="shared" si="8"/>
        <v>0.95818000588466323</v>
      </c>
      <c r="F39">
        <f t="shared" si="8"/>
        <v>0.79093261291427264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126" t="s">
        <v>66</v>
      </c>
      <c r="V39" s="181">
        <f>+PRODUCT(B52:S52)</f>
        <v>5.3431668053218522E-5</v>
      </c>
      <c r="W39">
        <f t="shared" si="4"/>
        <v>100</v>
      </c>
      <c r="X39">
        <f t="shared" si="5"/>
        <v>1</v>
      </c>
      <c r="Y39" s="127"/>
      <c r="Z39"/>
      <c r="AA39" s="128"/>
      <c r="AF39" s="111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92" customFormat="1" x14ac:dyDescent="0.25">
      <c r="A40" t="s">
        <v>192</v>
      </c>
      <c r="B40" s="111">
        <f>+B39^AA20</f>
        <v>6.8619776893848287E-3</v>
      </c>
      <c r="C40" s="111">
        <f t="shared" ref="C40:F40" si="9">+C39^AB20</f>
        <v>2.187024659698824E-2</v>
      </c>
      <c r="D40" s="111">
        <f t="shared" si="9"/>
        <v>4.2843432763967008E-2</v>
      </c>
      <c r="E40" s="111">
        <f t="shared" si="9"/>
        <v>0.95818000588466323</v>
      </c>
      <c r="F40" s="111">
        <f t="shared" si="9"/>
        <v>0.30952620068280945</v>
      </c>
      <c r="G40"/>
      <c r="H40"/>
      <c r="I40"/>
      <c r="J40"/>
      <c r="K40"/>
      <c r="L40"/>
      <c r="M40"/>
      <c r="N40"/>
      <c r="O40"/>
      <c r="P40"/>
      <c r="Q40"/>
      <c r="R40"/>
      <c r="S40"/>
      <c r="T40">
        <v>8</v>
      </c>
      <c r="U40" s="126" t="s">
        <v>69</v>
      </c>
      <c r="V40" s="181">
        <f>+PRODUCT(B55:S55)</f>
        <v>2.9870496512530154E-7</v>
      </c>
      <c r="W40">
        <f t="shared" si="4"/>
        <v>0.55904106311595614</v>
      </c>
      <c r="X40">
        <f t="shared" si="5"/>
        <v>9</v>
      </c>
      <c r="Y40" s="127"/>
      <c r="Z40"/>
      <c r="AA40" s="128"/>
      <c r="AF40" s="111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92" customFormat="1" x14ac:dyDescent="0.25">
      <c r="A41"/>
      <c r="B41" s="114" t="s">
        <v>125</v>
      </c>
      <c r="C41" s="114" t="s">
        <v>126</v>
      </c>
      <c r="D41" s="114" t="s">
        <v>127</v>
      </c>
      <c r="E41" s="114" t="s">
        <v>128</v>
      </c>
      <c r="F41" s="114" t="s">
        <v>129</v>
      </c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>
        <v>9</v>
      </c>
      <c r="U41" s="126" t="s">
        <v>74</v>
      </c>
      <c r="V41" s="181">
        <f>+PRODUCT(B58:S58)</f>
        <v>2.6553117532932715E-7</v>
      </c>
      <c r="W41">
        <f t="shared" si="4"/>
        <v>0.49695468063032439</v>
      </c>
      <c r="X41">
        <f t="shared" si="5"/>
        <v>10</v>
      </c>
      <c r="Y41" s="127"/>
      <c r="Z41"/>
      <c r="AA41" s="128"/>
      <c r="AF41" s="11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92" customFormat="1" x14ac:dyDescent="0.25">
      <c r="A42"/>
      <c r="B42">
        <f>+IFERROR(B22/MAX(B19:B28),0)</f>
        <v>0.31691880638445513</v>
      </c>
      <c r="C42">
        <f t="shared" ref="C42:F42" si="10">+IFERROR(C22/MAX(C19:C28),0)</f>
        <v>0.46574051159914753</v>
      </c>
      <c r="D42">
        <f t="shared" si="10"/>
        <v>0.67058997503349227</v>
      </c>
      <c r="E42">
        <f t="shared" si="10"/>
        <v>1</v>
      </c>
      <c r="F42">
        <f t="shared" si="10"/>
        <v>0.69794929201748224</v>
      </c>
      <c r="G42"/>
      <c r="H42"/>
      <c r="I42"/>
      <c r="J42"/>
      <c r="K42"/>
      <c r="L42"/>
      <c r="M42"/>
      <c r="N42"/>
      <c r="O42"/>
      <c r="P42"/>
      <c r="Q42"/>
      <c r="R42"/>
      <c r="S42"/>
      <c r="T42">
        <v>10</v>
      </c>
      <c r="U42" s="126" t="s">
        <v>79</v>
      </c>
      <c r="V42" s="181">
        <f>+PRODUCT(B61:S61)</f>
        <v>6.5559700819073948E-6</v>
      </c>
      <c r="W42">
        <f t="shared" si="4"/>
        <v>12.269821101930745</v>
      </c>
      <c r="X42">
        <f t="shared" si="5"/>
        <v>4</v>
      </c>
      <c r="Y42" s="127"/>
      <c r="Z42"/>
      <c r="AA42" s="128"/>
      <c r="AF42" s="111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92" customFormat="1" x14ac:dyDescent="0.25">
      <c r="A43" t="s">
        <v>192</v>
      </c>
      <c r="B43" s="111">
        <f>+B42^AA20</f>
        <v>3.1969810192993505E-3</v>
      </c>
      <c r="C43" s="111">
        <f t="shared" ref="C43:E43" si="11">+C42^AB20</f>
        <v>2.1913920385186903E-2</v>
      </c>
      <c r="D43" s="111">
        <f t="shared" si="11"/>
        <v>0.13560799140397795</v>
      </c>
      <c r="E43" s="111">
        <f t="shared" si="11"/>
        <v>1</v>
      </c>
      <c r="F43" s="111">
        <f>+F42^AE20</f>
        <v>0.16562250740406304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111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92" customFormat="1" x14ac:dyDescent="0.25">
      <c r="A44"/>
      <c r="B44" s="114" t="s">
        <v>130</v>
      </c>
      <c r="C44" s="114" t="s">
        <v>131</v>
      </c>
      <c r="D44" s="114" t="s">
        <v>132</v>
      </c>
      <c r="E44" s="114" t="s">
        <v>133</v>
      </c>
      <c r="F44" s="114" t="s">
        <v>134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/>
      <c r="U44"/>
      <c r="V44" s="3"/>
      <c r="W44" s="102"/>
      <c r="X44" s="102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92" customFormat="1" x14ac:dyDescent="0.25">
      <c r="A45"/>
      <c r="B45">
        <f>+IFERROR(B23/MAX(B19:B28),0)</f>
        <v>0.21620779220779221</v>
      </c>
      <c r="C45">
        <f>+IFERROR(C23/MAX(C19:C28),0)</f>
        <v>0.74301283827468378</v>
      </c>
      <c r="D45">
        <f t="shared" ref="D45:F45" si="12">+IFERROR(D23/MAX(D19:D28),0)</f>
        <v>0.70663596787212379</v>
      </c>
      <c r="E45">
        <f t="shared" si="12"/>
        <v>0.78681486092869424</v>
      </c>
      <c r="F45">
        <f t="shared" si="12"/>
        <v>0.75564222568902761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/>
      <c r="W45" s="102"/>
      <c r="X45" s="102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92" customFormat="1" x14ac:dyDescent="0.25">
      <c r="A46" t="s">
        <v>192</v>
      </c>
      <c r="B46" s="111">
        <f>+B45^AA20</f>
        <v>4.724509321088097E-4</v>
      </c>
      <c r="C46" s="111">
        <f t="shared" ref="C46:F46" si="13">+C45^AB20</f>
        <v>0.22645483062890309</v>
      </c>
      <c r="D46" s="111">
        <f t="shared" si="13"/>
        <v>0.17618896183671551</v>
      </c>
      <c r="E46" s="111">
        <f t="shared" si="13"/>
        <v>0.78681486092869424</v>
      </c>
      <c r="F46" s="111">
        <f t="shared" si="13"/>
        <v>0.24636618170637301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/>
      <c r="W46" s="102"/>
      <c r="X46" s="102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92" customFormat="1" x14ac:dyDescent="0.25">
      <c r="A47"/>
      <c r="B47" s="114" t="s">
        <v>138</v>
      </c>
      <c r="C47" s="114" t="s">
        <v>139</v>
      </c>
      <c r="D47" s="114" t="s">
        <v>140</v>
      </c>
      <c r="E47" s="114" t="s">
        <v>141</v>
      </c>
      <c r="F47" s="114" t="s">
        <v>142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/>
      <c r="U47"/>
      <c r="V47" s="111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92" customFormat="1" x14ac:dyDescent="0.25">
      <c r="A48"/>
      <c r="B48">
        <f>+IFERROR(B24/MAX(B19:B28),0)</f>
        <v>0.33290161892901615</v>
      </c>
      <c r="C48">
        <f t="shared" ref="C48:F48" si="14">+IFERROR(C24/MAX(C19:C28),0)</f>
        <v>1</v>
      </c>
      <c r="D48">
        <f t="shared" si="14"/>
        <v>0.6522415322280245</v>
      </c>
      <c r="E48">
        <f t="shared" si="14"/>
        <v>0.43973716567865984</v>
      </c>
      <c r="F48">
        <f t="shared" si="14"/>
        <v>0.69913234885559794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111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192</v>
      </c>
      <c r="B49" s="111">
        <f>+ B48^AA20</f>
        <v>4.088646239440526E-3</v>
      </c>
      <c r="C49" s="111">
        <f t="shared" ref="C49:F49" si="15">+ C48^AB20</f>
        <v>1</v>
      </c>
      <c r="D49" s="111">
        <f t="shared" si="15"/>
        <v>0.1180435461693328</v>
      </c>
      <c r="E49" s="111">
        <f t="shared" si="15"/>
        <v>0.43973716567865984</v>
      </c>
      <c r="F49" s="111">
        <f t="shared" si="15"/>
        <v>0.16703096377001134</v>
      </c>
      <c r="V49" s="111"/>
    </row>
    <row r="50" spans="1:22" x14ac:dyDescent="0.25">
      <c r="B50" s="114" t="s">
        <v>143</v>
      </c>
      <c r="C50" s="114" t="s">
        <v>144</v>
      </c>
      <c r="D50" s="114" t="s">
        <v>145</v>
      </c>
      <c r="E50" s="114" t="s">
        <v>146</v>
      </c>
      <c r="F50" s="114" t="s">
        <v>147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</row>
    <row r="51" spans="1:22" x14ac:dyDescent="0.25">
      <c r="B51">
        <f>+IFERROR(B25/MAX(B19:B28),0)</f>
        <v>0.42891774891774886</v>
      </c>
      <c r="C51">
        <f t="shared" ref="C51:F51" si="16">+IFERROR(C25/MAX(C19:C28),0)</f>
        <v>0.81904146160172753</v>
      </c>
      <c r="D51">
        <f t="shared" si="16"/>
        <v>0.69897034277170056</v>
      </c>
      <c r="E51">
        <f t="shared" si="16"/>
        <v>0.4041153263133388</v>
      </c>
      <c r="F51">
        <f t="shared" si="16"/>
        <v>0.68252730109204363</v>
      </c>
    </row>
    <row r="52" spans="1:22" x14ac:dyDescent="0.25">
      <c r="A52" t="s">
        <v>192</v>
      </c>
      <c r="B52" s="111">
        <f>+B51^AA20</f>
        <v>1.4516773144608775E-2</v>
      </c>
      <c r="C52" s="111">
        <f t="shared" ref="C52:F52" si="17">+C51^AB20</f>
        <v>0.36857802288971608</v>
      </c>
      <c r="D52" s="111">
        <f t="shared" si="17"/>
        <v>0.16683752761778764</v>
      </c>
      <c r="E52" s="111">
        <f t="shared" si="17"/>
        <v>0.4041153263133388</v>
      </c>
      <c r="F52" s="111">
        <f t="shared" si="17"/>
        <v>0.1481153738879365</v>
      </c>
    </row>
    <row r="53" spans="1:22" x14ac:dyDescent="0.25">
      <c r="B53" s="114" t="s">
        <v>148</v>
      </c>
      <c r="C53" s="114" t="s">
        <v>149</v>
      </c>
      <c r="D53" s="114" t="s">
        <v>150</v>
      </c>
      <c r="E53" s="114" t="s">
        <v>151</v>
      </c>
      <c r="F53" s="114" t="s">
        <v>152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</row>
    <row r="54" spans="1:22" x14ac:dyDescent="0.25">
      <c r="B54">
        <f>+IFERROR(B26/MAX(B19:B28),0)</f>
        <v>0.85694745621351121</v>
      </c>
      <c r="C54">
        <f t="shared" ref="C54:F54" si="18">+IFERROR(C26/MAX(C19:C28),0)</f>
        <v>0.4903397300157693</v>
      </c>
      <c r="D54">
        <f t="shared" si="18"/>
        <v>0.36597277533588346</v>
      </c>
      <c r="E54">
        <f t="shared" si="18"/>
        <v>0.78987573699948266</v>
      </c>
      <c r="F54">
        <f t="shared" si="18"/>
        <v>0.33778213513861655</v>
      </c>
    </row>
    <row r="55" spans="1:22" x14ac:dyDescent="0.25">
      <c r="A55" t="s">
        <v>192</v>
      </c>
      <c r="B55" s="111">
        <f>+B54^AA20</f>
        <v>0.46213724365182002</v>
      </c>
      <c r="C55" s="111">
        <f t="shared" ref="C55:F55" si="19">+C54^AB20</f>
        <v>2.8345584577247569E-2</v>
      </c>
      <c r="D55" s="111">
        <f t="shared" si="19"/>
        <v>6.5651385744933547E-3</v>
      </c>
      <c r="E55" s="111">
        <f t="shared" si="19"/>
        <v>0.78987573699948266</v>
      </c>
      <c r="F55" s="111">
        <f t="shared" si="19"/>
        <v>4.3972725309182198E-3</v>
      </c>
    </row>
    <row r="56" spans="1:22" x14ac:dyDescent="0.25">
      <c r="B56" s="114" t="s">
        <v>153</v>
      </c>
      <c r="C56" s="114" t="s">
        <v>154</v>
      </c>
      <c r="D56" s="114" t="s">
        <v>155</v>
      </c>
      <c r="E56" s="114" t="s">
        <v>156</v>
      </c>
      <c r="F56" s="114" t="s">
        <v>157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</row>
    <row r="57" spans="1:22" x14ac:dyDescent="0.25">
      <c r="B57">
        <f>+IFERROR(B27/MAX(B19:B28),0)</f>
        <v>1</v>
      </c>
      <c r="C57">
        <f t="shared" ref="C57:E57" si="20">+IFERROR(C27/MAX(C19:C28),0)</f>
        <v>0.37083217881222869</v>
      </c>
      <c r="D57">
        <f t="shared" si="20"/>
        <v>0.49489897185502763</v>
      </c>
      <c r="E57">
        <f t="shared" si="20"/>
        <v>0.5221342403146092</v>
      </c>
      <c r="F57">
        <f>+IFERROR(F27/MAX(F19:F28),0)</f>
        <v>0.30031201248049921</v>
      </c>
    </row>
    <row r="58" spans="1:22" x14ac:dyDescent="0.25">
      <c r="A58" t="s">
        <v>192</v>
      </c>
      <c r="B58" s="111">
        <f>+B57^AA20</f>
        <v>1</v>
      </c>
      <c r="C58" s="111">
        <f t="shared" ref="C58:F58" si="21">+C57^AB20</f>
        <v>7.0127291265436893E-3</v>
      </c>
      <c r="D58" s="111">
        <f t="shared" si="21"/>
        <v>2.9688124175970842E-2</v>
      </c>
      <c r="E58" s="111">
        <f t="shared" si="21"/>
        <v>0.5221342403146092</v>
      </c>
      <c r="F58" s="111">
        <f t="shared" si="21"/>
        <v>2.4426628177946687E-3</v>
      </c>
    </row>
    <row r="59" spans="1:22" x14ac:dyDescent="0.25">
      <c r="B59" s="114" t="s">
        <v>158</v>
      </c>
      <c r="C59" s="114" t="s">
        <v>159</v>
      </c>
      <c r="D59" s="114" t="s">
        <v>160</v>
      </c>
      <c r="E59" s="114" t="s">
        <v>161</v>
      </c>
      <c r="F59" s="114" t="s">
        <v>162</v>
      </c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</row>
    <row r="60" spans="1:22" x14ac:dyDescent="0.25">
      <c r="B60">
        <f>+IFERROR(B28/MAX(B19:B28),0)</f>
        <v>0.65800443458980029</v>
      </c>
      <c r="C60">
        <f t="shared" ref="C60:F60" si="22">+IFERROR(C28/MAX(C19:C28),0)</f>
        <v>0.58724687828756927</v>
      </c>
      <c r="D60">
        <f t="shared" si="22"/>
        <v>0.74851645622565555</v>
      </c>
      <c r="E60">
        <f t="shared" si="22"/>
        <v>0.55609419090417722</v>
      </c>
      <c r="F60">
        <f t="shared" si="22"/>
        <v>0.35731136562535676</v>
      </c>
    </row>
    <row r="61" spans="1:22" x14ac:dyDescent="0.25">
      <c r="A61" t="s">
        <v>192</v>
      </c>
      <c r="B61" s="111">
        <f>+B60^AA20</f>
        <v>0.12335140559359395</v>
      </c>
      <c r="C61" s="111">
        <f t="shared" ref="C61:F61" si="23">+C60^AB20</f>
        <v>6.9839896014530237E-2</v>
      </c>
      <c r="D61" s="111">
        <f t="shared" si="23"/>
        <v>0.23496694159588202</v>
      </c>
      <c r="E61" s="111">
        <f t="shared" si="23"/>
        <v>0.55609419090417722</v>
      </c>
      <c r="F61" s="111">
        <f t="shared" si="23"/>
        <v>5.8241714876876858E-3</v>
      </c>
    </row>
    <row r="63" spans="1:22" x14ac:dyDescent="0.25">
      <c r="V63" s="111"/>
    </row>
    <row r="64" spans="1:22" x14ac:dyDescent="0.25">
      <c r="V64" s="111"/>
    </row>
    <row r="65" spans="22:22" x14ac:dyDescent="0.25">
      <c r="V65" s="111"/>
    </row>
    <row r="66" spans="22:22" x14ac:dyDescent="0.25">
      <c r="V66" s="111"/>
    </row>
    <row r="67" spans="22:22" x14ac:dyDescent="0.25">
      <c r="V67" s="111"/>
    </row>
    <row r="68" spans="22:22" x14ac:dyDescent="0.25">
      <c r="V68" s="111"/>
    </row>
    <row r="69" spans="22:22" x14ac:dyDescent="0.25">
      <c r="V69" s="111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3"/>
  <sheetViews>
    <sheetView topLeftCell="A13" workbookViewId="0">
      <selection activeCell="M27" sqref="M27"/>
    </sheetView>
  </sheetViews>
  <sheetFormatPr defaultRowHeight="15" x14ac:dyDescent="0.25"/>
  <cols>
    <col min="1" max="2" width="2.85546875" style="1" customWidth="1"/>
    <col min="3" max="3" width="30.5703125" style="3" customWidth="1"/>
    <col min="4" max="21" width="8.42578125" style="3" customWidth="1"/>
    <col min="22" max="22" width="11" style="2" customWidth="1"/>
    <col min="23" max="26" width="10" style="3" customWidth="1"/>
    <col min="27" max="27" width="25.28515625" style="3" customWidth="1"/>
    <col min="28" max="28" width="9.140625" style="3" customWidth="1"/>
    <col min="29" max="32" width="9.140625" style="3"/>
    <col min="33" max="45" width="9.140625" style="103"/>
    <col min="46" max="16384" width="9.140625" style="3"/>
  </cols>
  <sheetData>
    <row r="1" spans="1:26" ht="64.5" thickBot="1" x14ac:dyDescent="0.3">
      <c r="A1" s="3"/>
      <c r="B1" s="3"/>
      <c r="C1" s="81"/>
      <c r="D1" s="131" t="s">
        <v>2</v>
      </c>
      <c r="E1" s="132" t="s">
        <v>3</v>
      </c>
      <c r="F1" s="133" t="s">
        <v>4</v>
      </c>
      <c r="G1" s="134" t="s">
        <v>5</v>
      </c>
      <c r="H1" s="136" t="s">
        <v>6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74"/>
      <c r="W1" s="75"/>
      <c r="X1" s="75"/>
      <c r="Y1" s="75"/>
      <c r="Z1" s="75"/>
    </row>
    <row r="2" spans="1:26" x14ac:dyDescent="0.25">
      <c r="A2" s="3"/>
      <c r="B2" s="3"/>
      <c r="C2" s="72" t="s">
        <v>82</v>
      </c>
      <c r="D2"/>
      <c r="E2"/>
      <c r="F2"/>
      <c r="G2"/>
      <c r="H2"/>
      <c r="V2" s="71"/>
      <c r="W2" s="75"/>
      <c r="X2" s="75"/>
      <c r="Y2" s="75"/>
      <c r="Z2" s="75"/>
    </row>
    <row r="3" spans="1:26" x14ac:dyDescent="0.25">
      <c r="A3" s="3"/>
      <c r="B3" s="3"/>
      <c r="C3" s="73" t="s">
        <v>25</v>
      </c>
      <c r="D3" s="155">
        <f>+AHP_nivel_0!D179</f>
        <v>0.63210651391127737</v>
      </c>
      <c r="E3" s="155">
        <f>+AHP_nivel_0!E179</f>
        <v>0.53333987111264036</v>
      </c>
      <c r="F3" s="155">
        <f>+AHP_nivel_0!F179</f>
        <v>2.4296594128464726</v>
      </c>
      <c r="G3" s="155">
        <f>+AHP_nivel_0!G179</f>
        <v>0.63210651391127737</v>
      </c>
      <c r="H3" s="155">
        <f>+AHP_nivel_0!H179</f>
        <v>1.185199713583645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75"/>
      <c r="Y3" s="75"/>
      <c r="Z3" s="75"/>
    </row>
    <row r="4" spans="1:26" x14ac:dyDescent="0.25">
      <c r="A4" s="3"/>
      <c r="B4" s="3"/>
      <c r="C4" s="76" t="s">
        <v>44</v>
      </c>
      <c r="D4" s="155">
        <f>+AHP_nivel_0!D180</f>
        <v>0.96650214738666307</v>
      </c>
      <c r="E4" s="155">
        <f>+AHP_nivel_0!E180</f>
        <v>0.19330042947733261</v>
      </c>
      <c r="F4" s="155">
        <f>+AHP_nivel_0!F180</f>
        <v>1.2081276842333291</v>
      </c>
      <c r="G4" s="155">
        <f>+AHP_nivel_0!G180</f>
        <v>0.62822639580133111</v>
      </c>
      <c r="H4" s="155">
        <f>+AHP_nivel_0!H180</f>
        <v>2.4162553684666577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5"/>
      <c r="Y4" s="75"/>
      <c r="Z4" s="75"/>
    </row>
    <row r="5" spans="1:26" x14ac:dyDescent="0.25">
      <c r="A5" s="3"/>
      <c r="B5" s="3"/>
      <c r="C5" s="77" t="s">
        <v>49</v>
      </c>
      <c r="D5" s="155">
        <f>+AHP_nivel_0!D181</f>
        <v>0.92407034579407787</v>
      </c>
      <c r="E5" s="155">
        <f>+AHP_nivel_0!E181</f>
        <v>0.33002512349788493</v>
      </c>
      <c r="F5" s="155">
        <f>+AHP_nivel_0!F181</f>
        <v>0.85806532109450095</v>
      </c>
      <c r="G5" s="155">
        <f>+AHP_nivel_0!G181</f>
        <v>1.5841205927898476</v>
      </c>
      <c r="H5" s="155">
        <f>+AHP_nivel_0!H181</f>
        <v>1.7161306421890019</v>
      </c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75"/>
      <c r="Y5" s="75"/>
      <c r="Z5" s="75"/>
    </row>
    <row r="6" spans="1:26" x14ac:dyDescent="0.25">
      <c r="A6" s="3"/>
      <c r="B6" s="3"/>
      <c r="C6" s="78" t="s">
        <v>53</v>
      </c>
      <c r="D6" s="155">
        <f>+AHP_nivel_0!D182</f>
        <v>0.66105795729652672</v>
      </c>
      <c r="E6" s="155">
        <f>+AHP_nivel_0!E182</f>
        <v>0.33052897864826342</v>
      </c>
      <c r="F6" s="155">
        <f>+AHP_nivel_0!F182</f>
        <v>1.3221159145930537</v>
      </c>
      <c r="G6" s="155">
        <f>+AHP_nivel_0!G182</f>
        <v>1.6939610155723499</v>
      </c>
      <c r="H6" s="155">
        <f>+AHP_nivel_0!H182</f>
        <v>1.4047481592551194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75"/>
      <c r="Y6" s="75"/>
      <c r="Z6" s="75"/>
    </row>
    <row r="7" spans="1:26" x14ac:dyDescent="0.25">
      <c r="A7" s="3"/>
      <c r="B7" s="3"/>
      <c r="C7" s="78" t="s">
        <v>58</v>
      </c>
      <c r="D7" s="155">
        <f>+AHP_nivel_0!D183</f>
        <v>0.15464034358186612</v>
      </c>
      <c r="E7" s="155">
        <f>+AHP_nivel_0!E183</f>
        <v>1.0824824050730628</v>
      </c>
      <c r="F7" s="155">
        <f>+AHP_nivel_0!F183</f>
        <v>1.4433098734307503</v>
      </c>
      <c r="G7" s="155">
        <f>+AHP_nivel_0!G183</f>
        <v>1.1340291862670182</v>
      </c>
      <c r="H7" s="155">
        <f>+AHP_nivel_0!H183</f>
        <v>1.5979502170126165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5"/>
      <c r="X7" s="75"/>
      <c r="Y7" s="75"/>
      <c r="Z7" s="75"/>
    </row>
    <row r="8" spans="1:26" x14ac:dyDescent="0.25">
      <c r="A8" s="3"/>
      <c r="B8" s="3"/>
      <c r="C8" s="79" t="s">
        <v>63</v>
      </c>
      <c r="D8" s="155">
        <f>+AHP_nivel_0!D184</f>
        <v>0.7414263048445634</v>
      </c>
      <c r="E8" s="155">
        <f>+AHP_nivel_0!E184</f>
        <v>1.779423131626952</v>
      </c>
      <c r="F8" s="155">
        <f>+AHP_nivel_0!F184</f>
        <v>1.2604247182357575</v>
      </c>
      <c r="G8" s="155">
        <f>+AHP_nivel_0!G184</f>
        <v>0.222427891453369</v>
      </c>
      <c r="H8" s="155">
        <f>+AHP_nivel_0!H184</f>
        <v>1.4087099792046704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5"/>
      <c r="X8" s="75"/>
      <c r="Y8" s="75"/>
      <c r="Z8" s="75"/>
    </row>
    <row r="9" spans="1:26" x14ac:dyDescent="0.25">
      <c r="A9" s="3"/>
      <c r="B9" s="3"/>
      <c r="C9" s="78" t="s">
        <v>66</v>
      </c>
      <c r="D9" s="155">
        <f>+AHP_nivel_0!D185</f>
        <v>1.22423605335644</v>
      </c>
      <c r="E9" s="155">
        <f>+AHP_nivel_0!E185</f>
        <v>1.2886695298488839</v>
      </c>
      <c r="F9" s="155">
        <f>+AHP_nivel_0!F185</f>
        <v>1.4175364828337726</v>
      </c>
      <c r="G9" s="155">
        <f>+AHP_nivel_0!G185</f>
        <v>0.1288669529848884</v>
      </c>
      <c r="H9" s="155">
        <f>+AHP_nivel_0!H185</f>
        <v>1.3531030063413281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  <c r="X9" s="75"/>
      <c r="Y9" s="75"/>
      <c r="Z9" s="75"/>
    </row>
    <row r="10" spans="1:26" ht="28.5" x14ac:dyDescent="0.25">
      <c r="A10" s="3"/>
      <c r="B10" s="3"/>
      <c r="C10" s="78" t="s">
        <v>69</v>
      </c>
      <c r="D10" s="155">
        <f>+AHP_nivel_0!D186</f>
        <v>3.3765506213288194</v>
      </c>
      <c r="E10" s="155">
        <f>+AHP_nivel_0!E186</f>
        <v>0.39724124956809642</v>
      </c>
      <c r="F10" s="155">
        <f>+AHP_nivel_0!F186</f>
        <v>0.29793093717607239</v>
      </c>
      <c r="G10" s="155">
        <f>+AHP_nivel_0!G186</f>
        <v>1.142068592508277</v>
      </c>
      <c r="H10" s="155">
        <f>+AHP_nivel_0!H186</f>
        <v>0.19862062478404821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5"/>
      <c r="X10" s="75"/>
      <c r="Y10" s="75"/>
      <c r="Z10" s="75"/>
    </row>
    <row r="11" spans="1:26" x14ac:dyDescent="0.25">
      <c r="A11" s="3"/>
      <c r="B11" s="3"/>
      <c r="C11" s="78" t="s">
        <v>74</v>
      </c>
      <c r="D11" s="155">
        <f>+AHP_nivel_0!D187</f>
        <v>4.095879370546724</v>
      </c>
      <c r="E11" s="155">
        <f>+AHP_nivel_0!E187</f>
        <v>7.3140703045477207E-2</v>
      </c>
      <c r="F11" s="155">
        <f>+AHP_nivel_0!F187</f>
        <v>0.73140703045477207</v>
      </c>
      <c r="G11" s="155">
        <f>+AHP_nivel_0!G187</f>
        <v>0.43884421827286324</v>
      </c>
      <c r="H11" s="155">
        <f>+AHP_nivel_0!H187</f>
        <v>7.3140703045477207E-2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5"/>
      <c r="X11" s="75"/>
      <c r="Y11" s="75"/>
      <c r="Z11" s="75"/>
    </row>
    <row r="12" spans="1:26" x14ac:dyDescent="0.25">
      <c r="A12" s="3"/>
      <c r="B12" s="3"/>
      <c r="C12" s="80" t="s">
        <v>79</v>
      </c>
      <c r="D12" s="155">
        <f>+AHP_nivel_0!D188</f>
        <v>2.3761808891847718</v>
      </c>
      <c r="E12" s="155">
        <f>+AHP_nivel_0!E188</f>
        <v>0.66005024699576997</v>
      </c>
      <c r="F12" s="155">
        <f>+AHP_nivel_0!F188</f>
        <v>1.5841205927898476</v>
      </c>
      <c r="G12" s="155">
        <f>+AHP_nivel_0!G188</f>
        <v>0.52804019759661591</v>
      </c>
      <c r="H12" s="155">
        <f>+AHP_nivel_0!H188</f>
        <v>0.26402009879830796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5"/>
      <c r="Y12" s="75"/>
      <c r="Z12" s="75"/>
    </row>
    <row r="13" spans="1:26" x14ac:dyDescent="0.25">
      <c r="A13" s="3"/>
      <c r="B13" s="3"/>
      <c r="C13" s="81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74"/>
      <c r="W13" s="75"/>
      <c r="X13" s="75"/>
      <c r="Y13" s="75"/>
      <c r="Z13" s="75"/>
    </row>
    <row r="14" spans="1:26" x14ac:dyDescent="0.25">
      <c r="A14" s="3"/>
      <c r="B14" s="3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139"/>
      <c r="W14" s="75"/>
      <c r="X14" s="75"/>
      <c r="Y14" s="75"/>
      <c r="Z14" s="75"/>
    </row>
    <row r="15" spans="1:26" ht="28.5" x14ac:dyDescent="0.25">
      <c r="A15" s="3"/>
      <c r="B15" s="3"/>
      <c r="C15" s="72" t="s">
        <v>163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139"/>
      <c r="W15" s="75"/>
      <c r="X15" s="75"/>
      <c r="Y15" s="75"/>
      <c r="Z15" s="75"/>
    </row>
    <row r="16" spans="1:26" x14ac:dyDescent="0.25">
      <c r="A16" s="3"/>
      <c r="B16" s="3"/>
      <c r="C16" s="73" t="s">
        <v>25</v>
      </c>
      <c r="D16" s="74">
        <f>+D3/((D3^2)+(D4^2)+(D5^2)+(D6^2)+(D8^2)+(D9^2)+(D10^2)+(D11^2)+(D12^2)+(D7^2))^0.5</f>
        <v>0.1018460423405185</v>
      </c>
      <c r="E16" s="74">
        <f>+E3/((E3^2)+(E4^2)+(E6^2)+(E9^2)+(E10^2)+(E11^2)+(E12^2)+(E5^2)+(E7^2)+(E8^2))^0.5</f>
        <v>0.19963122287247351</v>
      </c>
      <c r="F16" s="74">
        <f>+F3/((F3^2)+(F4^2)+(F5^2)+(F6^2)+(F7^2)+(F8^2)+(F9^2)+(F10^2)+(F11^2)+(F12^2))^0.5</f>
        <v>0.5624352553134595</v>
      </c>
      <c r="G16" s="74">
        <f>+G3/((G3^2)+(G4^2)+(G5^2)+(G6^2)+(G7^2)+(G8^2)+(G9^2)+(G10^2)+(G11^2)+(G12^2))^0.5</f>
        <v>0.20726471003258215</v>
      </c>
      <c r="H16" s="74">
        <f>+H3/((H3^2)+(H6^2)+(H7^2)+(H8^2)+(H9^2)+(H10^2)+(H12^2)+(H4^2)+(H5^2)+(H11^2))^0.5</f>
        <v>0.2744818849927651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139"/>
      <c r="W16" s="75"/>
      <c r="X16" s="75"/>
      <c r="Y16" s="75"/>
      <c r="Z16" s="75"/>
    </row>
    <row r="17" spans="1:45" x14ac:dyDescent="0.25">
      <c r="A17" s="3"/>
      <c r="B17" s="3"/>
      <c r="C17" s="76" t="s">
        <v>44</v>
      </c>
      <c r="D17" s="74">
        <f>+D4/((D3^2)+(D4^2)+(D5^2)+(D6^2)+(D8^2)+(D9^2)+(D10^2)+(D11^2)+(D12^2)+(D7^2))^0.5</f>
        <v>0.15572441741798032</v>
      </c>
      <c r="E17" s="74">
        <f>+E4/((E3^2)+(E4^2)+(E6^2)+(E9^2)+(E10^2)+(E11^2)+(E12^2)+(E5^2)+(E7^2)+(E8^2))^0.5</f>
        <v>7.2353115168065793E-2</v>
      </c>
      <c r="F17" s="74">
        <f>+F4/((F3^2)+(F4^2)+(F5^2)+(F6^2)+(F7^2)+(F8^2)+(F9^2)+(F10^2)+(F11^2)+(F12^2))^0.5</f>
        <v>0.27966619475153881</v>
      </c>
      <c r="G17" s="74">
        <f>+G4/((G3^2)+(G4^2)+(G5^2)+(G6^2)+(G7^2)+(G8^2)+(G9^2)+(G10^2)+(G11^2)+(G12^2))^0.5</f>
        <v>0.20599243781698043</v>
      </c>
      <c r="H17" s="74">
        <f>+H4/((H3^2)+(H6^2)+(H7^2)+(H8^2)+(H9^2)+(H10^2)+(H12^2)+(H4^2)+(H5^2)+(H11^2))^0.5</f>
        <v>0.55958360482155989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139"/>
      <c r="W17" s="75"/>
      <c r="X17" s="75"/>
      <c r="Y17" s="75"/>
      <c r="Z17" s="75"/>
    </row>
    <row r="18" spans="1:45" x14ac:dyDescent="0.25">
      <c r="A18" s="3"/>
      <c r="B18" s="3"/>
      <c r="C18" s="77" t="s">
        <v>49</v>
      </c>
      <c r="D18" s="74">
        <f>+D5/((D3^2)+(D4^2)+(D5^2)+(D6^2)+(D8^2)+(D9^2)+(D10^2)+(D11^2)+(D12^2)+(D7^2))^0.5</f>
        <v>0.14888773567767877</v>
      </c>
      <c r="E18" s="74">
        <f>+E5/((E3^2)+(E4^2)+(E6^2)+(E9^2)+(E10^2)+(E11^2)+(E12^2)+(E5^2)+(E7^2)+(E8^2))^0.5</f>
        <v>0.12352970882352696</v>
      </c>
      <c r="F18" s="74">
        <f>+F5/((F3^2)+(F4^2)+(F5^2)+(F6^2)+(F7^2)+(F8^2)+(F9^2)+(F10^2)+(F11^2)+(F12^2))^0.5</f>
        <v>0.19863120954060509</v>
      </c>
      <c r="G18" s="74">
        <f>+G5/((G3^2)+(G4^2)+(G5^2)+(G6^2)+(G7^2)+(G8^2)+(G9^2)+(G10^2)+(G11^2)+(G12^2))^0.5</f>
        <v>0.51942558428897112</v>
      </c>
      <c r="H18" s="74">
        <f>+H5/((H3^2)+(H6^2)+(H7^2)+(H8^2)+(H9^2)+(H10^2)+(H12^2)+(H4^2)+(H5^2)+(H11^2))^0.5</f>
        <v>0.39744084322936163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139"/>
      <c r="W18" s="75"/>
      <c r="X18" s="75"/>
      <c r="Y18" s="75"/>
      <c r="Z18" s="75"/>
    </row>
    <row r="19" spans="1:45" x14ac:dyDescent="0.25">
      <c r="A19" s="3"/>
      <c r="B19" s="3"/>
      <c r="C19" s="78" t="s">
        <v>53</v>
      </c>
      <c r="D19" s="74">
        <f>+D6/((D3^2)+(D4^2)+(D5^2)+(D6^2)+(D8^2)+(D9^2)+(D10^2)+(D11^2)+(D12^2)+(D7^2))^0.5</f>
        <v>0.10651074656985524</v>
      </c>
      <c r="E19" s="74">
        <f>+E6/((E3^2)+(E4^2)+(E6^2)+(E9^2)+(E10^2)+(E11^2)+(E12^2)+(E5^2)+(E7^2)+(E8^2))^0.5</f>
        <v>0.12371830379883006</v>
      </c>
      <c r="F19" s="74">
        <f>+F6/((F3^2)+(F4^2)+(F5^2)+(F6^2)+(F7^2)+(F8^2)+(F9^2)+(F10^2)+(F11^2)+(F12^2))^0.5</f>
        <v>0.3060530204548137</v>
      </c>
      <c r="G19" s="74">
        <f>+G6/((G3^2)+(G4^2)+(G5^2)+(G6^2)+(G7^2)+(G8^2)+(G9^2)+(G10^2)+(G11^2)+(G12^2))^0.5</f>
        <v>0.55544173485353721</v>
      </c>
      <c r="H19" s="74">
        <f>+H6/((H3^2)+(H6^2)+(H7^2)+(H8^2)+(H9^2)+(H10^2)+(H12^2)+(H4^2)+(H5^2)+(H11^2))^0.5</f>
        <v>0.32532738429931296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139"/>
      <c r="W19" s="75"/>
      <c r="X19" s="75"/>
      <c r="Y19" s="75"/>
      <c r="Z19" s="75"/>
    </row>
    <row r="20" spans="1:45" x14ac:dyDescent="0.25">
      <c r="A20" s="3"/>
      <c r="B20" s="3"/>
      <c r="C20" s="78" t="s">
        <v>58</v>
      </c>
      <c r="D20" s="74">
        <f>+D7/((D3^2)+(D4^2)+(D5^2)+(D6^2)+(D8^2)+(D9^2)+(D10^2)+(D11^2)+(D12^2)+(D7^2))^0.5</f>
        <v>2.4915906786876857E-2</v>
      </c>
      <c r="E20" s="74">
        <f>+E7/((E3^2)+(E4^2)+(E6^2)+(E9^2)+(E10^2)+(E11^2)+(E12^2)+(E5^2)+(E7^2)+(E8^2))^0.5</f>
        <v>0.40517744494116847</v>
      </c>
      <c r="F20" s="74">
        <f>+F7/((F3^2)+(F4^2)+(F5^2)+(F6^2)+(F7^2)+(F8^2)+(F9^2)+(F10^2)+(F11^2)+(F12^2))^0.5</f>
        <v>0.33410788066317165</v>
      </c>
      <c r="G20" s="74">
        <f>+G7/((G3^2)+(G4^2)+(G5^2)+(G6^2)+(G7^2)+(G8^2)+(G9^2)+(G10^2)+(G11^2)+(G12^2))^0.5</f>
        <v>0.37184275954654927</v>
      </c>
      <c r="H20" s="74">
        <f>+H7/((H3^2)+(H6^2)+(H7^2)+(H8^2)+(H9^2)+(H10^2)+(H12^2)+(H4^2)+(H5^2)+(H11^2))^0.5</f>
        <v>0.37007129065532501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139"/>
      <c r="W20" s="75"/>
      <c r="X20" s="75"/>
      <c r="Y20" s="75"/>
      <c r="Z20" s="75"/>
    </row>
    <row r="21" spans="1:45" x14ac:dyDescent="0.25">
      <c r="A21" s="3"/>
      <c r="B21" s="3"/>
      <c r="C21" s="79" t="s">
        <v>63</v>
      </c>
      <c r="D21" s="74">
        <f>+D8/((D3^2)+(D4^2)+(D5^2)+(D6^2)+(D8^2)+(D9^2)+(D10^2)+(D11^2)+(D12^2)+(D7^2))^0.5</f>
        <v>0.11945982706036846</v>
      </c>
      <c r="E21" s="74">
        <f>+E8/((E3^2)+(E4^2)+(E6^2)+(E9^2)+(E10^2)+(E11^2)+(E12^2)+(E5^2)+(E7^2)+(E8^2))^0.5</f>
        <v>0.66604511497178365</v>
      </c>
      <c r="F21" s="74">
        <f>+F8/((F3^2)+(F4^2)+(F5^2)+(F6^2)+(F7^2)+(F8^2)+(F9^2)+(F10^2)+(F11^2)+(F12^2))^0.5</f>
        <v>0.29177229304489294</v>
      </c>
      <c r="G21" s="74">
        <f>+G8/((G3^2)+(G4^2)+(G5^2)+(G6^2)+(G7^2)+(G8^2)+(G9^2)+(G10^2)+(G11^2)+(G12^2))^0.5</f>
        <v>7.2933044369341823E-2</v>
      </c>
      <c r="H21" s="74">
        <f>+H8/((H3^2)+(H6^2)+(H7^2)+(H8^2)+(H9^2)+(H10^2)+(H12^2)+(H4^2)+(H5^2)+(H11^2))^0.5</f>
        <v>0.32624490713980259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139"/>
      <c r="W21" s="75"/>
      <c r="X21" s="75"/>
      <c r="Y21" s="75"/>
      <c r="Z21" s="75"/>
    </row>
    <row r="22" spans="1:45" x14ac:dyDescent="0.25">
      <c r="A22" s="3"/>
      <c r="B22" s="3"/>
      <c r="C22" s="78" t="s">
        <v>66</v>
      </c>
      <c r="D22" s="74">
        <f>+D9/((D3^2)+(D4^2)+(D5^2)+(D6^2)+(D8^2)+(D9^2)+(D10^2)+(D11^2)+(D12^2)+(D7^2))^0.5</f>
        <v>0.19725092872944178</v>
      </c>
      <c r="E22" s="74">
        <f>+E9/((E3^2)+(E4^2)+(E6^2)+(E9^2)+(E10^2)+(E11^2)+(E12^2)+(E5^2)+(E7^2)+(E8^2))^0.5</f>
        <v>0.48235410112043853</v>
      </c>
      <c r="F22" s="74">
        <f>+F9/((F3^2)+(F4^2)+(F5^2)+(F6^2)+(F7^2)+(F8^2)+(F9^2)+(F10^2)+(F11^2)+(F12^2))^0.5</f>
        <v>0.32814166850847215</v>
      </c>
      <c r="G22" s="185">
        <f>+G9/((G3^2)+(G4^2)+(G5^2)+(G6^2)+(G7^2)+(G8^2)+(G9^2)+(G10^2)+(G11^2)+(G12^2))^0.5</f>
        <v>4.2254859039380588E-2</v>
      </c>
      <c r="H22" s="74">
        <f>+H9/((H3^2)+(H6^2)+(H7^2)+(H8^2)+(H9^2)+(H10^2)+(H12^2)+(H4^2)+(H5^2)+(H11^2))^0.5</f>
        <v>0.31336681870007349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139"/>
      <c r="W22" s="75"/>
      <c r="X22" s="75"/>
      <c r="Y22" s="75"/>
      <c r="Z22" s="75"/>
    </row>
    <row r="23" spans="1:45" ht="28.5" x14ac:dyDescent="0.25">
      <c r="A23" s="3"/>
      <c r="B23" s="3"/>
      <c r="C23" s="78" t="s">
        <v>69</v>
      </c>
      <c r="D23" s="74">
        <f>+D10/((D3^2)+(D4^2)+(D5^2)+(D6^2)+(D8^2)+(D9^2)+(D10^2)+(D11^2)+(D12^2)+(D7^2))^0.5</f>
        <v>0.54403539589694416</v>
      </c>
      <c r="E23" s="74">
        <f>+E10/((E3^2)+(E4^2)+(E6^2)+(E9^2)+(E10^2)+(E11^2)+(E12^2)+(E5^2)+(E7^2)+(E8^2))^0.5</f>
        <v>0.14868897062061229</v>
      </c>
      <c r="F23" s="74">
        <f>+F10/((F3^2)+(F4^2)+(F5^2)+(F6^2)+(F7^2)+(F8^2)+(F9^2)+(F10^2)+(F11^2)+(F12^2))^0.5</f>
        <v>6.8967223072673056E-2</v>
      </c>
      <c r="G23" s="74">
        <f>+G10/((G3^2)+(G4^2)+(G5^2)+(G6^2)+(G7^2)+(G8^2)+(G9^2)+(G10^2)+(G11^2)+(G12^2))^0.5</f>
        <v>0.37447884249579494</v>
      </c>
      <c r="H23" s="74">
        <f>+H10/((H3^2)+(H6^2)+(H7^2)+(H8^2)+(H9^2)+(H10^2)+(H12^2)+(H4^2)+(H5^2)+(H11^2))^0.5</f>
        <v>4.5998799075240161E-2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139"/>
      <c r="W23" s="75"/>
      <c r="X23" s="75"/>
      <c r="Y23" s="75"/>
      <c r="Z23" s="75"/>
    </row>
    <row r="24" spans="1:45" x14ac:dyDescent="0.25">
      <c r="A24" s="3"/>
      <c r="B24" s="3"/>
      <c r="C24" s="78" t="s">
        <v>74</v>
      </c>
      <c r="D24" s="74">
        <f>+D11/((D3^2)+(D4^2)+(D5^2)+(D6^2)+(D8^2)+(D9^2)+(D10^2)+(D11^2)+(D12^2)+(D7^2))^0.5</f>
        <v>0.65993482840917073</v>
      </c>
      <c r="E24" s="74">
        <f>+E11/((E3^2)+(E4^2)+(E6^2)+(E9^2)+(E10^2)+(E11^2)+(E12^2)+(E5^2)+(E7^2)+(E8^2))^0.5</f>
        <v>2.7376854387916785E-2</v>
      </c>
      <c r="F24" s="74">
        <f>+F11/((F3^2)+(F4^2)+(F5^2)+(F6^2)+(F7^2)+(F8^2)+(F9^2)+(F10^2)+(F11^2)+(F12^2))^0.5</f>
        <v>0.16931142601174237</v>
      </c>
      <c r="G24" s="74">
        <f>+G11/((G3^2)+(G4^2)+(G5^2)+(G6^2)+(G7^2)+(G8^2)+(G9^2)+(G10^2)+(G11^2)+(G12^2))^0.5</f>
        <v>0.14389492537735013</v>
      </c>
      <c r="H24" s="74">
        <f>+H11/((H3^2)+(H6^2)+(H7^2)+(H8^2)+(H9^2)+(H10^2)+(H12^2)+(H4^2)+(H5^2)+(H11^2))^0.5</f>
        <v>1.6938746956760734E-2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139"/>
      <c r="W24" s="75"/>
      <c r="X24" s="75"/>
      <c r="Y24" s="75"/>
      <c r="Z24" s="75"/>
    </row>
    <row r="25" spans="1:45" ht="15.75" thickBot="1" x14ac:dyDescent="0.3">
      <c r="A25" s="3"/>
      <c r="B25" s="3"/>
      <c r="C25" s="80" t="s">
        <v>79</v>
      </c>
      <c r="D25" s="74">
        <f>+D12/((D3^2)+(D4^2)+(D5^2)+(D6^2)+(D8^2)+(D9^2)+(D10^2)+(D11^2)+(D12^2)+(D7^2))^0.5</f>
        <v>0.38285417745688821</v>
      </c>
      <c r="E25" s="74">
        <f>+E12/((E3^2)+(E4^2)+(E6^2)+(E9^2)+(E10^2)+(E11^2)+(E12^2)+(E5^2)+(E7^2)+(E8^2))^0.5</f>
        <v>0.24705941764705394</v>
      </c>
      <c r="F25" s="74">
        <f>+F12/((F3^2)+(F4^2)+(F5^2)+(F6^2)+(F7^2)+(F8^2)+(F9^2)+(F10^2)+(F11^2)+(F12^2))^0.5</f>
        <v>0.36670377145957855</v>
      </c>
      <c r="G25" s="74">
        <f>+G12/((G3^2)+(G4^2)+(G5^2)+(G6^2)+(G7^2)+(G8^2)+(G9^2)+(G10^2)+(G11^2)+(G12^2))^0.5</f>
        <v>0.17314186142965707</v>
      </c>
      <c r="H25" s="74">
        <f>+H12/((H3^2)+(H6^2)+(H7^2)+(H8^2)+(H9^2)+(H10^2)+(H12^2)+(H4^2)+(H5^2)+(H11^2))^0.5</f>
        <v>6.1144745112209471E-2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139"/>
      <c r="X25" s="75"/>
      <c r="Y25" s="75"/>
      <c r="Z25" s="75"/>
    </row>
    <row r="26" spans="1:45" ht="15.75" customHeight="1" thickBot="1" x14ac:dyDescent="0.3">
      <c r="A26" s="3"/>
      <c r="B26" s="3"/>
      <c r="C26" s="81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140" t="s">
        <v>164</v>
      </c>
      <c r="W26" s="141" t="s">
        <v>165</v>
      </c>
      <c r="X26" s="141" t="s">
        <v>166</v>
      </c>
      <c r="Y26" s="141" t="s">
        <v>89</v>
      </c>
      <c r="Z26" s="141"/>
      <c r="AB26" s="131" t="s">
        <v>2</v>
      </c>
      <c r="AC26" s="132" t="s">
        <v>3</v>
      </c>
      <c r="AD26" s="133" t="s">
        <v>4</v>
      </c>
      <c r="AE26" s="134" t="s">
        <v>5</v>
      </c>
      <c r="AF26" s="136" t="s">
        <v>6</v>
      </c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</row>
    <row r="27" spans="1:45" x14ac:dyDescent="0.25">
      <c r="A27" s="3"/>
      <c r="B27" s="3"/>
      <c r="C27" s="73" t="s">
        <v>25</v>
      </c>
      <c r="D27" s="142">
        <f>+D16*$AB$27</f>
        <v>2.1509884142317508E-2</v>
      </c>
      <c r="E27" s="142">
        <f t="shared" ref="E27:E36" si="0">+E16*$AC$27</f>
        <v>3.9207572172153794E-2</v>
      </c>
      <c r="F27" s="142">
        <f>+F16*$AD$27</f>
        <v>9.8144952052198683E-2</v>
      </c>
      <c r="G27" s="142">
        <f>+G16*$AE$27</f>
        <v>4.2841615563734732E-2</v>
      </c>
      <c r="H27" s="142">
        <f>+H16*$AF$27</f>
        <v>5.797057411047199E-2</v>
      </c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1">
        <f t="shared" ref="V27:V36" si="1">+((D27-$D$40)^2+(E27-$E$40)^2+(F27-$F$40)^2+(G27-$G$40)^2+(H27-$H$40)^2+(I27-$I$40)^2+(J27-$J$40)^2+(K27-$K$40)^2+(L27-$L$40)^2+(M27-$M$40)^2+(N27-$N$40)^2+(O27-$O$40)^2+(P27-$P$40)^2+(Q27-$Q$40)^2+(R27-$R$40)^2+(S27-$S$40)^2+(T27-$T$40)^2+(U27-$U$40)^2)^0.5</f>
        <v>0.16301645523826741</v>
      </c>
      <c r="W27" s="191">
        <f t="shared" ref="W27:W36" si="2">+((D27-$D$39)^2+(E27-$E$39)^2+(F27-$F$39)^2+(G27-$G$39)^2+(H27-$H$39)^2+(I27-$I$39)^2+(J27-$J$39)^2+(K27-$K$39)^2+(L27-$L$39)^2+(M27-$M$39)^2+(N27-$N$39)^2+(O27-$O$39)^2+(P27-$P$39)^2+(Q27-$Q$39)^2+(R27-$R$39)^2+(S27-$S$39)^2+(T27-$T$39)^2+(U27-$U$39)^2)^0.5</f>
        <v>0.13213745028804119</v>
      </c>
      <c r="X27" s="141">
        <f>+W27/(W27+V27)</f>
        <v>0.44768999431811041</v>
      </c>
      <c r="Y27" s="143">
        <f>+RANK(X27,$X$27:$X$36)</f>
        <v>6</v>
      </c>
      <c r="Z27" s="143">
        <f>+X27/MAX($X$27:$X$36)*100</f>
        <v>49.818420991237986</v>
      </c>
      <c r="AA27" s="3" t="s">
        <v>100</v>
      </c>
      <c r="AB27" s="88">
        <v>0.2112</v>
      </c>
      <c r="AC27" s="89">
        <v>0.19639999999999999</v>
      </c>
      <c r="AD27" s="90">
        <v>0.17449999999999999</v>
      </c>
      <c r="AE27" s="91">
        <v>0.20669999999999999</v>
      </c>
      <c r="AF27" s="91">
        <v>0.2112</v>
      </c>
    </row>
    <row r="28" spans="1:45" x14ac:dyDescent="0.25">
      <c r="A28" s="3"/>
      <c r="B28" s="3"/>
      <c r="C28" s="76" t="s">
        <v>44</v>
      </c>
      <c r="D28" s="142">
        <f>+D17*$AB$27</f>
        <v>3.2888996958677447E-2</v>
      </c>
      <c r="E28" s="142">
        <f t="shared" si="0"/>
        <v>1.4210151819008121E-2</v>
      </c>
      <c r="F28" s="142">
        <f t="shared" ref="F28:F36" si="3">+F17*$AD$27</f>
        <v>4.8801750984143522E-2</v>
      </c>
      <c r="G28" s="142">
        <f t="shared" ref="G28:G36" si="4">+G17*$AE$27</f>
        <v>4.2578636896769856E-2</v>
      </c>
      <c r="H28" s="142">
        <f t="shared" ref="H28:H36" si="5">+H17*$AF$27</f>
        <v>0.11818405733831344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1">
        <f t="shared" si="1"/>
        <v>0.16446860313300427</v>
      </c>
      <c r="W28" s="191">
        <f t="shared" si="2"/>
        <v>0.14836155047331373</v>
      </c>
      <c r="X28" s="141">
        <f t="shared" ref="X28:X36" si="6">+W28/(W28+V28)</f>
        <v>0.47425591415340274</v>
      </c>
      <c r="Y28" s="143">
        <f t="shared" ref="Y28:Y36" si="7">+RANK(X28,$X$27:$X$36)</f>
        <v>4</v>
      </c>
      <c r="Z28" s="143">
        <f t="shared" ref="Z28:Z36" si="8">+X28/MAX($X$27:$X$36)*100</f>
        <v>52.774645600166068</v>
      </c>
    </row>
    <row r="29" spans="1:45" x14ac:dyDescent="0.25">
      <c r="A29" s="3"/>
      <c r="B29" s="3"/>
      <c r="C29" s="77" t="s">
        <v>49</v>
      </c>
      <c r="D29" s="142">
        <f>+D18*$AB$27</f>
        <v>3.1445089775125758E-2</v>
      </c>
      <c r="E29" s="142">
        <f t="shared" si="0"/>
        <v>2.4261234812940694E-2</v>
      </c>
      <c r="F29" s="142">
        <f t="shared" si="3"/>
        <v>3.4661146064835585E-2</v>
      </c>
      <c r="G29" s="142">
        <f t="shared" si="4"/>
        <v>0.10736526827253033</v>
      </c>
      <c r="H29" s="142">
        <f t="shared" si="5"/>
        <v>8.393950609004118E-2</v>
      </c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1">
        <f t="shared" si="1"/>
        <v>0.16942345499910455</v>
      </c>
      <c r="W29" s="191">
        <f t="shared" si="2"/>
        <v>0.13151712322943782</v>
      </c>
      <c r="X29" s="141">
        <f t="shared" si="6"/>
        <v>0.43702023835934872</v>
      </c>
      <c r="Y29" s="143">
        <f t="shared" si="7"/>
        <v>7</v>
      </c>
      <c r="Z29" s="143">
        <f t="shared" si="8"/>
        <v>48.631102978833049</v>
      </c>
    </row>
    <row r="30" spans="1:45" x14ac:dyDescent="0.25">
      <c r="A30" s="3"/>
      <c r="B30" s="3"/>
      <c r="C30" s="78" t="s">
        <v>53</v>
      </c>
      <c r="D30" s="142">
        <f>+D19*$AB$27</f>
        <v>2.2495069675553425E-2</v>
      </c>
      <c r="E30" s="142">
        <f t="shared" si="0"/>
        <v>2.4298274866090222E-2</v>
      </c>
      <c r="F30" s="142">
        <f t="shared" si="3"/>
        <v>5.3406252069364987E-2</v>
      </c>
      <c r="G30" s="142">
        <f t="shared" si="4"/>
        <v>0.11480980659422614</v>
      </c>
      <c r="H30" s="142">
        <f t="shared" si="5"/>
        <v>6.8709143564014891E-2</v>
      </c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1">
        <f t="shared" si="1"/>
        <v>0.17670735844218793</v>
      </c>
      <c r="W30" s="191">
        <f t="shared" si="2"/>
        <v>0.12685150740261419</v>
      </c>
      <c r="X30" s="141">
        <f t="shared" si="6"/>
        <v>0.41788108230536231</v>
      </c>
      <c r="Y30" s="143">
        <f t="shared" si="7"/>
        <v>8</v>
      </c>
      <c r="Z30" s="143">
        <f t="shared" si="8"/>
        <v>46.501319991016274</v>
      </c>
    </row>
    <row r="31" spans="1:45" x14ac:dyDescent="0.25">
      <c r="A31" s="3"/>
      <c r="B31" s="3"/>
      <c r="C31" s="78" t="s">
        <v>58</v>
      </c>
      <c r="D31" s="142">
        <f>+D20*$AB$27</f>
        <v>5.2622395133883918E-3</v>
      </c>
      <c r="E31" s="142">
        <f t="shared" si="0"/>
        <v>7.9576850186445489E-2</v>
      </c>
      <c r="F31" s="142">
        <f t="shared" si="3"/>
        <v>5.8301825175723451E-2</v>
      </c>
      <c r="G31" s="142">
        <f t="shared" si="4"/>
        <v>7.6859898398271731E-2</v>
      </c>
      <c r="H31" s="142">
        <f t="shared" si="5"/>
        <v>7.8159056586404638E-2</v>
      </c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1">
        <f t="shared" si="1"/>
        <v>0.1893064354082277</v>
      </c>
      <c r="W31" s="191">
        <f t="shared" si="2"/>
        <v>8.5174149746203506E-2</v>
      </c>
      <c r="X31" s="141">
        <f t="shared" si="6"/>
        <v>0.31031028915317244</v>
      </c>
      <c r="Y31" s="143">
        <f t="shared" si="7"/>
        <v>10</v>
      </c>
      <c r="Z31" s="143">
        <f t="shared" si="8"/>
        <v>34.53096745325265</v>
      </c>
    </row>
    <row r="32" spans="1:45" x14ac:dyDescent="0.25">
      <c r="A32" s="3"/>
      <c r="B32" s="3"/>
      <c r="C32" s="79" t="s">
        <v>63</v>
      </c>
      <c r="D32" s="142">
        <f t="shared" ref="D32:D36" si="9">+D21*$AB$27</f>
        <v>2.5229915475149821E-2</v>
      </c>
      <c r="E32" s="142">
        <f t="shared" si="0"/>
        <v>0.13081126058045831</v>
      </c>
      <c r="F32" s="142">
        <f t="shared" si="3"/>
        <v>5.0914265136333813E-2</v>
      </c>
      <c r="G32" s="142">
        <f t="shared" si="4"/>
        <v>1.5075260271142955E-2</v>
      </c>
      <c r="H32" s="142">
        <f t="shared" si="5"/>
        <v>6.8902924387926306E-2</v>
      </c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1">
        <f t="shared" si="1"/>
        <v>0.1859647281816626</v>
      </c>
      <c r="W32" s="191">
        <f t="shared" si="2"/>
        <v>0.1224951250662789</v>
      </c>
      <c r="X32" s="141">
        <f t="shared" si="6"/>
        <v>0.39711853512365103</v>
      </c>
      <c r="Y32" s="143">
        <f t="shared" si="7"/>
        <v>9</v>
      </c>
      <c r="Z32" s="143">
        <f t="shared" si="8"/>
        <v>44.19088792982091</v>
      </c>
    </row>
    <row r="33" spans="1:26" x14ac:dyDescent="0.25">
      <c r="A33" s="3"/>
      <c r="B33" s="3"/>
      <c r="C33" s="78" t="s">
        <v>66</v>
      </c>
      <c r="D33" s="142">
        <f t="shared" si="9"/>
        <v>4.1659396147658102E-2</v>
      </c>
      <c r="E33" s="142">
        <f t="shared" si="0"/>
        <v>9.4734345460054117E-2</v>
      </c>
      <c r="F33" s="142">
        <f t="shared" si="3"/>
        <v>5.7260721154728383E-2</v>
      </c>
      <c r="G33" s="142">
        <f t="shared" si="4"/>
        <v>8.7340793634399679E-3</v>
      </c>
      <c r="H33" s="142">
        <f t="shared" si="5"/>
        <v>6.6183072109455524E-2</v>
      </c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1">
        <f t="shared" si="1"/>
        <v>0.15329249156358618</v>
      </c>
      <c r="W33" s="191">
        <f t="shared" si="2"/>
        <v>0.13510728893754817</v>
      </c>
      <c r="X33" s="141">
        <f t="shared" si="6"/>
        <v>0.46847223220066481</v>
      </c>
      <c r="Y33" s="143">
        <f t="shared" si="7"/>
        <v>5</v>
      </c>
      <c r="Z33" s="143">
        <f t="shared" si="8"/>
        <v>52.131044210682745</v>
      </c>
    </row>
    <row r="34" spans="1:26" ht="28.5" x14ac:dyDescent="0.25">
      <c r="A34" s="3"/>
      <c r="B34" s="3"/>
      <c r="C34" s="78" t="s">
        <v>69</v>
      </c>
      <c r="D34" s="142">
        <f t="shared" si="9"/>
        <v>0.1149002756134346</v>
      </c>
      <c r="E34" s="142">
        <f t="shared" si="0"/>
        <v>2.9202513829888251E-2</v>
      </c>
      <c r="F34" s="142">
        <f t="shared" si="3"/>
        <v>1.2034780426181448E-2</v>
      </c>
      <c r="G34" s="142">
        <f t="shared" si="4"/>
        <v>7.7404776743880813E-2</v>
      </c>
      <c r="H34" s="142">
        <f t="shared" si="5"/>
        <v>9.7149463646907224E-3</v>
      </c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1">
        <f t="shared" si="1"/>
        <v>7.6942627145741974E-2</v>
      </c>
      <c r="W34" s="191">
        <f t="shared" si="2"/>
        <v>0.20718224423698081</v>
      </c>
      <c r="X34" s="141">
        <f t="shared" si="6"/>
        <v>0.72919432652519012</v>
      </c>
      <c r="Y34" s="143">
        <f t="shared" si="7"/>
        <v>2</v>
      </c>
      <c r="Z34" s="143">
        <f t="shared" si="8"/>
        <v>81.143895115604167</v>
      </c>
    </row>
    <row r="35" spans="1:26" x14ac:dyDescent="0.25">
      <c r="A35" s="3"/>
      <c r="B35" s="3"/>
      <c r="C35" s="78" t="s">
        <v>74</v>
      </c>
      <c r="D35" s="142">
        <f t="shared" si="9"/>
        <v>0.13937823576001684</v>
      </c>
      <c r="E35" s="142">
        <f t="shared" si="0"/>
        <v>5.376814201786856E-3</v>
      </c>
      <c r="F35" s="142">
        <f t="shared" si="3"/>
        <v>2.9544843839049043E-2</v>
      </c>
      <c r="G35" s="142">
        <f t="shared" si="4"/>
        <v>2.9743081075498272E-2</v>
      </c>
      <c r="H35" s="142">
        <f>+H24*$AF$27</f>
        <v>3.5774633572678671E-3</v>
      </c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1">
        <f t="shared" si="1"/>
        <v>2.7349231683173717E-2</v>
      </c>
      <c r="W35" s="191">
        <f t="shared" si="2"/>
        <v>0.24248277218973749</v>
      </c>
      <c r="X35" s="141">
        <f t="shared" si="6"/>
        <v>0.89864348449913667</v>
      </c>
      <c r="Y35" s="143">
        <f t="shared" si="7"/>
        <v>1</v>
      </c>
      <c r="Z35" s="143">
        <f t="shared" si="8"/>
        <v>100</v>
      </c>
    </row>
    <row r="36" spans="1:26" x14ac:dyDescent="0.25">
      <c r="A36" s="3"/>
      <c r="B36" s="3"/>
      <c r="C36" s="80" t="s">
        <v>79</v>
      </c>
      <c r="D36" s="142">
        <f t="shared" si="9"/>
        <v>8.085880227889479E-2</v>
      </c>
      <c r="E36" s="142">
        <f t="shared" si="0"/>
        <v>4.8522469625881394E-2</v>
      </c>
      <c r="F36" s="142">
        <f t="shared" si="3"/>
        <v>6.3989808119696456E-2</v>
      </c>
      <c r="G36" s="142">
        <f t="shared" si="4"/>
        <v>3.5788422757510117E-2</v>
      </c>
      <c r="H36" s="142">
        <f t="shared" si="5"/>
        <v>1.2913770167698639E-2</v>
      </c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1">
        <f t="shared" si="1"/>
        <v>9.3832300946437644E-2</v>
      </c>
      <c r="W36" s="191">
        <f t="shared" si="2"/>
        <v>0.17600872631840861</v>
      </c>
      <c r="X36" s="141">
        <f t="shared" si="6"/>
        <v>0.6522682191898781</v>
      </c>
      <c r="Y36" s="143">
        <f t="shared" si="7"/>
        <v>3</v>
      </c>
      <c r="Z36" s="143">
        <f t="shared" si="8"/>
        <v>72.583647513276404</v>
      </c>
    </row>
    <row r="37" spans="1:26" x14ac:dyDescent="0.25">
      <c r="A37" s="3"/>
      <c r="B37" s="3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139"/>
      <c r="W37" s="141"/>
      <c r="X37" s="141"/>
      <c r="Y37" s="141"/>
      <c r="Z37" s="141"/>
    </row>
    <row r="38" spans="1:26" x14ac:dyDescent="0.25">
      <c r="A38" s="3"/>
      <c r="B38" s="3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139"/>
      <c r="W38" s="75"/>
      <c r="X38" s="75"/>
      <c r="Y38" s="75"/>
      <c r="Z38" s="75"/>
    </row>
    <row r="39" spans="1:26" x14ac:dyDescent="0.25">
      <c r="A39" s="3"/>
      <c r="B39" s="3"/>
      <c r="C39" s="144" t="s">
        <v>168</v>
      </c>
      <c r="D39" s="145">
        <f>+MIN(D27:D36)</f>
        <v>5.2622395133883918E-3</v>
      </c>
      <c r="E39" s="145">
        <f>+MAX(E27:E36)</f>
        <v>0.13081126058045831</v>
      </c>
      <c r="F39" s="145">
        <f t="shared" ref="F39:H39" si="10">+MAX(F27:F36)</f>
        <v>9.8144952052198683E-2</v>
      </c>
      <c r="G39" s="145">
        <f t="shared" si="10"/>
        <v>0.11480980659422614</v>
      </c>
      <c r="H39" s="145">
        <f t="shared" si="10"/>
        <v>0.11818405733831344</v>
      </c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39"/>
      <c r="W39" s="75"/>
      <c r="X39" s="75"/>
      <c r="Y39" s="75"/>
      <c r="Z39" s="75"/>
    </row>
    <row r="40" spans="1:26" x14ac:dyDescent="0.25">
      <c r="A40" s="3"/>
      <c r="B40" s="3"/>
      <c r="C40" s="144" t="s">
        <v>167</v>
      </c>
      <c r="D40" s="145">
        <f>+MAX(D27:D36)</f>
        <v>0.13937823576001684</v>
      </c>
      <c r="E40" s="145">
        <f>+MIN(E27:E36)</f>
        <v>5.376814201786856E-3</v>
      </c>
      <c r="F40" s="145">
        <f t="shared" ref="F40:H40" si="11">+MIN(F27:F36)</f>
        <v>1.2034780426181448E-2</v>
      </c>
      <c r="G40" s="145">
        <f t="shared" si="11"/>
        <v>8.7340793634399679E-3</v>
      </c>
      <c r="H40" s="145">
        <f t="shared" si="11"/>
        <v>3.5774633572678671E-3</v>
      </c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W40" s="75"/>
      <c r="X40" s="75"/>
      <c r="Y40" s="75"/>
      <c r="Z40" s="75"/>
    </row>
    <row r="41" spans="1:26" x14ac:dyDescent="0.25">
      <c r="A41" s="3"/>
      <c r="B41" s="3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W41" s="75"/>
      <c r="X41" s="75"/>
      <c r="Y41" s="75"/>
      <c r="Z41" s="75"/>
    </row>
    <row r="42" spans="1:26" x14ac:dyDescent="0.25">
      <c r="A42" s="3"/>
      <c r="B42" s="3"/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W42" s="75"/>
      <c r="X42" s="75"/>
      <c r="Y42" s="75"/>
      <c r="Z42" s="75"/>
    </row>
    <row r="43" spans="1:26" x14ac:dyDescent="0.25">
      <c r="A43" s="3"/>
      <c r="B43" s="3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W43" s="75"/>
      <c r="X43" s="75"/>
      <c r="Y43" s="75"/>
      <c r="Z43" s="75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CAE11-A4D3-4B8B-B453-91544490C1D6}">
  <dimension ref="A1:AS43"/>
  <sheetViews>
    <sheetView topLeftCell="Q21" workbookViewId="0">
      <selection activeCell="AA36" sqref="AA36"/>
    </sheetView>
  </sheetViews>
  <sheetFormatPr defaultRowHeight="15" x14ac:dyDescent="0.25"/>
  <cols>
    <col min="1" max="2" width="2.85546875" style="1" customWidth="1"/>
    <col min="3" max="3" width="30.5703125" style="3" customWidth="1"/>
    <col min="4" max="21" width="8.42578125" style="3" customWidth="1"/>
    <col min="22" max="22" width="11" style="2" customWidth="1"/>
    <col min="23" max="26" width="10" style="3" customWidth="1"/>
    <col min="27" max="27" width="25.28515625" style="3" customWidth="1"/>
    <col min="28" max="28" width="9.140625" style="3" customWidth="1"/>
    <col min="29" max="32" width="9.140625" style="3"/>
    <col min="33" max="45" width="9.140625" style="103"/>
    <col min="46" max="16384" width="9.140625" style="3"/>
  </cols>
  <sheetData>
    <row r="1" spans="1:26" ht="64.5" thickBot="1" x14ac:dyDescent="0.3">
      <c r="A1" s="3"/>
      <c r="B1" s="3"/>
      <c r="C1" s="81"/>
      <c r="D1" s="131" t="s">
        <v>2</v>
      </c>
      <c r="E1" s="132" t="s">
        <v>3</v>
      </c>
      <c r="F1" s="133" t="s">
        <v>4</v>
      </c>
      <c r="G1" s="134" t="s">
        <v>5</v>
      </c>
      <c r="H1" s="136" t="s">
        <v>6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74"/>
      <c r="W1" s="75"/>
      <c r="X1" s="75"/>
      <c r="Y1" s="75"/>
      <c r="Z1" s="75"/>
    </row>
    <row r="2" spans="1:26" x14ac:dyDescent="0.25">
      <c r="A2" s="3"/>
      <c r="B2" s="3"/>
      <c r="C2" s="72" t="s">
        <v>82</v>
      </c>
      <c r="D2"/>
      <c r="E2"/>
      <c r="F2"/>
      <c r="G2"/>
      <c r="H2"/>
      <c r="V2" s="71"/>
      <c r="W2" s="75"/>
      <c r="X2" s="75"/>
      <c r="Y2" s="75"/>
      <c r="Z2" s="75"/>
    </row>
    <row r="3" spans="1:26" x14ac:dyDescent="0.25">
      <c r="A3" s="3"/>
      <c r="B3" s="3"/>
      <c r="C3" s="73" t="s">
        <v>25</v>
      </c>
      <c r="D3" s="155">
        <f>+AHP_nivel_0!D179</f>
        <v>0.63210651391127737</v>
      </c>
      <c r="E3" s="155">
        <f>+AHP_nivel_0!E179</f>
        <v>0.53333987111264036</v>
      </c>
      <c r="F3" s="155">
        <f>+AHP_nivel_0!F179</f>
        <v>2.4296594128464726</v>
      </c>
      <c r="G3" s="155">
        <f>+AHP_nivel_0!G179</f>
        <v>0.63210651391127737</v>
      </c>
      <c r="H3" s="155">
        <f>+AHP_nivel_0!H179</f>
        <v>1.185199713583645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75"/>
      <c r="Y3" s="75"/>
      <c r="Z3" s="75"/>
    </row>
    <row r="4" spans="1:26" x14ac:dyDescent="0.25">
      <c r="A4" s="3"/>
      <c r="B4" s="3"/>
      <c r="C4" s="76" t="s">
        <v>44</v>
      </c>
      <c r="D4" s="155">
        <f>+AHP_nivel_0!D180</f>
        <v>0.96650214738666307</v>
      </c>
      <c r="E4" s="155">
        <f>+AHP_nivel_0!E180</f>
        <v>0.19330042947733261</v>
      </c>
      <c r="F4" s="155">
        <f>+AHP_nivel_0!F180</f>
        <v>1.2081276842333291</v>
      </c>
      <c r="G4" s="155">
        <f>+AHP_nivel_0!G180</f>
        <v>0.62822639580133111</v>
      </c>
      <c r="H4" s="155">
        <f>+AHP_nivel_0!H180</f>
        <v>2.4162553684666577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5"/>
      <c r="Y4" s="75"/>
      <c r="Z4" s="75"/>
    </row>
    <row r="5" spans="1:26" x14ac:dyDescent="0.25">
      <c r="A5" s="3"/>
      <c r="B5" s="3"/>
      <c r="C5" s="77" t="s">
        <v>49</v>
      </c>
      <c r="D5" s="155">
        <f>+AHP_nivel_0!D181</f>
        <v>0.92407034579407787</v>
      </c>
      <c r="E5" s="155">
        <f>+AHP_nivel_0!E181</f>
        <v>0.33002512349788493</v>
      </c>
      <c r="F5" s="155">
        <f>+AHP_nivel_0!F181</f>
        <v>0.85806532109450095</v>
      </c>
      <c r="G5" s="155">
        <f>+AHP_nivel_0!G181</f>
        <v>1.5841205927898476</v>
      </c>
      <c r="H5" s="155">
        <f>+AHP_nivel_0!H181</f>
        <v>1.7161306421890019</v>
      </c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75"/>
      <c r="Y5" s="75"/>
      <c r="Z5" s="75"/>
    </row>
    <row r="6" spans="1:26" x14ac:dyDescent="0.25">
      <c r="A6" s="3"/>
      <c r="B6" s="3"/>
      <c r="C6" s="78" t="s">
        <v>53</v>
      </c>
      <c r="D6" s="155">
        <f>+AHP_nivel_0!D182</f>
        <v>0.66105795729652672</v>
      </c>
      <c r="E6" s="155">
        <f>+AHP_nivel_0!E182</f>
        <v>0.33052897864826342</v>
      </c>
      <c r="F6" s="155">
        <f>+AHP_nivel_0!F182</f>
        <v>1.3221159145930537</v>
      </c>
      <c r="G6" s="155">
        <f>+AHP_nivel_0!G182</f>
        <v>1.6939610155723499</v>
      </c>
      <c r="H6" s="155">
        <f>+AHP_nivel_0!H182</f>
        <v>1.4047481592551194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75"/>
      <c r="Y6" s="75"/>
      <c r="Z6" s="75"/>
    </row>
    <row r="7" spans="1:26" x14ac:dyDescent="0.25">
      <c r="A7" s="3"/>
      <c r="B7" s="3"/>
      <c r="C7" s="78" t="s">
        <v>58</v>
      </c>
      <c r="D7" s="155">
        <f>+AHP_nivel_0!D183</f>
        <v>0.15464034358186612</v>
      </c>
      <c r="E7" s="155">
        <f>+AHP_nivel_0!E183</f>
        <v>1.0824824050730628</v>
      </c>
      <c r="F7" s="155">
        <f>+AHP_nivel_0!F183</f>
        <v>1.4433098734307503</v>
      </c>
      <c r="G7" s="155">
        <f>+AHP_nivel_0!G183</f>
        <v>1.1340291862670182</v>
      </c>
      <c r="H7" s="155">
        <f>+AHP_nivel_0!H183</f>
        <v>1.5979502170126165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5"/>
      <c r="X7" s="75"/>
      <c r="Y7" s="75"/>
      <c r="Z7" s="75"/>
    </row>
    <row r="8" spans="1:26" x14ac:dyDescent="0.25">
      <c r="A8" s="3"/>
      <c r="B8" s="3"/>
      <c r="C8" s="79" t="s">
        <v>63</v>
      </c>
      <c r="D8" s="155">
        <f>+AHP_nivel_0!D184</f>
        <v>0.7414263048445634</v>
      </c>
      <c r="E8" s="155">
        <f>+AHP_nivel_0!E184</f>
        <v>1.779423131626952</v>
      </c>
      <c r="F8" s="155">
        <f>+AHP_nivel_0!F184</f>
        <v>1.2604247182357575</v>
      </c>
      <c r="G8" s="155">
        <f>+AHP_nivel_0!G184</f>
        <v>0.222427891453369</v>
      </c>
      <c r="H8" s="155">
        <f>+AHP_nivel_0!H184</f>
        <v>1.4087099792046704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5"/>
      <c r="X8" s="75"/>
      <c r="Y8" s="75"/>
      <c r="Z8" s="75"/>
    </row>
    <row r="9" spans="1:26" x14ac:dyDescent="0.25">
      <c r="A9" s="3"/>
      <c r="B9" s="3"/>
      <c r="C9" s="78" t="s">
        <v>66</v>
      </c>
      <c r="D9" s="155">
        <f>+AHP_nivel_0!D185</f>
        <v>1.22423605335644</v>
      </c>
      <c r="E9" s="155">
        <f>+AHP_nivel_0!E185</f>
        <v>1.2886695298488839</v>
      </c>
      <c r="F9" s="155">
        <f>+AHP_nivel_0!F185</f>
        <v>1.4175364828337726</v>
      </c>
      <c r="G9" s="155">
        <f>+AHP_nivel_0!G185</f>
        <v>0.1288669529848884</v>
      </c>
      <c r="H9" s="155">
        <f>+AHP_nivel_0!H185</f>
        <v>1.3531030063413281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  <c r="X9" s="75"/>
      <c r="Y9" s="75"/>
      <c r="Z9" s="75"/>
    </row>
    <row r="10" spans="1:26" ht="28.5" x14ac:dyDescent="0.25">
      <c r="A10" s="3"/>
      <c r="B10" s="3"/>
      <c r="C10" s="78" t="s">
        <v>69</v>
      </c>
      <c r="D10" s="155">
        <f>+AHP_nivel_0!D186</f>
        <v>3.3765506213288194</v>
      </c>
      <c r="E10" s="155">
        <f>+AHP_nivel_0!E186</f>
        <v>0.39724124956809642</v>
      </c>
      <c r="F10" s="155">
        <f>+AHP_nivel_0!F186</f>
        <v>0.29793093717607239</v>
      </c>
      <c r="G10" s="155">
        <f>+AHP_nivel_0!G186</f>
        <v>1.142068592508277</v>
      </c>
      <c r="H10" s="155">
        <f>+AHP_nivel_0!H186</f>
        <v>0.19862062478404821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5"/>
      <c r="X10" s="75"/>
      <c r="Y10" s="75"/>
      <c r="Z10" s="75"/>
    </row>
    <row r="11" spans="1:26" x14ac:dyDescent="0.25">
      <c r="A11" s="3"/>
      <c r="B11" s="3"/>
      <c r="C11" s="78" t="s">
        <v>74</v>
      </c>
      <c r="D11" s="155">
        <f>+AHP_nivel_0!D187</f>
        <v>4.095879370546724</v>
      </c>
      <c r="E11" s="155">
        <f>+AHP_nivel_0!E187</f>
        <v>7.3140703045477207E-2</v>
      </c>
      <c r="F11" s="155">
        <f>+AHP_nivel_0!F187</f>
        <v>0.73140703045477207</v>
      </c>
      <c r="G11" s="155">
        <f>+AHP_nivel_0!G187</f>
        <v>0.43884421827286324</v>
      </c>
      <c r="H11" s="155">
        <f>+AHP_nivel_0!H187</f>
        <v>7.3140703045477207E-2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5"/>
      <c r="X11" s="75"/>
      <c r="Y11" s="75"/>
      <c r="Z11" s="75"/>
    </row>
    <row r="12" spans="1:26" x14ac:dyDescent="0.25">
      <c r="A12" s="3"/>
      <c r="B12" s="3"/>
      <c r="C12" s="80" t="s">
        <v>79</v>
      </c>
      <c r="D12" s="155">
        <f>+AHP_nivel_0!D188</f>
        <v>2.3761808891847718</v>
      </c>
      <c r="E12" s="155">
        <f>+AHP_nivel_0!E188</f>
        <v>0.66005024699576997</v>
      </c>
      <c r="F12" s="155">
        <f>+AHP_nivel_0!F188</f>
        <v>1.5841205927898476</v>
      </c>
      <c r="G12" s="155">
        <f>+AHP_nivel_0!G188</f>
        <v>0.52804019759661591</v>
      </c>
      <c r="H12" s="155">
        <f>+AHP_nivel_0!H188</f>
        <v>0.26402009879830796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5"/>
      <c r="Y12" s="75"/>
      <c r="Z12" s="75"/>
    </row>
    <row r="13" spans="1:26" x14ac:dyDescent="0.25">
      <c r="A13" s="3"/>
      <c r="B13" s="3"/>
      <c r="C13" s="81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74"/>
      <c r="W13" s="75"/>
      <c r="X13" s="75"/>
      <c r="Y13" s="75"/>
      <c r="Z13" s="75"/>
    </row>
    <row r="14" spans="1:26" x14ac:dyDescent="0.25">
      <c r="A14" s="3"/>
      <c r="B14" s="3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139"/>
      <c r="W14" s="75"/>
      <c r="X14" s="75"/>
      <c r="Y14" s="75"/>
      <c r="Z14" s="75"/>
    </row>
    <row r="15" spans="1:26" ht="28.5" x14ac:dyDescent="0.25">
      <c r="A15" s="3"/>
      <c r="B15" s="3"/>
      <c r="C15" s="72" t="s">
        <v>163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139"/>
      <c r="W15" s="75"/>
      <c r="X15" s="75"/>
      <c r="Y15" s="75"/>
      <c r="Z15" s="75"/>
    </row>
    <row r="16" spans="1:26" x14ac:dyDescent="0.25">
      <c r="A16" s="3"/>
      <c r="B16" s="3"/>
      <c r="C16" s="73" t="s">
        <v>25</v>
      </c>
      <c r="D16" s="74">
        <f>+D3/((D3^2)+(D4^2)+(D5^2)+(D6^2)+(D8^2)+(D9^2)+(D10^2)+(D11^2)+(D12^2)+(D7^2))^0.5</f>
        <v>0.1018460423405185</v>
      </c>
      <c r="E16" s="74">
        <f>+E3/((E3^2)+(E4^2)+(E6^2)+(E9^2)+(E10^2)+(E11^2)+(E12^2)+(E5^2)+(E7^2)+(E8^2))^0.5</f>
        <v>0.19963122287247351</v>
      </c>
      <c r="F16" s="74">
        <f>+F3/((F3^2)+(F4^2)+(F5^2)+(F6^2)+(F7^2)+(F8^2)+(F9^2)+(F10^2)+(F11^2)+(F12^2))^0.5</f>
        <v>0.5624352553134595</v>
      </c>
      <c r="G16" s="74">
        <f>+G3/((G3^2)+(G4^2)+(G5^2)+(G6^2)+(G7^2)+(G8^2)+(G9^2)+(G10^2)+(G11^2)+(G12^2))^0.5</f>
        <v>0.20726471003258215</v>
      </c>
      <c r="H16" s="74">
        <f>+H3/((H3^2)+(H6^2)+(H7^2)+(H8^2)+(H9^2)+(H10^2)+(H12^2)+(H4^2)+(H5^2)+(H11^2))^0.5</f>
        <v>0.2744818849927651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139"/>
      <c r="W16" s="75"/>
      <c r="X16" s="75"/>
      <c r="Y16" s="75"/>
      <c r="Z16" s="75"/>
    </row>
    <row r="17" spans="1:45" x14ac:dyDescent="0.25">
      <c r="A17" s="3"/>
      <c r="B17" s="3"/>
      <c r="C17" s="76" t="s">
        <v>44</v>
      </c>
      <c r="D17" s="74">
        <f>+D4/((D3^2)+(D4^2)+(D5^2)+(D6^2)+(D8^2)+(D9^2)+(D10^2)+(D11^2)+(D12^2)+(D7^2))^0.5</f>
        <v>0.15572441741798032</v>
      </c>
      <c r="E17" s="74">
        <f>+E4/((E3^2)+(E4^2)+(E6^2)+(E9^2)+(E10^2)+(E11^2)+(E12^2)+(E5^2)+(E7^2)+(E8^2))^0.5</f>
        <v>7.2353115168065793E-2</v>
      </c>
      <c r="F17" s="74">
        <f>+F4/((F3^2)+(F4^2)+(F5^2)+(F6^2)+(F7^2)+(F8^2)+(F9^2)+(F10^2)+(F11^2)+(F12^2))^0.5</f>
        <v>0.27966619475153881</v>
      </c>
      <c r="G17" s="74">
        <f>+G4/((G3^2)+(G4^2)+(G5^2)+(G6^2)+(G7^2)+(G8^2)+(G9^2)+(G10^2)+(G11^2)+(G12^2))^0.5</f>
        <v>0.20599243781698043</v>
      </c>
      <c r="H17" s="74">
        <f>+H4/((H3^2)+(H6^2)+(H7^2)+(H8^2)+(H9^2)+(H10^2)+(H12^2)+(H4^2)+(H5^2)+(H11^2))^0.5</f>
        <v>0.55958360482155989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139"/>
      <c r="W17" s="75"/>
      <c r="X17" s="75"/>
      <c r="Y17" s="75"/>
      <c r="Z17" s="75"/>
    </row>
    <row r="18" spans="1:45" x14ac:dyDescent="0.25">
      <c r="A18" s="3"/>
      <c r="B18" s="3"/>
      <c r="C18" s="77" t="s">
        <v>49</v>
      </c>
      <c r="D18" s="74">
        <f>+D5/((D3^2)+(D4^2)+(D5^2)+(D6^2)+(D8^2)+(D9^2)+(D10^2)+(D11^2)+(D12^2)+(D7^2))^0.5</f>
        <v>0.14888773567767877</v>
      </c>
      <c r="E18" s="74">
        <f>+E5/((E3^2)+(E4^2)+(E6^2)+(E9^2)+(E10^2)+(E11^2)+(E12^2)+(E5^2)+(E7^2)+(E8^2))^0.5</f>
        <v>0.12352970882352696</v>
      </c>
      <c r="F18" s="74">
        <f>+F5/((F3^2)+(F4^2)+(F5^2)+(F6^2)+(F7^2)+(F8^2)+(F9^2)+(F10^2)+(F11^2)+(F12^2))^0.5</f>
        <v>0.19863120954060509</v>
      </c>
      <c r="G18" s="74">
        <f>+G5/((G3^2)+(G4^2)+(G5^2)+(G6^2)+(G7^2)+(G8^2)+(G9^2)+(G10^2)+(G11^2)+(G12^2))^0.5</f>
        <v>0.51942558428897112</v>
      </c>
      <c r="H18" s="74">
        <f>+H5/((H3^2)+(H6^2)+(H7^2)+(H8^2)+(H9^2)+(H10^2)+(H12^2)+(H4^2)+(H5^2)+(H11^2))^0.5</f>
        <v>0.39744084322936163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139"/>
      <c r="W18" s="75"/>
      <c r="X18" s="75"/>
      <c r="Y18" s="75"/>
      <c r="Z18" s="75"/>
    </row>
    <row r="19" spans="1:45" x14ac:dyDescent="0.25">
      <c r="A19" s="3"/>
      <c r="B19" s="3"/>
      <c r="C19" s="78" t="s">
        <v>53</v>
      </c>
      <c r="D19" s="74">
        <f>+D6/((D3^2)+(D4^2)+(D5^2)+(D6^2)+(D8^2)+(D9^2)+(D10^2)+(D11^2)+(D12^2)+(D7^2))^0.5</f>
        <v>0.10651074656985524</v>
      </c>
      <c r="E19" s="74">
        <f>+E6/((E3^2)+(E4^2)+(E6^2)+(E9^2)+(E10^2)+(E11^2)+(E12^2)+(E5^2)+(E7^2)+(E8^2))^0.5</f>
        <v>0.12371830379883006</v>
      </c>
      <c r="F19" s="74">
        <f>+F6/((F3^2)+(F4^2)+(F5^2)+(F6^2)+(F7^2)+(F8^2)+(F9^2)+(F10^2)+(F11^2)+(F12^2))^0.5</f>
        <v>0.3060530204548137</v>
      </c>
      <c r="G19" s="74">
        <f>+G6/((G3^2)+(G4^2)+(G5^2)+(G6^2)+(G7^2)+(G8^2)+(G9^2)+(G10^2)+(G11^2)+(G12^2))^0.5</f>
        <v>0.55544173485353721</v>
      </c>
      <c r="H19" s="74">
        <f>+H6/((H3^2)+(H6^2)+(H7^2)+(H8^2)+(H9^2)+(H10^2)+(H12^2)+(H4^2)+(H5^2)+(H11^2))^0.5</f>
        <v>0.32532738429931296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139"/>
      <c r="W19" s="75"/>
      <c r="X19" s="75"/>
      <c r="Y19" s="75"/>
      <c r="Z19" s="75"/>
    </row>
    <row r="20" spans="1:45" x14ac:dyDescent="0.25">
      <c r="A20" s="3"/>
      <c r="B20" s="3"/>
      <c r="C20" s="78" t="s">
        <v>58</v>
      </c>
      <c r="D20" s="74">
        <f>+D7/((D3^2)+(D4^2)+(D5^2)+(D6^2)+(D8^2)+(D9^2)+(D10^2)+(D11^2)+(D12^2)+(D7^2))^0.5</f>
        <v>2.4915906786876857E-2</v>
      </c>
      <c r="E20" s="74">
        <f>+E7/((E3^2)+(E4^2)+(E6^2)+(E9^2)+(E10^2)+(E11^2)+(E12^2)+(E5^2)+(E7^2)+(E8^2))^0.5</f>
        <v>0.40517744494116847</v>
      </c>
      <c r="F20" s="74">
        <f>+F7/((F3^2)+(F4^2)+(F5^2)+(F6^2)+(F7^2)+(F8^2)+(F9^2)+(F10^2)+(F11^2)+(F12^2))^0.5</f>
        <v>0.33410788066317165</v>
      </c>
      <c r="G20" s="74">
        <f>+G7/((G3^2)+(G4^2)+(G5^2)+(G6^2)+(G7^2)+(G8^2)+(G9^2)+(G10^2)+(G11^2)+(G12^2))^0.5</f>
        <v>0.37184275954654927</v>
      </c>
      <c r="H20" s="74">
        <f>+H7/((H3^2)+(H6^2)+(H7^2)+(H8^2)+(H9^2)+(H10^2)+(H12^2)+(H4^2)+(H5^2)+(H11^2))^0.5</f>
        <v>0.37007129065532501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139"/>
      <c r="W20" s="75"/>
      <c r="X20" s="75"/>
      <c r="Y20" s="75"/>
      <c r="Z20" s="75"/>
    </row>
    <row r="21" spans="1:45" x14ac:dyDescent="0.25">
      <c r="A21" s="3"/>
      <c r="B21" s="3"/>
      <c r="C21" s="79" t="s">
        <v>63</v>
      </c>
      <c r="D21" s="74">
        <f>+D8/((D3^2)+(D4^2)+(D5^2)+(D6^2)+(D8^2)+(D9^2)+(D10^2)+(D11^2)+(D12^2)+(D7^2))^0.5</f>
        <v>0.11945982706036846</v>
      </c>
      <c r="E21" s="74">
        <f>+E8/((E3^2)+(E4^2)+(E6^2)+(E9^2)+(E10^2)+(E11^2)+(E12^2)+(E5^2)+(E7^2)+(E8^2))^0.5</f>
        <v>0.66604511497178365</v>
      </c>
      <c r="F21" s="74">
        <f>+F8/((F3^2)+(F4^2)+(F5^2)+(F6^2)+(F7^2)+(F8^2)+(F9^2)+(F10^2)+(F11^2)+(F12^2))^0.5</f>
        <v>0.29177229304489294</v>
      </c>
      <c r="G21" s="74">
        <f>+G8/((G3^2)+(G4^2)+(G5^2)+(G6^2)+(G7^2)+(G8^2)+(G9^2)+(G10^2)+(G11^2)+(G12^2))^0.5</f>
        <v>7.2933044369341823E-2</v>
      </c>
      <c r="H21" s="74">
        <f>+H8/((H3^2)+(H6^2)+(H7^2)+(H8^2)+(H9^2)+(H10^2)+(H12^2)+(H4^2)+(H5^2)+(H11^2))^0.5</f>
        <v>0.32624490713980259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139"/>
      <c r="W21" s="75"/>
      <c r="X21" s="75"/>
      <c r="Y21" s="75"/>
      <c r="Z21" s="75"/>
    </row>
    <row r="22" spans="1:45" x14ac:dyDescent="0.25">
      <c r="A22" s="3"/>
      <c r="B22" s="3"/>
      <c r="C22" s="78" t="s">
        <v>66</v>
      </c>
      <c r="D22" s="74">
        <f>+D9/((D3^2)+(D4^2)+(D5^2)+(D6^2)+(D8^2)+(D9^2)+(D10^2)+(D11^2)+(D12^2)+(D7^2))^0.5</f>
        <v>0.19725092872944178</v>
      </c>
      <c r="E22" s="74">
        <f>+E9/((E3^2)+(E4^2)+(E6^2)+(E9^2)+(E10^2)+(E11^2)+(E12^2)+(E5^2)+(E7^2)+(E8^2))^0.5</f>
        <v>0.48235410112043853</v>
      </c>
      <c r="F22" s="74">
        <f>+F9/((F3^2)+(F4^2)+(F5^2)+(F6^2)+(F7^2)+(F8^2)+(F9^2)+(F10^2)+(F11^2)+(F12^2))^0.5</f>
        <v>0.32814166850847215</v>
      </c>
      <c r="G22" s="185">
        <f>+G9/((G3^2)+(G4^2)+(G5^2)+(G6^2)+(G7^2)+(G8^2)+(G9^2)+(G10^2)+(G11^2)+(G12^2))^0.5</f>
        <v>4.2254859039380588E-2</v>
      </c>
      <c r="H22" s="74">
        <f>+H9/((H3^2)+(H6^2)+(H7^2)+(H8^2)+(H9^2)+(H10^2)+(H12^2)+(H4^2)+(H5^2)+(H11^2))^0.5</f>
        <v>0.31336681870007349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139"/>
      <c r="W22" s="75"/>
      <c r="X22" s="75"/>
      <c r="Y22" s="75"/>
      <c r="Z22" s="75"/>
    </row>
    <row r="23" spans="1:45" ht="28.5" x14ac:dyDescent="0.25">
      <c r="A23" s="3"/>
      <c r="B23" s="3"/>
      <c r="C23" s="78" t="s">
        <v>69</v>
      </c>
      <c r="D23" s="74">
        <f>+D10/((D3^2)+(D4^2)+(D5^2)+(D6^2)+(D8^2)+(D9^2)+(D10^2)+(D11^2)+(D12^2)+(D7^2))^0.5</f>
        <v>0.54403539589694416</v>
      </c>
      <c r="E23" s="74">
        <f>+E10/((E3^2)+(E4^2)+(E6^2)+(E9^2)+(E10^2)+(E11^2)+(E12^2)+(E5^2)+(E7^2)+(E8^2))^0.5</f>
        <v>0.14868897062061229</v>
      </c>
      <c r="F23" s="74">
        <f>+F10/((F3^2)+(F4^2)+(F5^2)+(F6^2)+(F7^2)+(F8^2)+(F9^2)+(F10^2)+(F11^2)+(F12^2))^0.5</f>
        <v>6.8967223072673056E-2</v>
      </c>
      <c r="G23" s="74">
        <f>+G10/((G3^2)+(G4^2)+(G5^2)+(G6^2)+(G7^2)+(G8^2)+(G9^2)+(G10^2)+(G11^2)+(G12^2))^0.5</f>
        <v>0.37447884249579494</v>
      </c>
      <c r="H23" s="74">
        <f>+H10/((H3^2)+(H6^2)+(H7^2)+(H8^2)+(H9^2)+(H10^2)+(H12^2)+(H4^2)+(H5^2)+(H11^2))^0.5</f>
        <v>4.5998799075240161E-2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139"/>
      <c r="W23" s="75"/>
      <c r="X23" s="75"/>
      <c r="Y23" s="75"/>
      <c r="Z23" s="75"/>
    </row>
    <row r="24" spans="1:45" x14ac:dyDescent="0.25">
      <c r="A24" s="3"/>
      <c r="B24" s="3"/>
      <c r="C24" s="78" t="s">
        <v>74</v>
      </c>
      <c r="D24" s="74">
        <f>+D11/((D3^2)+(D4^2)+(D5^2)+(D6^2)+(D8^2)+(D9^2)+(D10^2)+(D11^2)+(D12^2)+(D7^2))^0.5</f>
        <v>0.65993482840917073</v>
      </c>
      <c r="E24" s="74">
        <f>+E11/((E3^2)+(E4^2)+(E6^2)+(E9^2)+(E10^2)+(E11^2)+(E12^2)+(E5^2)+(E7^2)+(E8^2))^0.5</f>
        <v>2.7376854387916785E-2</v>
      </c>
      <c r="F24" s="74">
        <f>+F11/((F3^2)+(F4^2)+(F5^2)+(F6^2)+(F7^2)+(F8^2)+(F9^2)+(F10^2)+(F11^2)+(F12^2))^0.5</f>
        <v>0.16931142601174237</v>
      </c>
      <c r="G24" s="74">
        <f>+G11/((G3^2)+(G4^2)+(G5^2)+(G6^2)+(G7^2)+(G8^2)+(G9^2)+(G10^2)+(G11^2)+(G12^2))^0.5</f>
        <v>0.14389492537735013</v>
      </c>
      <c r="H24" s="74">
        <f>+H11/((H3^2)+(H6^2)+(H7^2)+(H8^2)+(H9^2)+(H10^2)+(H12^2)+(H4^2)+(H5^2)+(H11^2))^0.5</f>
        <v>1.6938746956760734E-2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139"/>
      <c r="W24" s="75"/>
      <c r="X24" s="75"/>
      <c r="Y24" s="75"/>
      <c r="Z24" s="75"/>
    </row>
    <row r="25" spans="1:45" ht="15.75" thickBot="1" x14ac:dyDescent="0.3">
      <c r="A25" s="3"/>
      <c r="B25" s="3"/>
      <c r="C25" s="80" t="s">
        <v>79</v>
      </c>
      <c r="D25" s="74">
        <f>+D12/((D3^2)+(D4^2)+(D5^2)+(D6^2)+(D8^2)+(D9^2)+(D10^2)+(D11^2)+(D12^2)+(D7^2))^0.5</f>
        <v>0.38285417745688821</v>
      </c>
      <c r="E25" s="74">
        <f>+E12/((E3^2)+(E4^2)+(E6^2)+(E9^2)+(E10^2)+(E11^2)+(E12^2)+(E5^2)+(E7^2)+(E8^2))^0.5</f>
        <v>0.24705941764705394</v>
      </c>
      <c r="F25" s="74">
        <f>+F12/((F3^2)+(F4^2)+(F5^2)+(F6^2)+(F7^2)+(F8^2)+(F9^2)+(F10^2)+(F11^2)+(F12^2))^0.5</f>
        <v>0.36670377145957855</v>
      </c>
      <c r="G25" s="74">
        <f>+G12/((G3^2)+(G4^2)+(G5^2)+(G6^2)+(G7^2)+(G8^2)+(G9^2)+(G10^2)+(G11^2)+(G12^2))^0.5</f>
        <v>0.17314186142965707</v>
      </c>
      <c r="H25" s="74">
        <f>+H12/((H3^2)+(H6^2)+(H7^2)+(H8^2)+(H9^2)+(H10^2)+(H12^2)+(H4^2)+(H5^2)+(H11^2))^0.5</f>
        <v>6.1144745112209471E-2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139"/>
      <c r="X25" s="75"/>
      <c r="Y25" s="75"/>
      <c r="Z25" s="75"/>
    </row>
    <row r="26" spans="1:45" ht="15.75" customHeight="1" thickBot="1" x14ac:dyDescent="0.3">
      <c r="A26" s="3"/>
      <c r="B26" s="3"/>
      <c r="C26" s="81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140" t="s">
        <v>164</v>
      </c>
      <c r="W26" s="141" t="s">
        <v>165</v>
      </c>
      <c r="X26" s="141" t="s">
        <v>166</v>
      </c>
      <c r="Y26" s="141" t="s">
        <v>89</v>
      </c>
      <c r="Z26" s="141"/>
      <c r="AB26" s="131" t="s">
        <v>2</v>
      </c>
      <c r="AC26" s="132" t="s">
        <v>3</v>
      </c>
      <c r="AD26" s="133" t="s">
        <v>4</v>
      </c>
      <c r="AE26" s="134" t="s">
        <v>5</v>
      </c>
      <c r="AF26" s="136" t="s">
        <v>6</v>
      </c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</row>
    <row r="27" spans="1:45" x14ac:dyDescent="0.25">
      <c r="A27" s="3"/>
      <c r="B27" s="3"/>
      <c r="C27" s="73" t="s">
        <v>25</v>
      </c>
      <c r="D27" s="142">
        <f>+D16*$AB$27</f>
        <v>2.0369208468103701E-2</v>
      </c>
      <c r="E27" s="142">
        <f t="shared" ref="E27:E36" si="0">+E16*$AC$27</f>
        <v>3.9926244574494701E-2</v>
      </c>
      <c r="F27" s="142">
        <f>+F16*$AD$27</f>
        <v>0.11248705106269191</v>
      </c>
      <c r="G27" s="142">
        <f>+G16*$AE$27</f>
        <v>4.1452942006516433E-2</v>
      </c>
      <c r="H27" s="142">
        <f>+H16*$AF$27</f>
        <v>5.4896376998553022E-2</v>
      </c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1">
        <f t="shared" ref="V27:V36" si="1">+((D27-$D$40)^2+(E27-$E$40)^2+(F27-$F$40)^2+(G27-$G$40)^2+(H27-$H$40)^2+(I27-$I$40)^2+(J27-$J$40)^2+(K27-$K$40)^2+(L27-$L$40)^2+(M27-$M$40)^2+(N27-$N$40)^2+(O27-$O$40)^2+(P27-$P$40)^2+(Q27-$Q$40)^2+(R27-$R$40)^2+(S27-$S$40)^2+(T27-$T$40)^2+(U27-$U$40)^2)^0.5</f>
        <v>0.16470605068611416</v>
      </c>
      <c r="W27" s="191">
        <f t="shared" ref="W27:W36" si="2">+((D27-$D$39)^2+(E27-$E$39)^2+(F27-$F$39)^2+(G27-$G$39)^2+(H27-$H$39)^2+(I27-$I$39)^2+(J27-$J$39)^2+(K27-$K$39)^2+(L27-$L$39)^2+(M27-$M$39)^2+(N27-$N$39)^2+(O27-$O$39)^2+(P27-$P$39)^2+(Q27-$Q$39)^2+(R27-$R$39)^2+(S27-$S$39)^2+(T27-$T$39)^2+(U27-$U$39)^2)^0.5</f>
        <v>0.13053281514807491</v>
      </c>
      <c r="X27" s="141">
        <f>+W27/(W27+V27)</f>
        <v>0.44212612312832911</v>
      </c>
      <c r="Y27" s="143">
        <f>+RANK(X27,$X$27:$X$36)</f>
        <v>7</v>
      </c>
      <c r="Z27" s="143">
        <f>+X27/MAX($X$27:$X$36)*100</f>
        <v>49.494163845152784</v>
      </c>
      <c r="AA27" s="3" t="s">
        <v>100</v>
      </c>
      <c r="AB27" s="88">
        <v>0.2</v>
      </c>
      <c r="AC27" s="89">
        <v>0.2</v>
      </c>
      <c r="AD27" s="90">
        <v>0.2</v>
      </c>
      <c r="AE27" s="91">
        <v>0.2</v>
      </c>
      <c r="AF27" s="91">
        <v>0.2</v>
      </c>
    </row>
    <row r="28" spans="1:45" x14ac:dyDescent="0.25">
      <c r="A28" s="3"/>
      <c r="B28" s="3"/>
      <c r="C28" s="76" t="s">
        <v>44</v>
      </c>
      <c r="D28" s="142">
        <f>+D17*$AB$27</f>
        <v>3.1144883483596064E-2</v>
      </c>
      <c r="E28" s="142">
        <f t="shared" si="0"/>
        <v>1.4470623033613159E-2</v>
      </c>
      <c r="F28" s="142">
        <f t="shared" ref="F28:F36" si="3">+F17*$AD$27</f>
        <v>5.5933238950307766E-2</v>
      </c>
      <c r="G28" s="142">
        <f t="shared" ref="G28:G36" si="4">+G17*$AE$27</f>
        <v>4.1198487563396086E-2</v>
      </c>
      <c r="H28" s="142">
        <f t="shared" ref="H28:H36" si="5">+H17*$AF$27</f>
        <v>0.11191672096431199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1">
        <f t="shared" si="1"/>
        <v>0.15772361848794358</v>
      </c>
      <c r="W28" s="191">
        <f t="shared" si="2"/>
        <v>0.15121563542106092</v>
      </c>
      <c r="X28" s="141">
        <f t="shared" ref="X28:X36" si="6">+W28/(W28+V28)</f>
        <v>0.48946721243005342</v>
      </c>
      <c r="Y28" s="143">
        <f t="shared" ref="Y28:Y36" si="7">+RANK(X28,$X$27:$X$36)</f>
        <v>4</v>
      </c>
      <c r="Z28" s="143">
        <f t="shared" ref="Z28:Z36" si="8">+X28/MAX($X$27:$X$36)*100</f>
        <v>54.793800098103738</v>
      </c>
    </row>
    <row r="29" spans="1:45" x14ac:dyDescent="0.25">
      <c r="A29" s="3"/>
      <c r="B29" s="3"/>
      <c r="C29" s="77" t="s">
        <v>49</v>
      </c>
      <c r="D29" s="142">
        <f>+D18*$AB$27</f>
        <v>2.9777547135535754E-2</v>
      </c>
      <c r="E29" s="142">
        <f t="shared" si="0"/>
        <v>2.4705941764705391E-2</v>
      </c>
      <c r="F29" s="142">
        <f t="shared" si="3"/>
        <v>3.9726241908121018E-2</v>
      </c>
      <c r="G29" s="142">
        <f t="shared" si="4"/>
        <v>0.10388511685779422</v>
      </c>
      <c r="H29" s="142">
        <f t="shared" si="5"/>
        <v>7.9488168645872326E-2</v>
      </c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1">
        <f t="shared" si="1"/>
        <v>0.16244395933308764</v>
      </c>
      <c r="W29" s="191">
        <f t="shared" si="2"/>
        <v>0.13705952024221732</v>
      </c>
      <c r="X29" s="141">
        <f t="shared" si="6"/>
        <v>0.45762246380765692</v>
      </c>
      <c r="Y29" s="143">
        <f t="shared" si="7"/>
        <v>6</v>
      </c>
      <c r="Z29" s="143">
        <f t="shared" si="8"/>
        <v>51.228914144809558</v>
      </c>
    </row>
    <row r="30" spans="1:45" x14ac:dyDescent="0.25">
      <c r="A30" s="3"/>
      <c r="B30" s="3"/>
      <c r="C30" s="78" t="s">
        <v>53</v>
      </c>
      <c r="D30" s="142">
        <f>+D19*$AB$27</f>
        <v>2.130214931397105E-2</v>
      </c>
      <c r="E30" s="142">
        <f t="shared" si="0"/>
        <v>2.4743660759766015E-2</v>
      </c>
      <c r="F30" s="142">
        <f t="shared" si="3"/>
        <v>6.1210604090962739E-2</v>
      </c>
      <c r="G30" s="142">
        <f t="shared" si="4"/>
        <v>0.11108834697070745</v>
      </c>
      <c r="H30" s="142">
        <f t="shared" si="5"/>
        <v>6.5065476859862595E-2</v>
      </c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1">
        <f t="shared" si="1"/>
        <v>0.17090744696525093</v>
      </c>
      <c r="W30" s="191">
        <f t="shared" si="2"/>
        <v>0.1298281811011332</v>
      </c>
      <c r="X30" s="141">
        <f t="shared" si="6"/>
        <v>0.43170202990539935</v>
      </c>
      <c r="Y30" s="143">
        <f t="shared" si="7"/>
        <v>8</v>
      </c>
      <c r="Z30" s="143">
        <f t="shared" si="8"/>
        <v>48.327230359607348</v>
      </c>
    </row>
    <row r="31" spans="1:45" x14ac:dyDescent="0.25">
      <c r="A31" s="3"/>
      <c r="B31" s="3"/>
      <c r="C31" s="78" t="s">
        <v>58</v>
      </c>
      <c r="D31" s="142">
        <f>+D20*$AB$27</f>
        <v>4.9831813573753721E-3</v>
      </c>
      <c r="E31" s="142">
        <f t="shared" si="0"/>
        <v>8.1035488988233706E-2</v>
      </c>
      <c r="F31" s="142">
        <f t="shared" si="3"/>
        <v>6.6821576132634328E-2</v>
      </c>
      <c r="G31" s="142">
        <f t="shared" si="4"/>
        <v>7.4368551909309855E-2</v>
      </c>
      <c r="H31" s="142">
        <f t="shared" si="5"/>
        <v>7.4014258131065006E-2</v>
      </c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1">
        <f t="shared" si="1"/>
        <v>0.18434887175439837</v>
      </c>
      <c r="W31" s="191">
        <f t="shared" si="2"/>
        <v>8.7134110940850842E-2</v>
      </c>
      <c r="X31" s="141">
        <f t="shared" si="6"/>
        <v>0.3209560690537368</v>
      </c>
      <c r="Y31" s="143">
        <f t="shared" si="7"/>
        <v>10</v>
      </c>
      <c r="Z31" s="143">
        <f t="shared" si="8"/>
        <v>35.92968485200997</v>
      </c>
    </row>
    <row r="32" spans="1:45" x14ac:dyDescent="0.25">
      <c r="A32" s="3"/>
      <c r="B32" s="3"/>
      <c r="C32" s="79" t="s">
        <v>63</v>
      </c>
      <c r="D32" s="142">
        <f t="shared" ref="D32:D36" si="9">+D21*$AB$27</f>
        <v>2.3891965412073696E-2</v>
      </c>
      <c r="E32" s="142">
        <f t="shared" si="0"/>
        <v>0.13320902299435675</v>
      </c>
      <c r="F32" s="142">
        <f t="shared" si="3"/>
        <v>5.8354458608978588E-2</v>
      </c>
      <c r="G32" s="142">
        <f t="shared" si="4"/>
        <v>1.4586608873868366E-2</v>
      </c>
      <c r="H32" s="142">
        <f t="shared" si="5"/>
        <v>6.5248981427960526E-2</v>
      </c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1">
        <f t="shared" si="1"/>
        <v>0.18398520866068041</v>
      </c>
      <c r="W32" s="191">
        <f t="shared" si="2"/>
        <v>0.12156620850109087</v>
      </c>
      <c r="X32" s="141">
        <f t="shared" si="6"/>
        <v>0.39785843453224379</v>
      </c>
      <c r="Y32" s="143">
        <f t="shared" si="7"/>
        <v>9</v>
      </c>
      <c r="Z32" s="143">
        <f t="shared" si="8"/>
        <v>44.538581901887007</v>
      </c>
    </row>
    <row r="33" spans="1:26" x14ac:dyDescent="0.25">
      <c r="A33" s="3"/>
      <c r="B33" s="3"/>
      <c r="C33" s="78" t="s">
        <v>66</v>
      </c>
      <c r="D33" s="142">
        <f t="shared" si="9"/>
        <v>3.9450185745888357E-2</v>
      </c>
      <c r="E33" s="142">
        <f t="shared" si="0"/>
        <v>9.6470820224087706E-2</v>
      </c>
      <c r="F33" s="142">
        <f t="shared" si="3"/>
        <v>6.5628333701694436E-2</v>
      </c>
      <c r="G33" s="142">
        <f t="shared" si="4"/>
        <v>8.4509718078761183E-3</v>
      </c>
      <c r="H33" s="142">
        <f t="shared" si="5"/>
        <v>6.2673363740014698E-2</v>
      </c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1">
        <f t="shared" si="1"/>
        <v>0.15180535971454501</v>
      </c>
      <c r="W33" s="191">
        <f t="shared" si="2"/>
        <v>0.13301409075004259</v>
      </c>
      <c r="X33" s="141">
        <f t="shared" si="6"/>
        <v>0.46701196330894762</v>
      </c>
      <c r="Y33" s="143">
        <f t="shared" si="7"/>
        <v>5</v>
      </c>
      <c r="Z33" s="143">
        <f t="shared" si="8"/>
        <v>52.280029205490955</v>
      </c>
    </row>
    <row r="34" spans="1:26" ht="28.5" x14ac:dyDescent="0.25">
      <c r="A34" s="3"/>
      <c r="B34" s="3"/>
      <c r="C34" s="78" t="s">
        <v>69</v>
      </c>
      <c r="D34" s="142">
        <f t="shared" si="9"/>
        <v>0.10880707917938884</v>
      </c>
      <c r="E34" s="142">
        <f t="shared" si="0"/>
        <v>2.973779412412246E-2</v>
      </c>
      <c r="F34" s="142">
        <f t="shared" si="3"/>
        <v>1.3793444614534613E-2</v>
      </c>
      <c r="G34" s="142">
        <f t="shared" si="4"/>
        <v>7.4895768499158993E-2</v>
      </c>
      <c r="H34" s="142">
        <f t="shared" si="5"/>
        <v>9.1997598150480326E-3</v>
      </c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1">
        <f t="shared" si="1"/>
        <v>7.4663664473232985E-2</v>
      </c>
      <c r="W34" s="191">
        <f t="shared" si="2"/>
        <v>0.20757360564574354</v>
      </c>
      <c r="X34" s="141">
        <f t="shared" si="6"/>
        <v>0.73545781376868236</v>
      </c>
      <c r="Y34" s="143">
        <f t="shared" si="7"/>
        <v>2</v>
      </c>
      <c r="Z34" s="143">
        <f t="shared" si="8"/>
        <v>82.331415475532779</v>
      </c>
    </row>
    <row r="35" spans="1:26" x14ac:dyDescent="0.25">
      <c r="A35" s="3"/>
      <c r="B35" s="3"/>
      <c r="C35" s="78" t="s">
        <v>74</v>
      </c>
      <c r="D35" s="142">
        <f t="shared" si="9"/>
        <v>0.13198696568183416</v>
      </c>
      <c r="E35" s="142">
        <f t="shared" si="0"/>
        <v>5.4753708775833569E-3</v>
      </c>
      <c r="F35" s="142">
        <f t="shared" si="3"/>
        <v>3.3862285202348477E-2</v>
      </c>
      <c r="G35" s="142">
        <f t="shared" si="4"/>
        <v>2.8778985075470026E-2</v>
      </c>
      <c r="H35" s="142">
        <f>+H24*$AF$27</f>
        <v>3.3877493913521471E-3</v>
      </c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1">
        <f t="shared" si="1"/>
        <v>2.8565477169943426E-2</v>
      </c>
      <c r="W35" s="191">
        <f t="shared" si="2"/>
        <v>0.2391256356995248</v>
      </c>
      <c r="X35" s="141">
        <f t="shared" si="6"/>
        <v>0.89328940784122124</v>
      </c>
      <c r="Y35" s="143">
        <f t="shared" si="7"/>
        <v>1</v>
      </c>
      <c r="Z35" s="143">
        <f t="shared" si="8"/>
        <v>100</v>
      </c>
    </row>
    <row r="36" spans="1:26" x14ac:dyDescent="0.25">
      <c r="A36" s="3"/>
      <c r="B36" s="3"/>
      <c r="C36" s="80" t="s">
        <v>79</v>
      </c>
      <c r="D36" s="142">
        <f t="shared" si="9"/>
        <v>7.6570835491377651E-2</v>
      </c>
      <c r="E36" s="142">
        <f t="shared" si="0"/>
        <v>4.941188352941079E-2</v>
      </c>
      <c r="F36" s="142">
        <f t="shared" si="3"/>
        <v>7.3340754291915708E-2</v>
      </c>
      <c r="G36" s="142">
        <f t="shared" si="4"/>
        <v>3.4628372285931415E-2</v>
      </c>
      <c r="H36" s="142">
        <f t="shared" si="5"/>
        <v>1.2228949022441895E-2</v>
      </c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1">
        <f t="shared" si="1"/>
        <v>9.649181222160258E-2</v>
      </c>
      <c r="W36" s="191">
        <f t="shared" si="2"/>
        <v>0.17164779334822139</v>
      </c>
      <c r="X36" s="141">
        <f t="shared" si="6"/>
        <v>0.64014337972733404</v>
      </c>
      <c r="Y36" s="143">
        <f t="shared" si="7"/>
        <v>3</v>
      </c>
      <c r="Z36" s="143">
        <f t="shared" si="8"/>
        <v>71.661364626985147</v>
      </c>
    </row>
    <row r="37" spans="1:26" x14ac:dyDescent="0.25">
      <c r="A37" s="3"/>
      <c r="B37" s="3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139"/>
      <c r="W37" s="141"/>
      <c r="X37" s="141"/>
      <c r="Y37" s="141"/>
      <c r="Z37" s="141"/>
    </row>
    <row r="38" spans="1:26" x14ac:dyDescent="0.25">
      <c r="A38" s="3"/>
      <c r="B38" s="3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139"/>
      <c r="W38" s="75"/>
      <c r="X38" s="75"/>
      <c r="Y38" s="75"/>
      <c r="Z38" s="75"/>
    </row>
    <row r="39" spans="1:26" x14ac:dyDescent="0.25">
      <c r="A39" s="3"/>
      <c r="B39" s="3"/>
      <c r="C39" s="144" t="s">
        <v>168</v>
      </c>
      <c r="D39" s="145">
        <f>+MIN(D27:D36)</f>
        <v>4.9831813573753721E-3</v>
      </c>
      <c r="E39" s="145">
        <f>+MAX(E27:E36)</f>
        <v>0.13320902299435675</v>
      </c>
      <c r="F39" s="145">
        <f t="shared" ref="F39:H39" si="10">+MAX(F27:F36)</f>
        <v>0.11248705106269191</v>
      </c>
      <c r="G39" s="145">
        <f t="shared" si="10"/>
        <v>0.11108834697070745</v>
      </c>
      <c r="H39" s="145">
        <f t="shared" si="10"/>
        <v>0.11191672096431199</v>
      </c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39"/>
      <c r="W39" s="75"/>
      <c r="X39" s="75"/>
      <c r="Y39" s="75"/>
      <c r="Z39" s="75"/>
    </row>
    <row r="40" spans="1:26" x14ac:dyDescent="0.25">
      <c r="A40" s="3"/>
      <c r="B40" s="3"/>
      <c r="C40" s="144" t="s">
        <v>167</v>
      </c>
      <c r="D40" s="145">
        <f>+MAX(D27:D36)</f>
        <v>0.13198696568183416</v>
      </c>
      <c r="E40" s="145">
        <f>+MIN(E27:E36)</f>
        <v>5.4753708775833569E-3</v>
      </c>
      <c r="F40" s="145">
        <f t="shared" ref="F40:H40" si="11">+MIN(F27:F36)</f>
        <v>1.3793444614534613E-2</v>
      </c>
      <c r="G40" s="145">
        <f t="shared" si="11"/>
        <v>8.4509718078761183E-3</v>
      </c>
      <c r="H40" s="145">
        <f t="shared" si="11"/>
        <v>3.3877493913521471E-3</v>
      </c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W40" s="75"/>
      <c r="X40" s="75"/>
      <c r="Y40" s="75"/>
      <c r="Z40" s="75"/>
    </row>
    <row r="41" spans="1:26" x14ac:dyDescent="0.25">
      <c r="A41" s="3"/>
      <c r="B41" s="3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W41" s="75"/>
      <c r="X41" s="75"/>
      <c r="Y41" s="75"/>
      <c r="Z41" s="75"/>
    </row>
    <row r="42" spans="1:26" x14ac:dyDescent="0.25">
      <c r="A42" s="3"/>
      <c r="B42" s="3"/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W42" s="75"/>
      <c r="X42" s="75"/>
      <c r="Y42" s="75"/>
      <c r="Z42" s="75"/>
    </row>
    <row r="43" spans="1:26" x14ac:dyDescent="0.25">
      <c r="A43" s="3"/>
      <c r="B43" s="3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W43" s="75"/>
      <c r="X43" s="75"/>
      <c r="Y43" s="75"/>
      <c r="Z43" s="75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4"/>
  <sheetViews>
    <sheetView topLeftCell="B44" zoomScaleNormal="100" workbookViewId="0">
      <selection activeCell="B55" sqref="B55"/>
    </sheetView>
  </sheetViews>
  <sheetFormatPr defaultRowHeight="15" x14ac:dyDescent="0.25"/>
  <cols>
    <col min="1" max="1" width="28.28515625" bestFit="1" customWidth="1"/>
    <col min="4" max="4" width="16.28515625" customWidth="1"/>
    <col min="5" max="5" width="15.5703125" customWidth="1"/>
    <col min="8" max="9" width="15.140625" customWidth="1"/>
    <col min="18" max="18" width="15.28515625" bestFit="1" customWidth="1"/>
    <col min="19" max="19" width="16.7109375" bestFit="1" customWidth="1"/>
    <col min="20" max="20" width="17" bestFit="1" customWidth="1"/>
    <col min="21" max="21" width="16.5703125" bestFit="1" customWidth="1"/>
    <col min="22" max="22" width="14.42578125" bestFit="1" customWidth="1"/>
    <col min="23" max="23" width="16" bestFit="1" customWidth="1"/>
    <col min="24" max="24" width="18.85546875" bestFit="1" customWidth="1"/>
    <col min="25" max="25" width="14.5703125" bestFit="1" customWidth="1"/>
    <col min="26" max="26" width="12.85546875" bestFit="1" customWidth="1"/>
    <col min="27" max="27" width="16.5703125" bestFit="1" customWidth="1"/>
  </cols>
  <sheetData>
    <row r="1" spans="1:27" x14ac:dyDescent="0.25">
      <c r="A1" s="147" t="s">
        <v>87</v>
      </c>
      <c r="B1" s="148" t="s">
        <v>170</v>
      </c>
      <c r="C1" s="148" t="s">
        <v>170</v>
      </c>
      <c r="D1" s="148" t="s">
        <v>183</v>
      </c>
      <c r="E1" s="148" t="s">
        <v>183</v>
      </c>
      <c r="F1" s="148" t="s">
        <v>169</v>
      </c>
      <c r="G1" s="148" t="s">
        <v>169</v>
      </c>
      <c r="H1" s="148" t="s">
        <v>184</v>
      </c>
      <c r="I1" s="148" t="s">
        <v>184</v>
      </c>
      <c r="J1" s="148" t="s">
        <v>208</v>
      </c>
      <c r="K1" s="148" t="s">
        <v>208</v>
      </c>
      <c r="L1" s="148" t="s">
        <v>209</v>
      </c>
      <c r="M1" s="148" t="s">
        <v>209</v>
      </c>
      <c r="N1" s="148"/>
      <c r="O1" s="157" t="s">
        <v>193</v>
      </c>
      <c r="P1" s="157" t="s">
        <v>193</v>
      </c>
    </row>
    <row r="2" spans="1:27" x14ac:dyDescent="0.25">
      <c r="A2" s="149" t="s">
        <v>25</v>
      </c>
      <c r="B2" s="152">
        <f>+AHP_nivel_0!Y191</f>
        <v>93.046965748579183</v>
      </c>
      <c r="C2" s="150">
        <f>+AHP_nivel_0!Z191</f>
        <v>10</v>
      </c>
      <c r="D2" s="152">
        <f>+SAW_nivel_0_minimo!W33</f>
        <v>85.203200130579575</v>
      </c>
      <c r="E2" s="151">
        <f>+SAW_nivel_0_minimo!X33</f>
        <v>3</v>
      </c>
      <c r="F2" s="152">
        <f>+TOPSIS_Nivel_0!Z27</f>
        <v>49.818420991237986</v>
      </c>
      <c r="G2" s="151">
        <f>+TOPSIS_Nivel_0!Y27</f>
        <v>6</v>
      </c>
      <c r="H2" s="151">
        <f>+SAW_nivel_0_máximo!W33</f>
        <v>82.40532487860726</v>
      </c>
      <c r="I2" s="151">
        <f>+SAW_nivel_0_máximo!X33</f>
        <v>10</v>
      </c>
      <c r="J2" s="157">
        <f>+WPM_nivel_0!W33</f>
        <v>68.443680150869824</v>
      </c>
      <c r="K2" s="157">
        <f>+WPM_nivel_0!X33</f>
        <v>2</v>
      </c>
      <c r="L2" s="157">
        <f>'WPM_nivel_0 (maximo)'!W33</f>
        <v>3.791565204751933</v>
      </c>
      <c r="M2" s="157">
        <f>'WPM_nivel_0 (maximo)'!X33</f>
        <v>9</v>
      </c>
      <c r="N2" s="157"/>
      <c r="O2" s="157">
        <f>+K19</f>
        <v>49.314021742905759</v>
      </c>
      <c r="P2" s="157">
        <f>+I19</f>
        <v>9</v>
      </c>
      <c r="S2" t="s">
        <v>196</v>
      </c>
      <c r="T2" s="126" t="s">
        <v>197</v>
      </c>
      <c r="U2" s="126" t="s">
        <v>171</v>
      </c>
      <c r="V2" t="s">
        <v>185</v>
      </c>
      <c r="W2" t="s">
        <v>198</v>
      </c>
      <c r="X2" t="s">
        <v>199</v>
      </c>
      <c r="Y2" t="s">
        <v>186</v>
      </c>
      <c r="Z2" t="s">
        <v>187</v>
      </c>
      <c r="AA2" t="s">
        <v>200</v>
      </c>
    </row>
    <row r="3" spans="1:27" x14ac:dyDescent="0.25">
      <c r="A3" s="167" t="s">
        <v>44</v>
      </c>
      <c r="B3" s="164">
        <f>+AHP_nivel_0!Y192</f>
        <v>97.495996542885877</v>
      </c>
      <c r="C3" s="167">
        <f>+AHP_nivel_0!Z192</f>
        <v>4</v>
      </c>
      <c r="D3" s="152">
        <f>+SAW_nivel_0_minimo!W34</f>
        <v>80.486572618738109</v>
      </c>
      <c r="E3" s="151">
        <f>+SAW_nivel_0_minimo!X34</f>
        <v>8</v>
      </c>
      <c r="F3" s="152">
        <f>+TOPSIS_Nivel_0!Z28</f>
        <v>52.774645600166068</v>
      </c>
      <c r="G3" s="151">
        <f>+TOPSIS_Nivel_0!Y28</f>
        <v>4</v>
      </c>
      <c r="H3" s="165">
        <f>+SAW_nivel_0_máximo!W34</f>
        <v>93.775953626573155</v>
      </c>
      <c r="I3" s="165">
        <f>+SAW_nivel_0_máximo!X34</f>
        <v>4</v>
      </c>
      <c r="J3" s="157">
        <f>+WPM_nivel_0!W34</f>
        <v>9.2255646786955445</v>
      </c>
      <c r="K3" s="157">
        <f>+WPM_nivel_0!X34</f>
        <v>7</v>
      </c>
      <c r="L3" s="157">
        <f>'WPM_nivel_0 (maximo)'!W34</f>
        <v>28.129299959761617</v>
      </c>
      <c r="M3" s="157">
        <f>'WPM_nivel_0 (maximo)'!X34</f>
        <v>4</v>
      </c>
      <c r="N3" s="157"/>
      <c r="O3" s="166">
        <f t="shared" ref="O3:O11" si="0">+K20</f>
        <v>75.613637267772589</v>
      </c>
      <c r="P3" s="166">
        <f t="shared" ref="P3:P11" si="1">+I20</f>
        <v>4</v>
      </c>
      <c r="R3" t="s">
        <v>194</v>
      </c>
      <c r="S3" s="160">
        <f>+CORREL(B2:B11,D2:D11)</f>
        <v>0.1183561828609134</v>
      </c>
      <c r="T3" s="160">
        <f>+CORREL(B2:B11,H2:H11)</f>
        <v>0.47258859619608279</v>
      </c>
      <c r="U3" s="160">
        <f>+CORREL(B2:B11,F2:F11)</f>
        <v>0.64289797781524682</v>
      </c>
      <c r="V3" s="160">
        <f>+CORREL(B2:B11,J2:J11)</f>
        <v>-0.13709026861863835</v>
      </c>
      <c r="W3" s="160">
        <f>+CORREL(D2:D11,F2:F11)</f>
        <v>0.68907678937514372</v>
      </c>
      <c r="X3" s="160">
        <f>+CORREL(D2:D11,H2:H11)</f>
        <v>-0.69785862911551477</v>
      </c>
      <c r="Y3" s="160">
        <f>+CORREL(D2:D11,J2:J11)</f>
        <v>0.87313950100255555</v>
      </c>
      <c r="Z3" s="160">
        <f>+CORREL(F2:F11,J2:J11)</f>
        <v>0.54745004879677239</v>
      </c>
      <c r="AA3" s="160">
        <f>+CORREL(F2:F11,H2:H11)</f>
        <v>-0.32723518308683319</v>
      </c>
    </row>
    <row r="4" spans="1:27" x14ac:dyDescent="0.25">
      <c r="A4" s="167" t="s">
        <v>49</v>
      </c>
      <c r="B4" s="164">
        <f>+AHP_nivel_0!Y193</f>
        <v>98.077742599408651</v>
      </c>
      <c r="C4" s="167">
        <f>+AHP_nivel_0!Z193</f>
        <v>3</v>
      </c>
      <c r="D4" s="152">
        <f>+SAW_nivel_0_minimo!W35</f>
        <v>73.130952870608539</v>
      </c>
      <c r="E4" s="151">
        <f>+SAW_nivel_0_minimo!X35</f>
        <v>10</v>
      </c>
      <c r="F4" s="152">
        <f>+TOPSIS_Nivel_0!Z29</f>
        <v>48.631102978833049</v>
      </c>
      <c r="G4" s="151">
        <f>+TOPSIS_Nivel_0!Y29</f>
        <v>7</v>
      </c>
      <c r="H4" s="165">
        <f>+SAW_nivel_0_máximo!W35</f>
        <v>100</v>
      </c>
      <c r="I4" s="165">
        <f>+SAW_nivel_0_máximo!X35</f>
        <v>1</v>
      </c>
      <c r="J4" s="157">
        <f>+WPM_nivel_0!W35</f>
        <v>2.5950867614520861</v>
      </c>
      <c r="K4" s="157">
        <f>+WPM_nivel_0!X35</f>
        <v>10</v>
      </c>
      <c r="L4" s="157">
        <f>'WPM_nivel_0 (maximo)'!W35</f>
        <v>100</v>
      </c>
      <c r="M4" s="157">
        <f>'WPM_nivel_0 (maximo)'!X35</f>
        <v>1</v>
      </c>
      <c r="N4" s="157"/>
      <c r="O4" s="166">
        <f t="shared" si="0"/>
        <v>78.592878592878577</v>
      </c>
      <c r="P4" s="166">
        <f t="shared" si="1"/>
        <v>3</v>
      </c>
      <c r="R4" t="s">
        <v>195</v>
      </c>
      <c r="S4" s="160">
        <f>+CORREL(C2:C11,E2:E11)</f>
        <v>-0.28484848484848485</v>
      </c>
      <c r="T4" s="160">
        <f>+CORREL(C2:C11,I2:I11)</f>
        <v>0.50303030303030305</v>
      </c>
      <c r="U4" s="160">
        <f>+CORREL(C2:C11,G2:G11)</f>
        <v>0.64848484848484844</v>
      </c>
      <c r="V4" s="160">
        <f>+CORREL(C2:C11,K2:K11)</f>
        <v>-0.36969696969696969</v>
      </c>
      <c r="W4" s="160">
        <f>+CORREL(E2:E11,G2:G11)</f>
        <v>0.38181818181818183</v>
      </c>
      <c r="X4" s="160">
        <f>+CORREL(E2:E11,I2:I11)</f>
        <v>-0.92727272727272736</v>
      </c>
      <c r="Y4" s="160">
        <f>+CORREL(E2:E11,K2:K11)</f>
        <v>0.97575757575757582</v>
      </c>
      <c r="Z4" s="160">
        <f>+CORREL(G2:G11,K2:K11)</f>
        <v>0.32121212121212123</v>
      </c>
      <c r="AA4" s="160">
        <f>+CORREL(G2:G11,I2:I11)</f>
        <v>-0.28484848484848485</v>
      </c>
    </row>
    <row r="5" spans="1:27" x14ac:dyDescent="0.25">
      <c r="A5" s="149" t="s">
        <v>53</v>
      </c>
      <c r="B5" s="152">
        <f>+AHP_nivel_0!Y194</f>
        <v>96.513954227684096</v>
      </c>
      <c r="C5" s="150">
        <f>+AHP_nivel_0!Z194</f>
        <v>5</v>
      </c>
      <c r="D5" s="152">
        <f>+SAW_nivel_0_minimo!W36</f>
        <v>76.823821780698893</v>
      </c>
      <c r="E5" s="151">
        <f>+SAW_nivel_0_minimo!X36</f>
        <v>9</v>
      </c>
      <c r="F5" s="152">
        <f>+TOPSIS_Nivel_0!Z30</f>
        <v>46.501319991016274</v>
      </c>
      <c r="G5" s="151">
        <f>+TOPSIS_Nivel_0!Y30</f>
        <v>8</v>
      </c>
      <c r="H5" s="151">
        <f>+SAW_nivel_0_máximo!W36</f>
        <v>96.974940614475585</v>
      </c>
      <c r="I5" s="151">
        <f>+SAW_nivel_0_máximo!X36</f>
        <v>2</v>
      </c>
      <c r="J5" s="157">
        <f>+WPM_nivel_0!W36</f>
        <v>6.6692141806235936</v>
      </c>
      <c r="K5" s="157">
        <f>+WPM_nivel_0!X36</f>
        <v>9</v>
      </c>
      <c r="L5" s="157">
        <f>'WPM_nivel_0 (maximo)'!W36</f>
        <v>38.911432309247509</v>
      </c>
      <c r="M5" s="157">
        <f>'WPM_nivel_0 (maximo)'!X36</f>
        <v>2</v>
      </c>
      <c r="N5" s="157"/>
      <c r="O5" s="157">
        <f t="shared" si="0"/>
        <v>70.67901234567897</v>
      </c>
      <c r="P5" s="157">
        <f t="shared" si="1"/>
        <v>5</v>
      </c>
    </row>
    <row r="6" spans="1:27" x14ac:dyDescent="0.25">
      <c r="A6" s="149" t="s">
        <v>58</v>
      </c>
      <c r="B6" s="152">
        <f>+AHP_nivel_0!Y195</f>
        <v>95.349342100129348</v>
      </c>
      <c r="C6" s="150">
        <f>+AHP_nivel_0!Z195</f>
        <v>9</v>
      </c>
      <c r="D6" s="152">
        <f>+SAW_nivel_0_minimo!W37</f>
        <v>84.51461061971392</v>
      </c>
      <c r="E6" s="151">
        <f>+SAW_nivel_0_minimo!X37</f>
        <v>6</v>
      </c>
      <c r="F6" s="152">
        <f>+TOPSIS_Nivel_0!Z31</f>
        <v>34.53096745325265</v>
      </c>
      <c r="G6" s="151">
        <f>+TOPSIS_Nivel_0!Y31</f>
        <v>10</v>
      </c>
      <c r="H6" s="151">
        <f>+SAW_nivel_0_máximo!W37</f>
        <v>93.675237254056171</v>
      </c>
      <c r="I6" s="151">
        <f>+SAW_nivel_0_máximo!X37</f>
        <v>5</v>
      </c>
      <c r="J6" s="157">
        <f>+WPM_nivel_0!W37</f>
        <v>23.514617379854865</v>
      </c>
      <c r="K6" s="157">
        <f>+WPM_nivel_0!X37</f>
        <v>6</v>
      </c>
      <c r="L6" s="157">
        <f>'WPM_nivel_0 (maximo)'!W37</f>
        <v>11.036057782829655</v>
      </c>
      <c r="M6" s="157">
        <f>'WPM_nivel_0 (maximo)'!X37</f>
        <v>5</v>
      </c>
      <c r="N6" s="157"/>
      <c r="O6" s="157">
        <f t="shared" si="0"/>
        <v>55.31400966183574</v>
      </c>
      <c r="P6" s="157">
        <f t="shared" si="1"/>
        <v>8</v>
      </c>
    </row>
    <row r="7" spans="1:27" x14ac:dyDescent="0.25">
      <c r="A7" s="149" t="s">
        <v>63</v>
      </c>
      <c r="B7" s="152">
        <f>+AHP_nivel_0!Y196</f>
        <v>95.39388286365903</v>
      </c>
      <c r="C7" s="150">
        <f>+AHP_nivel_0!Z196</f>
        <v>8</v>
      </c>
      <c r="D7" s="152">
        <f>+SAW_nivel_0_minimo!W38</f>
        <v>85.195882400688987</v>
      </c>
      <c r="E7" s="151">
        <f>+SAW_nivel_0_minimo!X38</f>
        <v>4</v>
      </c>
      <c r="F7" s="152">
        <f>+TOPSIS_Nivel_0!Z32</f>
        <v>44.19088792982091</v>
      </c>
      <c r="G7" s="151">
        <f>+TOPSIS_Nivel_0!Y32</f>
        <v>9</v>
      </c>
      <c r="H7" s="151">
        <f>+SAW_nivel_0_máximo!W38</f>
        <v>87.941618327967632</v>
      </c>
      <c r="I7" s="151">
        <f>+SAW_nivel_0_máximo!X38</f>
        <v>6</v>
      </c>
      <c r="J7" s="157">
        <f>+WPM_nivel_0!W38</f>
        <v>32.66422404402087</v>
      </c>
      <c r="K7" s="157">
        <f>+WPM_nivel_0!X38</f>
        <v>4</v>
      </c>
      <c r="L7" s="157">
        <f>'WPM_nivel_0 (maximo)'!W38</f>
        <v>7.9447372083743542</v>
      </c>
      <c r="M7" s="157">
        <f>'WPM_nivel_0 (maximo)'!X38</f>
        <v>7</v>
      </c>
      <c r="N7" s="157"/>
      <c r="O7" s="157">
        <f t="shared" si="0"/>
        <v>48.264506355792655</v>
      </c>
      <c r="P7" s="157">
        <f t="shared" si="1"/>
        <v>10</v>
      </c>
      <c r="S7" t="s">
        <v>201</v>
      </c>
      <c r="T7" t="s">
        <v>202</v>
      </c>
      <c r="U7" t="s">
        <v>203</v>
      </c>
      <c r="V7" t="s">
        <v>204</v>
      </c>
      <c r="W7" t="s">
        <v>206</v>
      </c>
      <c r="X7" t="s">
        <v>207</v>
      </c>
    </row>
    <row r="8" spans="1:27" x14ac:dyDescent="0.25">
      <c r="A8" s="149" t="s">
        <v>66</v>
      </c>
      <c r="B8" s="152">
        <f>+AHP_nivel_0!Y197</f>
        <v>95.564973056148361</v>
      </c>
      <c r="C8" s="150">
        <f>+AHP_nivel_0!Z197</f>
        <v>7</v>
      </c>
      <c r="D8" s="152">
        <f>+SAW_nivel_0_minimo!W39</f>
        <v>84.747649371344423</v>
      </c>
      <c r="E8" s="151">
        <f>+SAW_nivel_0_minimo!X39</f>
        <v>5</v>
      </c>
      <c r="F8" s="152">
        <f>+TOPSIS_Nivel_0!Z33</f>
        <v>52.131044210682745</v>
      </c>
      <c r="G8" s="151">
        <f>+TOPSIS_Nivel_0!Y33</f>
        <v>5</v>
      </c>
      <c r="H8" s="151">
        <f>+SAW_nivel_0_máximo!W39</f>
        <v>85.727718289194115</v>
      </c>
      <c r="I8" s="151">
        <f>+SAW_nivel_0_máximo!X39</f>
        <v>7</v>
      </c>
      <c r="J8" s="157">
        <f>+WPM_nivel_0!W39</f>
        <v>26.881279358347172</v>
      </c>
      <c r="K8" s="157">
        <f>+WPM_nivel_0!X39</f>
        <v>5</v>
      </c>
      <c r="L8" s="157">
        <f>'WPM_nivel_0 (maximo)'!W39</f>
        <v>9.6538811522237431</v>
      </c>
      <c r="M8" s="157">
        <f>'WPM_nivel_0 (maximo)'!X39</f>
        <v>6</v>
      </c>
      <c r="N8" s="157"/>
      <c r="O8" s="157">
        <f t="shared" si="0"/>
        <v>55.515151515151516</v>
      </c>
      <c r="P8" s="157">
        <f t="shared" si="1"/>
        <v>7</v>
      </c>
      <c r="R8" t="s">
        <v>194</v>
      </c>
      <c r="S8" s="160">
        <f>+CORREL(B2:B11,O2:O11)</f>
        <v>0.93825449989354137</v>
      </c>
      <c r="T8" s="160">
        <f>+CORREL(D2:D11,O2:O11)</f>
        <v>0.24897278969754977</v>
      </c>
      <c r="U8" s="160">
        <f>+CORREL(H2:H11,O2:O11)</f>
        <v>0.30661880582243145</v>
      </c>
      <c r="V8" s="160">
        <f>+CORREL(F2:F11,O2:O11)</f>
        <v>0.79198287959144731</v>
      </c>
      <c r="W8" s="160">
        <f>+CORREL(J2:J11,O2:O11)</f>
        <v>7.9709520264958894E-2</v>
      </c>
      <c r="X8" s="160">
        <f>+CORREL(L2:L11,O2:O11)</f>
        <v>0.28299809475480264</v>
      </c>
    </row>
    <row r="9" spans="1:27" x14ac:dyDescent="0.25">
      <c r="A9" s="167" t="s">
        <v>69</v>
      </c>
      <c r="B9" s="164">
        <f>+AHP_nivel_0!Y198</f>
        <v>100</v>
      </c>
      <c r="C9" s="167">
        <f>+AHP_nivel_0!Z198</f>
        <v>1</v>
      </c>
      <c r="D9" s="152">
        <f>+SAW_nivel_0_minimo!W40</f>
        <v>84.247341184347022</v>
      </c>
      <c r="E9" s="151">
        <f>+SAW_nivel_0_minimo!X40</f>
        <v>7</v>
      </c>
      <c r="F9" s="152">
        <f>+TOPSIS_Nivel_0!Z34</f>
        <v>81.143895115604167</v>
      </c>
      <c r="G9" s="151">
        <f>+TOPSIS_Nivel_0!Y34</f>
        <v>2</v>
      </c>
      <c r="H9" s="165">
        <f>+SAW_nivel_0_máximo!W40</f>
        <v>93.922980529297718</v>
      </c>
      <c r="I9" s="165">
        <f>+SAW_nivel_0_máximo!X40</f>
        <v>3</v>
      </c>
      <c r="J9" s="157">
        <f>+WPM_nivel_0!W40</f>
        <v>8.8743168665544534</v>
      </c>
      <c r="K9" s="157">
        <f>+WPM_nivel_0!X40</f>
        <v>8</v>
      </c>
      <c r="L9" s="157">
        <f>'WPM_nivel_0 (maximo)'!W40</f>
        <v>29.242665102848171</v>
      </c>
      <c r="M9" s="157">
        <f>'WPM_nivel_0 (maximo)'!X40</f>
        <v>3</v>
      </c>
      <c r="N9" s="157"/>
      <c r="O9" s="166">
        <f t="shared" si="0"/>
        <v>97.547305174423798</v>
      </c>
      <c r="P9" s="166">
        <f t="shared" si="1"/>
        <v>2</v>
      </c>
      <c r="R9" t="s">
        <v>195</v>
      </c>
      <c r="S9" s="160">
        <f>+CORREL(C2:C11,$P$2:$P$11)</f>
        <v>0.95151515151515142</v>
      </c>
      <c r="T9" s="160">
        <f>+CORREL(E2:E11,$P$2:$P$11)</f>
        <v>-0.22424242424242424</v>
      </c>
      <c r="U9" s="160">
        <f>+CORREL(I2:I11,$P$2:$P$11)</f>
        <v>0.40606060606060607</v>
      </c>
      <c r="V9" s="160">
        <f>+CORREL(G2:G11,$P$2:$P$11)</f>
        <v>0.68484848484848493</v>
      </c>
      <c r="W9" s="160">
        <f>+CORREL(K2:K11,$P$2:$P$11)</f>
        <v>-0.28484848484848485</v>
      </c>
      <c r="X9" s="160">
        <f>+CORREL(M2:M11,$P$2:$P$11)</f>
        <v>0.28484848484848485</v>
      </c>
    </row>
    <row r="10" spans="1:27" x14ac:dyDescent="0.25">
      <c r="A10" s="167" t="s">
        <v>74</v>
      </c>
      <c r="B10" s="164">
        <f>+AHP_nivel_0!Y199</f>
        <v>99.291140095083634</v>
      </c>
      <c r="C10" s="167">
        <f>+AHP_nivel_0!Z199</f>
        <v>2</v>
      </c>
      <c r="D10" s="164">
        <f>+SAW_nivel_0_minimo!W41</f>
        <v>100</v>
      </c>
      <c r="E10" s="165">
        <f>+SAW_nivel_0_minimo!X41</f>
        <v>1</v>
      </c>
      <c r="F10" s="152">
        <f>+TOPSIS_Nivel_0!Z35</f>
        <v>100</v>
      </c>
      <c r="G10" s="151">
        <f>+TOPSIS_Nivel_0!Y35</f>
        <v>1</v>
      </c>
      <c r="H10" s="183">
        <f>+SAW_nivel_0_máximo!W41</f>
        <v>85.613750304919364</v>
      </c>
      <c r="I10" s="183">
        <f>+SAW_nivel_0_máximo!X41</f>
        <v>8</v>
      </c>
      <c r="J10" s="166">
        <f>+WPM_nivel_0!W41</f>
        <v>100</v>
      </c>
      <c r="K10" s="166">
        <f>+WPM_nivel_0!X41</f>
        <v>1</v>
      </c>
      <c r="L10" s="157">
        <f>'WPM_nivel_0 (maximo)'!W41</f>
        <v>2.5950867614520869</v>
      </c>
      <c r="M10" s="157">
        <f>'WPM_nivel_0 (maximo)'!X41</f>
        <v>10</v>
      </c>
      <c r="N10" s="166"/>
      <c r="O10" s="166">
        <f t="shared" si="0"/>
        <v>100</v>
      </c>
      <c r="P10" s="166">
        <f t="shared" si="1"/>
        <v>1</v>
      </c>
    </row>
    <row r="11" spans="1:27" x14ac:dyDescent="0.25">
      <c r="A11" s="150" t="s">
        <v>79</v>
      </c>
      <c r="B11" s="152">
        <f>+AHP_nivel_0!Y200</f>
        <v>95.689278487916567</v>
      </c>
      <c r="C11" s="150">
        <f>+AHP_nivel_0!Z200</f>
        <v>6</v>
      </c>
      <c r="D11" s="152">
        <f>+SAW_nivel_0_minimo!W42</f>
        <v>86.646042704158731</v>
      </c>
      <c r="E11" s="151">
        <f>+SAW_nivel_0_minimo!X42</f>
        <v>2</v>
      </c>
      <c r="F11" s="152">
        <f>+TOPSIS_Nivel_0!Z36</f>
        <v>72.583647513276404</v>
      </c>
      <c r="G11" s="151">
        <f>+TOPSIS_Nivel_0!Y36</f>
        <v>3</v>
      </c>
      <c r="H11" s="151">
        <f>+SAW_nivel_0_máximo!W42</f>
        <v>82.799901123945091</v>
      </c>
      <c r="I11" s="151">
        <f>+SAW_nivel_0_máximo!X42</f>
        <v>9</v>
      </c>
      <c r="J11" s="166">
        <f>+WPM_nivel_0!W42</f>
        <v>41.308519566072022</v>
      </c>
      <c r="K11" s="166">
        <f>+WPM_nivel_0!X42</f>
        <v>3</v>
      </c>
      <c r="L11" s="157">
        <f>'WPM_nivel_0 (maximo)'!W42</f>
        <v>6.2822071299391533</v>
      </c>
      <c r="M11" s="157">
        <f>'WPM_nivel_0 (maximo)'!X42</f>
        <v>8</v>
      </c>
      <c r="N11" s="166"/>
      <c r="O11" s="157">
        <f t="shared" si="0"/>
        <v>67.626430417128077</v>
      </c>
      <c r="P11" s="157">
        <f t="shared" si="1"/>
        <v>6</v>
      </c>
    </row>
    <row r="17" spans="1:11" x14ac:dyDescent="0.25">
      <c r="H17" t="s">
        <v>205</v>
      </c>
    </row>
    <row r="18" spans="1:11" x14ac:dyDescent="0.25">
      <c r="A18" s="86" t="s">
        <v>83</v>
      </c>
      <c r="B18" s="88">
        <v>0.2112</v>
      </c>
      <c r="C18" s="89">
        <v>0.19639999999999999</v>
      </c>
      <c r="D18" s="90">
        <v>0.17449999999999999</v>
      </c>
      <c r="E18" s="91">
        <v>0.20669999999999999</v>
      </c>
      <c r="F18" s="91">
        <v>0.2112</v>
      </c>
      <c r="I18" t="s">
        <v>188</v>
      </c>
    </row>
    <row r="19" spans="1:11" x14ac:dyDescent="0.25">
      <c r="A19" s="158" t="s">
        <v>25</v>
      </c>
      <c r="B19" s="87">
        <f>+AHP_nivel_0!D167</f>
        <v>0.63588621444201299</v>
      </c>
      <c r="C19" s="87">
        <f>+AHP_nivel_0!E167</f>
        <v>0.53652899343544846</v>
      </c>
      <c r="D19" s="87">
        <f>+AHP_nivel_0!F167</f>
        <v>2.4441876367614874</v>
      </c>
      <c r="E19" s="87">
        <f>+AHP_nivel_0!G167</f>
        <v>0.63588621444201299</v>
      </c>
      <c r="F19" s="87">
        <f>+AHP_nivel_0!H167</f>
        <v>1.1922866520787743</v>
      </c>
      <c r="H19" s="160">
        <f>+B19+F19+E19</f>
        <v>2.4640590809628002</v>
      </c>
      <c r="I19">
        <f>+RANK(H19,$H$19:$H$28)</f>
        <v>9</v>
      </c>
      <c r="K19">
        <f>+H19/MAX($H$19:$H$28)*100</f>
        <v>49.314021742905759</v>
      </c>
    </row>
    <row r="20" spans="1:11" x14ac:dyDescent="0.25">
      <c r="A20" s="54" t="s">
        <v>44</v>
      </c>
      <c r="B20" s="87">
        <f>+AHP_nivel_0!D168</f>
        <v>0.91040100250626532</v>
      </c>
      <c r="C20" s="87">
        <f>+AHP_nivel_0!E168</f>
        <v>0.18208020050125306</v>
      </c>
      <c r="D20" s="87">
        <f>+AHP_nivel_0!F168</f>
        <v>1.1380012531328318</v>
      </c>
      <c r="E20" s="87">
        <f>+AHP_nivel_0!G168</f>
        <v>0.59176065162907254</v>
      </c>
      <c r="F20" s="87">
        <f>+AHP_nivel_0!H168</f>
        <v>2.2760025062656632</v>
      </c>
      <c r="H20" s="160">
        <f>+B20+F20+E20</f>
        <v>3.7781641604010012</v>
      </c>
      <c r="I20" s="122">
        <f>+RANK(H20,$H$19:$H$28)</f>
        <v>4</v>
      </c>
      <c r="K20">
        <f t="shared" ref="K20:K28" si="2">+H20/MAX($H$19:$H$28)*100</f>
        <v>75.613637267772589</v>
      </c>
    </row>
    <row r="21" spans="1:11" x14ac:dyDescent="0.25">
      <c r="A21" s="54" t="s">
        <v>49</v>
      </c>
      <c r="B21" s="87">
        <f>+AHP_nivel_0!D169</f>
        <v>0.85903716216216197</v>
      </c>
      <c r="C21" s="87">
        <f>+AHP_nivel_0!E169</f>
        <v>0.3067989864864864</v>
      </c>
      <c r="D21" s="87">
        <f>+AHP_nivel_0!F169</f>
        <v>0.79767736486486474</v>
      </c>
      <c r="E21" s="87">
        <f>+AHP_nivel_0!G169</f>
        <v>1.4726351351351348</v>
      </c>
      <c r="F21" s="87">
        <f>+AHP_nivel_0!H169</f>
        <v>1.5953547297297295</v>
      </c>
      <c r="H21" s="160">
        <f t="shared" ref="H21:H28" si="3">+B21+F21+E21</f>
        <v>3.9270270270270258</v>
      </c>
      <c r="I21" s="122">
        <f>+RANK(H21,$H$19:$H$28)</f>
        <v>3</v>
      </c>
      <c r="K21">
        <f t="shared" si="2"/>
        <v>78.592878592878577</v>
      </c>
    </row>
    <row r="22" spans="1:11" x14ac:dyDescent="0.25">
      <c r="A22" s="54" t="s">
        <v>53</v>
      </c>
      <c r="B22" s="87">
        <f>+AHP_nivel_0!D170</f>
        <v>0.62094017094017051</v>
      </c>
      <c r="C22" s="87">
        <f>+AHP_nivel_0!E170</f>
        <v>0.31047008547008531</v>
      </c>
      <c r="D22" s="87">
        <f>+AHP_nivel_0!F170</f>
        <v>1.2418803418803412</v>
      </c>
      <c r="E22" s="87">
        <f>+AHP_nivel_0!G170</f>
        <v>1.5911591880341871</v>
      </c>
      <c r="F22" s="87">
        <f>+AHP_nivel_0!H170</f>
        <v>1.3194978632478624</v>
      </c>
      <c r="H22" s="160">
        <f t="shared" si="3"/>
        <v>3.5315972222222198</v>
      </c>
      <c r="I22">
        <f t="shared" ref="I22:I28" si="4">+RANK(H22,$H$19:$H$28)</f>
        <v>5</v>
      </c>
      <c r="K22">
        <f t="shared" si="2"/>
        <v>70.67901234567897</v>
      </c>
    </row>
    <row r="23" spans="1:11" x14ac:dyDescent="0.25">
      <c r="A23" s="54" t="s">
        <v>58</v>
      </c>
      <c r="B23" s="87">
        <f>+AHP_nivel_0!D171</f>
        <v>0.14806385869565214</v>
      </c>
      <c r="C23" s="87">
        <f>+AHP_nivel_0!E171</f>
        <v>1.0364470108695649</v>
      </c>
      <c r="D23" s="87">
        <f>+AHP_nivel_0!F171</f>
        <v>1.3819293478260866</v>
      </c>
      <c r="E23" s="87">
        <f>+AHP_nivel_0!G171</f>
        <v>1.0858016304347824</v>
      </c>
      <c r="F23" s="87">
        <f>+AHP_nivel_0!H171</f>
        <v>1.5299932065217388</v>
      </c>
      <c r="H23" s="160">
        <f t="shared" si="3"/>
        <v>2.7638586956521731</v>
      </c>
      <c r="I23">
        <f t="shared" si="4"/>
        <v>8</v>
      </c>
      <c r="K23">
        <f t="shared" si="2"/>
        <v>55.31400966183574</v>
      </c>
    </row>
    <row r="24" spans="1:11" x14ac:dyDescent="0.25">
      <c r="A24" s="54" t="s">
        <v>63</v>
      </c>
      <c r="B24" s="87">
        <f>+AHP_nivel_0!D172</f>
        <v>0.75363070539419064</v>
      </c>
      <c r="C24" s="87">
        <f>+AHP_nivel_0!E172</f>
        <v>1.8087136929460574</v>
      </c>
      <c r="D24" s="87">
        <f>+AHP_nivel_0!F172</f>
        <v>1.2811721991701239</v>
      </c>
      <c r="E24" s="87">
        <f>+AHP_nivel_0!G172</f>
        <v>0.22608921161825718</v>
      </c>
      <c r="F24" s="87">
        <f>+AHP_nivel_0!H172</f>
        <v>1.4318983402489622</v>
      </c>
      <c r="H24" s="160">
        <f t="shared" si="3"/>
        <v>2.4116182572614102</v>
      </c>
      <c r="I24">
        <f t="shared" si="4"/>
        <v>10</v>
      </c>
      <c r="K24">
        <f t="shared" si="2"/>
        <v>48.264506355792655</v>
      </c>
    </row>
    <row r="25" spans="1:11" x14ac:dyDescent="0.25">
      <c r="A25" s="54" t="s">
        <v>66</v>
      </c>
      <c r="B25" s="87">
        <f>+AHP_nivel_0!D173</f>
        <v>1.2548636363636363</v>
      </c>
      <c r="C25" s="87">
        <f>+AHP_nivel_0!E173</f>
        <v>1.3209090909090906</v>
      </c>
      <c r="D25" s="87">
        <f>+AHP_nivel_0!F173</f>
        <v>1.4529999999999998</v>
      </c>
      <c r="E25" s="87">
        <f>+AHP_nivel_0!G173</f>
        <v>0.13209090909090906</v>
      </c>
      <c r="F25" s="87">
        <f>+AHP_nivel_0!H173</f>
        <v>1.3869545454545451</v>
      </c>
      <c r="H25" s="160">
        <f t="shared" si="3"/>
        <v>2.7739090909090907</v>
      </c>
      <c r="I25">
        <f t="shared" si="4"/>
        <v>7</v>
      </c>
      <c r="K25">
        <f t="shared" si="2"/>
        <v>55.515151515151516</v>
      </c>
    </row>
    <row r="26" spans="1:11" ht="28.5" x14ac:dyDescent="0.25">
      <c r="A26" s="54" t="s">
        <v>69</v>
      </c>
      <c r="B26" s="87">
        <f>+AHP_nivel_0!D174</f>
        <v>3.4888418079096035</v>
      </c>
      <c r="C26" s="87">
        <f>+AHP_nivel_0!E174</f>
        <v>0.41045197740112987</v>
      </c>
      <c r="D26" s="87">
        <f>+AHP_nivel_0!F174</f>
        <v>0.30783898305084745</v>
      </c>
      <c r="E26" s="87">
        <f>+AHP_nivel_0!G174</f>
        <v>1.1800494350282482</v>
      </c>
      <c r="F26" s="87">
        <f>+AHP_nivel_0!H174</f>
        <v>0.20522598870056494</v>
      </c>
      <c r="H26" s="160">
        <f t="shared" si="3"/>
        <v>4.8741172316384169</v>
      </c>
      <c r="I26" s="122">
        <f t="shared" si="4"/>
        <v>2</v>
      </c>
      <c r="K26">
        <f t="shared" si="2"/>
        <v>97.547305174423798</v>
      </c>
    </row>
    <row r="27" spans="1:11" x14ac:dyDescent="0.25">
      <c r="A27" s="54" t="s">
        <v>74</v>
      </c>
      <c r="B27" s="87">
        <f>+AHP_nivel_0!D175</f>
        <v>4.4414847161572046</v>
      </c>
      <c r="C27" s="87">
        <f>+AHP_nivel_0!E175</f>
        <v>7.9312227074235797E-2</v>
      </c>
      <c r="D27" s="87">
        <f>+AHP_nivel_0!F175</f>
        <v>0.79312227074235797</v>
      </c>
      <c r="E27" s="87">
        <f>+AHP_nivel_0!G175</f>
        <v>0.47587336244541478</v>
      </c>
      <c r="F27" s="87">
        <f>+AHP_nivel_0!H175</f>
        <v>7.9312227074235797E-2</v>
      </c>
      <c r="H27" s="160">
        <f t="shared" si="3"/>
        <v>4.9966703056768553</v>
      </c>
      <c r="I27" s="122">
        <f t="shared" si="4"/>
        <v>1</v>
      </c>
      <c r="K27">
        <f t="shared" si="2"/>
        <v>100</v>
      </c>
    </row>
    <row r="28" spans="1:11" x14ac:dyDescent="0.25">
      <c r="A28" s="54" t="s">
        <v>79</v>
      </c>
      <c r="B28" s="87">
        <f>+AHP_nivel_0!D176</f>
        <v>2.5343023255813946</v>
      </c>
      <c r="C28" s="87">
        <f>+AHP_nivel_0!E176</f>
        <v>0.70397286821705407</v>
      </c>
      <c r="D28" s="87">
        <f>+AHP_nivel_0!F176</f>
        <v>1.6895348837209294</v>
      </c>
      <c r="E28" s="87">
        <f>+AHP_nivel_0!G176</f>
        <v>0.56317829457364321</v>
      </c>
      <c r="F28" s="87">
        <f>+AHP_nivel_0!H176</f>
        <v>0.28158914728682161</v>
      </c>
      <c r="H28" s="160">
        <f t="shared" si="3"/>
        <v>3.3790697674418597</v>
      </c>
      <c r="I28">
        <f t="shared" si="4"/>
        <v>6</v>
      </c>
      <c r="K28">
        <f t="shared" si="2"/>
        <v>67.626430417128077</v>
      </c>
    </row>
    <row r="29" spans="1:11" x14ac:dyDescent="0.25">
      <c r="A29" s="159"/>
      <c r="B29" s="88">
        <f>+SUM(B19:B28)</f>
        <v>15.647451600152293</v>
      </c>
      <c r="C29" s="88">
        <f t="shared" ref="C29:F29" si="5">+SUM(C19:C28)</f>
        <v>6.6956851333104055</v>
      </c>
      <c r="D29" s="88">
        <f t="shared" si="5"/>
        <v>12.528344281149872</v>
      </c>
      <c r="E29" s="88">
        <f t="shared" si="5"/>
        <v>7.9545240324316628</v>
      </c>
      <c r="F29" s="88">
        <f t="shared" si="5"/>
        <v>11.298115206608898</v>
      </c>
    </row>
    <row r="30" spans="1:11" x14ac:dyDescent="0.25">
      <c r="B30">
        <f>+VARP(B29:F29)</f>
        <v>10.334426513704457</v>
      </c>
    </row>
    <row r="33" spans="1:13" x14ac:dyDescent="0.25">
      <c r="H33" s="160"/>
    </row>
    <row r="34" spans="1:13" x14ac:dyDescent="0.25">
      <c r="H34" s="160"/>
    </row>
    <row r="35" spans="1:13" x14ac:dyDescent="0.25">
      <c r="H35" s="160"/>
    </row>
    <row r="37" spans="1:13" ht="72" thickBot="1" x14ac:dyDescent="0.3">
      <c r="C37" s="54" t="s">
        <v>25</v>
      </c>
      <c r="D37" s="54" t="s">
        <v>44</v>
      </c>
      <c r="E37" s="54" t="s">
        <v>49</v>
      </c>
      <c r="F37" s="54" t="s">
        <v>53</v>
      </c>
      <c r="G37" s="54" t="s">
        <v>58</v>
      </c>
      <c r="H37" s="54" t="s">
        <v>63</v>
      </c>
      <c r="I37" s="54" t="s">
        <v>66</v>
      </c>
      <c r="J37" s="54" t="s">
        <v>69</v>
      </c>
      <c r="K37" s="54" t="s">
        <v>74</v>
      </c>
      <c r="L37" s="54" t="s">
        <v>79</v>
      </c>
    </row>
    <row r="38" spans="1:13" ht="15.75" thickBot="1" x14ac:dyDescent="0.3">
      <c r="A38" s="131" t="s">
        <v>2</v>
      </c>
      <c r="B38" s="88">
        <v>0.2112</v>
      </c>
      <c r="C38" s="87">
        <v>0.63210651391127737</v>
      </c>
      <c r="D38" s="87">
        <v>0.96650214738666307</v>
      </c>
      <c r="E38" s="87">
        <v>0.92407034579407787</v>
      </c>
      <c r="F38" s="87">
        <v>0.66105795729652672</v>
      </c>
      <c r="G38" s="87">
        <v>0.15464034358186612</v>
      </c>
      <c r="H38" s="87">
        <v>0.7414263048445634</v>
      </c>
      <c r="I38" s="87">
        <v>1.22423605335644</v>
      </c>
      <c r="J38" s="87">
        <v>3.3765506213288194</v>
      </c>
      <c r="K38" s="87">
        <v>4.095879370546724</v>
      </c>
      <c r="L38" s="87">
        <v>2.3761808891847718</v>
      </c>
    </row>
    <row r="39" spans="1:13" ht="15.75" thickBot="1" x14ac:dyDescent="0.3">
      <c r="A39" s="132" t="s">
        <v>3</v>
      </c>
      <c r="B39" s="89">
        <v>0.19639999999999999</v>
      </c>
      <c r="C39" s="87">
        <v>0.53333987111264036</v>
      </c>
      <c r="D39" s="87">
        <v>0.19330042947733261</v>
      </c>
      <c r="E39" s="87">
        <v>0.33002512349788493</v>
      </c>
      <c r="F39" s="87">
        <v>0.33052897864826342</v>
      </c>
      <c r="G39" s="87">
        <v>1.0824824050730628</v>
      </c>
      <c r="H39" s="87">
        <v>1.779423131626952</v>
      </c>
      <c r="I39" s="87">
        <v>1.2886695298488839</v>
      </c>
      <c r="J39" s="87">
        <v>0.39724124956809642</v>
      </c>
      <c r="K39" s="87">
        <v>7.3140703045477207E-2</v>
      </c>
      <c r="L39" s="87">
        <v>0.66005024699576997</v>
      </c>
    </row>
    <row r="40" spans="1:13" ht="26.25" thickBot="1" x14ac:dyDescent="0.3">
      <c r="A40" s="133" t="s">
        <v>4</v>
      </c>
      <c r="B40" s="90">
        <v>0.17449999999999999</v>
      </c>
      <c r="C40" s="87">
        <v>2.4296594128464726</v>
      </c>
      <c r="D40" s="87">
        <v>1.2081276842333291</v>
      </c>
      <c r="E40" s="87">
        <v>0.85806532109450095</v>
      </c>
      <c r="F40" s="87">
        <v>1.3221159145930537</v>
      </c>
      <c r="G40" s="87">
        <v>1.4433098734307503</v>
      </c>
      <c r="H40" s="87">
        <v>1.2604247182357575</v>
      </c>
      <c r="I40" s="87">
        <v>1.4175364828337726</v>
      </c>
      <c r="J40" s="87">
        <v>0.29793093717607239</v>
      </c>
      <c r="K40" s="87">
        <v>0.73140703045477207</v>
      </c>
      <c r="L40" s="87">
        <v>1.5841205927898476</v>
      </c>
    </row>
    <row r="41" spans="1:13" ht="15.75" thickBot="1" x14ac:dyDescent="0.3">
      <c r="A41" s="134" t="s">
        <v>5</v>
      </c>
      <c r="B41" s="91">
        <v>0.20669999999999999</v>
      </c>
      <c r="C41" s="87">
        <v>0.63210651391127737</v>
      </c>
      <c r="D41" s="87">
        <v>0.62822639580133111</v>
      </c>
      <c r="E41" s="87">
        <v>1.5841205927898476</v>
      </c>
      <c r="F41" s="87">
        <v>1.6939610155723499</v>
      </c>
      <c r="G41" s="87">
        <v>1.1340291862670182</v>
      </c>
      <c r="H41" s="87">
        <v>0.222427891453369</v>
      </c>
      <c r="I41" s="87">
        <v>0.1288669529848884</v>
      </c>
      <c r="J41" s="87">
        <v>1.142068592508277</v>
      </c>
      <c r="K41" s="87">
        <v>0.43884421827286324</v>
      </c>
      <c r="L41" s="87">
        <v>0.52804019759661591</v>
      </c>
    </row>
    <row r="42" spans="1:13" ht="15.75" thickBot="1" x14ac:dyDescent="0.3">
      <c r="A42" s="135" t="s">
        <v>6</v>
      </c>
      <c r="B42" s="91">
        <v>0.2112</v>
      </c>
      <c r="C42" s="87">
        <v>1.185199713583645</v>
      </c>
      <c r="D42" s="87">
        <v>2.4162553684666577</v>
      </c>
      <c r="E42" s="87">
        <v>1.7161306421890019</v>
      </c>
      <c r="F42" s="87">
        <v>1.4047481592551194</v>
      </c>
      <c r="G42" s="87">
        <v>1.5979502170126165</v>
      </c>
      <c r="H42" s="87">
        <v>1.4087099792046704</v>
      </c>
      <c r="I42" s="87">
        <v>1.3531030063413281</v>
      </c>
      <c r="J42" s="87">
        <v>0.19862062478404821</v>
      </c>
      <c r="K42" s="87">
        <v>7.3140703045477207E-2</v>
      </c>
      <c r="L42" s="87">
        <v>0.26402009879830796</v>
      </c>
    </row>
    <row r="43" spans="1:13" x14ac:dyDescent="0.25">
      <c r="C43" s="160">
        <f>+SUM(C38:C42)</f>
        <v>5.4124120253653132</v>
      </c>
      <c r="D43" s="160">
        <f t="shared" ref="D43:L43" si="6">+SUM(D38:D42)</f>
        <v>5.4124120253653132</v>
      </c>
      <c r="E43" s="160">
        <f t="shared" si="6"/>
        <v>5.4124120253653132</v>
      </c>
      <c r="F43" s="160">
        <f t="shared" si="6"/>
        <v>5.4124120253653132</v>
      </c>
      <c r="G43" s="160">
        <f t="shared" si="6"/>
        <v>5.4124120253653141</v>
      </c>
      <c r="H43" s="160">
        <f t="shared" si="6"/>
        <v>5.4124120253653123</v>
      </c>
      <c r="I43" s="160">
        <f t="shared" si="6"/>
        <v>5.4124120253653132</v>
      </c>
      <c r="J43" s="160">
        <f t="shared" si="6"/>
        <v>5.4124120253653141</v>
      </c>
      <c r="K43" s="160">
        <f t="shared" si="6"/>
        <v>5.4124120253653141</v>
      </c>
      <c r="L43" s="160">
        <f t="shared" si="6"/>
        <v>5.4124120253653132</v>
      </c>
    </row>
    <row r="44" spans="1:13" x14ac:dyDescent="0.25">
      <c r="C44" t="s">
        <v>25</v>
      </c>
      <c r="D44" t="s">
        <v>44</v>
      </c>
      <c r="E44" t="s">
        <v>49</v>
      </c>
      <c r="F44" t="s">
        <v>53</v>
      </c>
      <c r="G44" t="s">
        <v>58</v>
      </c>
      <c r="H44" t="s">
        <v>63</v>
      </c>
      <c r="I44" t="s">
        <v>66</v>
      </c>
      <c r="J44" t="s">
        <v>69</v>
      </c>
      <c r="K44" t="s">
        <v>74</v>
      </c>
      <c r="L44" t="s">
        <v>79</v>
      </c>
    </row>
    <row r="45" spans="1:13" x14ac:dyDescent="0.25">
      <c r="A45" s="184" t="s">
        <v>210</v>
      </c>
      <c r="C45">
        <f t="shared" ref="C45:L45" si="7">+CORREL($B$38:$B$42,C38:C42)</f>
        <v>-0.79718489127052095</v>
      </c>
      <c r="D45" s="122">
        <f t="shared" si="7"/>
        <v>0.20423403286098399</v>
      </c>
      <c r="E45" s="122">
        <f t="shared" si="7"/>
        <v>0.48570585560970048</v>
      </c>
      <c r="F45">
        <f t="shared" si="7"/>
        <v>-1.1918831525443756E-2</v>
      </c>
      <c r="G45">
        <f t="shared" si="7"/>
        <v>-0.38771413767759844</v>
      </c>
      <c r="H45">
        <f t="shared" si="7"/>
        <v>-0.34442585565105938</v>
      </c>
      <c r="I45">
        <f t="shared" si="7"/>
        <v>-0.33186856991523783</v>
      </c>
      <c r="J45" s="122">
        <f t="shared" si="7"/>
        <v>0.46752646028251515</v>
      </c>
      <c r="K45" s="122">
        <f t="shared" si="7"/>
        <v>0.2905600035702719</v>
      </c>
      <c r="L45">
        <f t="shared" si="7"/>
        <v>-0.17777274392045489</v>
      </c>
    </row>
    <row r="47" spans="1:13" ht="15.75" thickBot="1" x14ac:dyDescent="0.3"/>
    <row r="48" spans="1:13" ht="15.75" thickBot="1" x14ac:dyDescent="0.3">
      <c r="A48" s="131" t="s">
        <v>2</v>
      </c>
      <c r="B48" s="88">
        <v>0.2112</v>
      </c>
      <c r="C48" s="182">
        <f>+C38/$C$43</f>
        <v>0.11678832116788319</v>
      </c>
      <c r="D48" s="182">
        <f t="shared" ref="D48:L48" si="8">+D38/$C$43</f>
        <v>0.17857142857142858</v>
      </c>
      <c r="E48" s="182">
        <f t="shared" si="8"/>
        <v>0.17073170731707318</v>
      </c>
      <c r="F48" s="182">
        <f t="shared" si="8"/>
        <v>0.12213740458015265</v>
      </c>
      <c r="G48" s="182">
        <f t="shared" si="8"/>
        <v>2.8571428571428577E-2</v>
      </c>
      <c r="H48" s="182">
        <f t="shared" si="8"/>
        <v>0.13698630136986301</v>
      </c>
      <c r="I48" s="182">
        <f t="shared" si="8"/>
        <v>0.22619047619047622</v>
      </c>
      <c r="J48" s="182">
        <f t="shared" si="8"/>
        <v>0.62385321100917435</v>
      </c>
      <c r="K48" s="182">
        <f t="shared" si="8"/>
        <v>0.75675675675675691</v>
      </c>
      <c r="L48" s="182">
        <f t="shared" si="8"/>
        <v>0.43902439024390244</v>
      </c>
      <c r="M48" s="182"/>
    </row>
    <row r="49" spans="1:13" ht="15.75" thickBot="1" x14ac:dyDescent="0.3">
      <c r="A49" s="132" t="s">
        <v>3</v>
      </c>
      <c r="B49" s="89">
        <v>0.19639999999999999</v>
      </c>
      <c r="C49" s="182">
        <f t="shared" ref="C49:L49" si="9">+C39/$C$43</f>
        <v>9.8540145985401464E-2</v>
      </c>
      <c r="D49" s="182">
        <f t="shared" si="9"/>
        <v>3.5714285714285712E-2</v>
      </c>
      <c r="E49" s="182">
        <f t="shared" si="9"/>
        <v>6.097560975609756E-2</v>
      </c>
      <c r="F49" s="182">
        <f t="shared" si="9"/>
        <v>6.106870229007634E-2</v>
      </c>
      <c r="G49" s="182">
        <f t="shared" si="9"/>
        <v>0.20000000000000004</v>
      </c>
      <c r="H49" s="182">
        <f t="shared" si="9"/>
        <v>0.32876712328767116</v>
      </c>
      <c r="I49" s="182">
        <f t="shared" si="9"/>
        <v>0.23809523809523805</v>
      </c>
      <c r="J49" s="182">
        <f t="shared" si="9"/>
        <v>7.3394495412844041E-2</v>
      </c>
      <c r="K49" s="182">
        <f t="shared" si="9"/>
        <v>1.3513513513513514E-2</v>
      </c>
      <c r="L49" s="182">
        <f t="shared" si="9"/>
        <v>0.12195121951219513</v>
      </c>
      <c r="M49" s="182"/>
    </row>
    <row r="50" spans="1:13" ht="26.25" thickBot="1" x14ac:dyDescent="0.3">
      <c r="A50" s="133" t="s">
        <v>4</v>
      </c>
      <c r="B50" s="90">
        <v>0.17449999999999999</v>
      </c>
      <c r="C50" s="182">
        <f t="shared" ref="C50:L50" si="10">+C40/$C$43</f>
        <v>0.44890510948905105</v>
      </c>
      <c r="D50" s="182">
        <f t="shared" si="10"/>
        <v>0.22321428571428575</v>
      </c>
      <c r="E50" s="182">
        <f t="shared" si="10"/>
        <v>0.15853658536585366</v>
      </c>
      <c r="F50" s="182">
        <f t="shared" si="10"/>
        <v>0.24427480916030536</v>
      </c>
      <c r="G50" s="182">
        <f t="shared" si="10"/>
        <v>0.26666666666666672</v>
      </c>
      <c r="H50" s="182">
        <f t="shared" si="10"/>
        <v>0.23287671232876705</v>
      </c>
      <c r="I50" s="182">
        <f t="shared" si="10"/>
        <v>0.26190476190476192</v>
      </c>
      <c r="J50" s="182">
        <f t="shared" si="10"/>
        <v>5.5045871559633044E-2</v>
      </c>
      <c r="K50" s="182">
        <f t="shared" si="10"/>
        <v>0.13513513513513514</v>
      </c>
      <c r="L50" s="182">
        <f t="shared" si="10"/>
        <v>0.29268292682926828</v>
      </c>
      <c r="M50" s="182"/>
    </row>
    <row r="51" spans="1:13" ht="15.75" thickBot="1" x14ac:dyDescent="0.3">
      <c r="A51" s="134" t="s">
        <v>5</v>
      </c>
      <c r="B51" s="91">
        <v>0.20669999999999999</v>
      </c>
      <c r="C51" s="182">
        <f t="shared" ref="C51:L51" si="11">+C41/$C$43</f>
        <v>0.11678832116788319</v>
      </c>
      <c r="D51" s="182">
        <f t="shared" si="11"/>
        <v>0.11607142857142859</v>
      </c>
      <c r="E51" s="182">
        <f t="shared" si="11"/>
        <v>0.29268292682926828</v>
      </c>
      <c r="F51" s="182">
        <f t="shared" si="11"/>
        <v>0.31297709923664124</v>
      </c>
      <c r="G51" s="182">
        <f t="shared" si="11"/>
        <v>0.20952380952380956</v>
      </c>
      <c r="H51" s="182">
        <f t="shared" si="11"/>
        <v>4.1095890410958895E-2</v>
      </c>
      <c r="I51" s="182">
        <f t="shared" si="11"/>
        <v>2.3809523809523808E-2</v>
      </c>
      <c r="J51" s="182">
        <f t="shared" si="11"/>
        <v>0.21100917431192659</v>
      </c>
      <c r="K51" s="182">
        <f t="shared" si="11"/>
        <v>8.1081081081081086E-2</v>
      </c>
      <c r="L51" s="182">
        <f t="shared" si="11"/>
        <v>9.7560975609756101E-2</v>
      </c>
      <c r="M51" s="182"/>
    </row>
    <row r="52" spans="1:13" ht="15.75" thickBot="1" x14ac:dyDescent="0.3">
      <c r="A52" s="135" t="s">
        <v>6</v>
      </c>
      <c r="B52" s="91">
        <v>0.2112</v>
      </c>
      <c r="C52" s="182">
        <f t="shared" ref="C52:L52" si="12">+C42/$C$43</f>
        <v>0.21897810218978098</v>
      </c>
      <c r="D52" s="182">
        <f t="shared" si="12"/>
        <v>0.44642857142857145</v>
      </c>
      <c r="E52" s="182">
        <f t="shared" si="12"/>
        <v>0.31707317073170732</v>
      </c>
      <c r="F52" s="182">
        <f t="shared" si="12"/>
        <v>0.25954198473282442</v>
      </c>
      <c r="G52" s="182">
        <f t="shared" si="12"/>
        <v>0.2952380952380953</v>
      </c>
      <c r="H52" s="182">
        <f t="shared" si="12"/>
        <v>0.26027397260273971</v>
      </c>
      <c r="I52" s="182">
        <f t="shared" si="12"/>
        <v>0.24999999999999997</v>
      </c>
      <c r="J52" s="182">
        <f t="shared" si="12"/>
        <v>3.669724770642202E-2</v>
      </c>
      <c r="K52" s="182">
        <f t="shared" si="12"/>
        <v>1.3513513513513514E-2</v>
      </c>
      <c r="L52" s="182">
        <f t="shared" si="12"/>
        <v>4.878048780487805E-2</v>
      </c>
      <c r="M52" s="182"/>
    </row>
    <row r="54" spans="1:13" x14ac:dyDescent="0.25">
      <c r="C54">
        <f>+CORREL($B$48:$B$52,C48:C52)</f>
        <v>-0.79718489127052128</v>
      </c>
      <c r="D54">
        <f t="shared" ref="D54:L54" si="13">+CORREL($B$48:$B$52,D48:D52)</f>
        <v>0.20423403286098404</v>
      </c>
      <c r="E54">
        <f t="shared" si="13"/>
        <v>0.48570585560970053</v>
      </c>
      <c r="F54">
        <f t="shared" si="13"/>
        <v>-1.1918831525443796E-2</v>
      </c>
      <c r="G54">
        <f t="shared" si="13"/>
        <v>-0.38771413767759849</v>
      </c>
      <c r="H54">
        <f t="shared" si="13"/>
        <v>-0.34442585565105938</v>
      </c>
      <c r="I54">
        <f t="shared" si="13"/>
        <v>-0.33186856991523778</v>
      </c>
      <c r="J54">
        <f t="shared" si="13"/>
        <v>0.46752646028251521</v>
      </c>
      <c r="K54">
        <f t="shared" si="13"/>
        <v>0.29056000357027184</v>
      </c>
      <c r="L54">
        <f t="shared" si="13"/>
        <v>-0.17777274392045495</v>
      </c>
    </row>
  </sheetData>
  <sortState xmlns:xlrd2="http://schemas.microsoft.com/office/spreadsheetml/2017/richdata2" ref="A19:F29">
    <sortCondition descending="1" ref="B19:B29"/>
    <sortCondition descending="1" ref="F19:F29"/>
    <sortCondition descending="1" ref="E19:E29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f0dbc0-581d-4a2b-92c9-2b3d5622a776" xsi:nil="true"/>
    <lcf76f155ced4ddcb4097134ff3c332f xmlns="a954443d-5ae2-48c6-ae50-eca34d1c85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D1BF32678B8C4396D3503A66DF87E1" ma:contentTypeVersion="16" ma:contentTypeDescription="Criar um novo documento." ma:contentTypeScope="" ma:versionID="c1bb8bb8b09b1ceeb1d47a707044e370">
  <xsd:schema xmlns:xsd="http://www.w3.org/2001/XMLSchema" xmlns:xs="http://www.w3.org/2001/XMLSchema" xmlns:p="http://schemas.microsoft.com/office/2006/metadata/properties" xmlns:ns2="a954443d-5ae2-48c6-ae50-eca34d1c85e4" xmlns:ns3="a9f0dbc0-581d-4a2b-92c9-2b3d5622a776" targetNamespace="http://schemas.microsoft.com/office/2006/metadata/properties" ma:root="true" ma:fieldsID="7849ab7f6d04e0256aef421b43e6a414" ns2:_="" ns3:_="">
    <xsd:import namespace="a954443d-5ae2-48c6-ae50-eca34d1c85e4"/>
    <xsd:import namespace="a9f0dbc0-581d-4a2b-92c9-2b3d5622a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4443d-5ae2-48c6-ae50-eca34d1c8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1d602765-7830-46ba-a66b-13b8df2c5c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f0dbc0-581d-4a2b-92c9-2b3d5622a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6311d6-1b7d-4637-912d-912fefadff1b}" ma:internalName="TaxCatchAll" ma:showField="CatchAllData" ma:web="a9f0dbc0-581d-4a2b-92c9-2b3d5622a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66DBE-F6CA-4AE3-AAEE-1EBA11DA963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137996f3-62b9-40d5-8172-3dbaaf141940"/>
    <ds:schemaRef ds:uri="http://purl.org/dc/dcmitype/"/>
    <ds:schemaRef ds:uri="http://schemas.microsoft.com/office/infopath/2007/PartnerControls"/>
    <ds:schemaRef ds:uri="http://schemas.microsoft.com/office/2006/metadata/properties"/>
    <ds:schemaRef ds:uri="71f9d32c-0c2b-4340-b262-499cf52787ca"/>
    <ds:schemaRef ds:uri="http://www.w3.org/XML/1998/namespace"/>
    <ds:schemaRef ds:uri="http://purl.org/dc/elements/1.1/"/>
    <ds:schemaRef ds:uri="a9f0dbc0-581d-4a2b-92c9-2b3d5622a776"/>
    <ds:schemaRef ds:uri="a954443d-5ae2-48c6-ae50-eca34d1c85e4"/>
  </ds:schemaRefs>
</ds:datastoreItem>
</file>

<file path=customXml/itemProps2.xml><?xml version="1.0" encoding="utf-8"?>
<ds:datastoreItem xmlns:ds="http://schemas.openxmlformats.org/officeDocument/2006/customXml" ds:itemID="{12FB4C4F-5F93-4938-B75F-590DFEF7D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D6D231-A466-44E2-BE0A-6679C1CC1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4443d-5ae2-48c6-ae50-eca34d1c85e4"/>
    <ds:schemaRef ds:uri="a9f0dbc0-581d-4a2b-92c9-2b3d5622a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13</vt:i4>
      </vt:variant>
    </vt:vector>
  </HeadingPairs>
  <TitlesOfParts>
    <vt:vector size="13" baseType="lpstr">
      <vt:lpstr>AHP_nivel_0</vt:lpstr>
      <vt:lpstr>AHP_nivel_0 (neutral)</vt:lpstr>
      <vt:lpstr>SAW_nivel_0_máximo</vt:lpstr>
      <vt:lpstr>SAW_nivel_0_máximo (neutral)</vt:lpstr>
      <vt:lpstr>WPM_nivel_0 (maximo)</vt:lpstr>
      <vt:lpstr>WPM_nivel_0 (maximo) (neutral)</vt:lpstr>
      <vt:lpstr>TOPSIS_Nivel_0</vt:lpstr>
      <vt:lpstr>TOPSIS_Nivel_0 (neutral)</vt:lpstr>
      <vt:lpstr>Comparacao_MCDM_Nivel_0</vt:lpstr>
      <vt:lpstr>Comparacao_NeutralScenario</vt:lpstr>
      <vt:lpstr>Comparacao_de_3_MCDM_Nivel_0</vt:lpstr>
      <vt:lpstr>SAW_nivel_0_minimo</vt:lpstr>
      <vt:lpstr>WPM_nivel_0</vt:lpstr>
    </vt:vector>
  </TitlesOfParts>
  <Company>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Monique Borges</cp:lastModifiedBy>
  <dcterms:created xsi:type="dcterms:W3CDTF">2021-10-15T13:56:44Z</dcterms:created>
  <dcterms:modified xsi:type="dcterms:W3CDTF">2026-04-09T15:57:18Z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0x01010011D1BF32678B8C4396D3503A66DF87E1</vt:lpwstr>
  </property>
  <property fmtid="{D5CDD505-2E9C-101B-9397-08002B2CF9AE}" pid="3" name="MediaServiceImageTags">
    <vt:lpwstr/>
  </property>
</Properties>
</file>