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uapt33090.sharepoint.com/sites/OP_Artigos_A_Submeter/Shared Documents/Humanities and Social Sciences Communications/Data_BaseDados/Revised_Similarity/"/>
    </mc:Choice>
  </mc:AlternateContent>
  <xr:revisionPtr revIDLastSave="1" documentId="14_{FF0D8673-1715-4F06-94DF-B358782B6849}" xr6:coauthVersionLast="47" xr6:coauthVersionMax="47" xr10:uidLastSave="{F969D533-FCAB-43AE-9060-90A845687016}"/>
  <bookViews>
    <workbookView xWindow="-120" yWindow="-120" windowWidth="29040" windowHeight="15840" tabRatio="697" firstSheet="3" activeTab="9" xr2:uid="{00000000-000D-0000-FFFF-FFFF00000000}"/>
  </bookViews>
  <sheets>
    <sheet name="AHP_nivel_0" sheetId="1" r:id="rId1"/>
    <sheet name="AHP_nivel_0 (neutral)" sheetId="13" r:id="rId2"/>
    <sheet name="SAW_nivel_0_minimo" sheetId="8" r:id="rId3"/>
    <sheet name="SAW_nivel_0_máximo" sheetId="10" r:id="rId4"/>
    <sheet name="SAW_nivel_0_máximo (neutral)" sheetId="14" r:id="rId5"/>
    <sheet name="WPM_nivel_0" sheetId="9" r:id="rId6"/>
    <sheet name="WPM_nivel_0 (maximo)" sheetId="11" r:id="rId7"/>
    <sheet name="WPM_nivel_0 (maximo) (neutral)" sheetId="15" r:id="rId8"/>
    <sheet name="TOPSIS_Nivel_0" sheetId="3" r:id="rId9"/>
    <sheet name="TOPSIS_Nivel_0 (neutral)" sheetId="1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4" i="15" l="1"/>
  <c r="AE42" i="14"/>
  <c r="AE41" i="14"/>
  <c r="AE40" i="14"/>
  <c r="AC24" i="14"/>
  <c r="U136" i="13"/>
  <c r="T136" i="13"/>
  <c r="S136" i="13"/>
  <c r="R136" i="13"/>
  <c r="Q136" i="13"/>
  <c r="P136" i="13"/>
  <c r="L119" i="13"/>
  <c r="K119" i="13"/>
  <c r="J119" i="13"/>
  <c r="L118" i="13"/>
  <c r="K118" i="13"/>
  <c r="J118" i="13"/>
  <c r="M117" i="13"/>
  <c r="L117" i="13"/>
  <c r="K117" i="13"/>
  <c r="J117" i="13"/>
  <c r="M116" i="13"/>
  <c r="L116" i="13"/>
  <c r="K116" i="13"/>
  <c r="J116" i="13"/>
  <c r="M115" i="13"/>
  <c r="L115" i="13"/>
  <c r="K115" i="13"/>
  <c r="J115" i="13"/>
  <c r="N114" i="13"/>
  <c r="M114" i="13"/>
  <c r="L114" i="13"/>
  <c r="K114" i="13"/>
  <c r="J114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X53" i="13"/>
  <c r="AD38" i="13"/>
  <c r="AC38" i="13"/>
  <c r="AB38" i="13"/>
  <c r="AA38" i="13"/>
  <c r="Z38" i="13"/>
  <c r="AD37" i="13"/>
  <c r="AC37" i="13"/>
  <c r="AB37" i="13"/>
  <c r="AA37" i="13"/>
  <c r="Z37" i="13"/>
  <c r="AD36" i="13"/>
  <c r="AC36" i="13"/>
  <c r="AB36" i="13"/>
  <c r="AA36" i="13"/>
  <c r="Z36" i="13"/>
  <c r="U35" i="13"/>
  <c r="T35" i="13"/>
  <c r="S35" i="13"/>
  <c r="U34" i="13"/>
  <c r="T34" i="13"/>
  <c r="S34" i="13"/>
  <c r="G34" i="13"/>
  <c r="U33" i="13"/>
  <c r="T33" i="13"/>
  <c r="S33" i="13"/>
  <c r="U32" i="13"/>
  <c r="T32" i="13"/>
  <c r="S32" i="13"/>
  <c r="K32" i="13"/>
  <c r="J32" i="13"/>
  <c r="I32" i="13"/>
  <c r="U31" i="13"/>
  <c r="T31" i="13"/>
  <c r="S31" i="13"/>
  <c r="N31" i="13"/>
  <c r="U30" i="13"/>
  <c r="T30" i="13"/>
  <c r="S30" i="13"/>
  <c r="U29" i="13"/>
  <c r="T29" i="13"/>
  <c r="S29" i="13"/>
  <c r="L25" i="13"/>
  <c r="R24" i="13"/>
  <c r="P24" i="13"/>
  <c r="J24" i="13"/>
  <c r="H24" i="13"/>
  <c r="N23" i="13"/>
  <c r="F23" i="13"/>
  <c r="R22" i="13"/>
  <c r="N22" i="13"/>
  <c r="F22" i="13"/>
  <c r="F21" i="13"/>
  <c r="L20" i="13"/>
  <c r="R19" i="13"/>
  <c r="M19" i="13"/>
  <c r="L19" i="13"/>
  <c r="F19" i="13"/>
  <c r="E19" i="13"/>
  <c r="R17" i="13"/>
  <c r="R25" i="13" s="1"/>
  <c r="Q17" i="13"/>
  <c r="Q22" i="13" s="1"/>
  <c r="P17" i="13"/>
  <c r="P25" i="13" s="1"/>
  <c r="O17" i="13"/>
  <c r="N17" i="13"/>
  <c r="N25" i="13" s="1"/>
  <c r="M17" i="13"/>
  <c r="M21" i="13" s="1"/>
  <c r="L17" i="13"/>
  <c r="L23" i="13" s="1"/>
  <c r="K17" i="13"/>
  <c r="K25" i="13" s="1"/>
  <c r="J17" i="13"/>
  <c r="J25" i="13" s="1"/>
  <c r="I17" i="13"/>
  <c r="I20" i="13" s="1"/>
  <c r="H17" i="13"/>
  <c r="H25" i="13" s="1"/>
  <c r="G17" i="13"/>
  <c r="F17" i="13"/>
  <c r="F25" i="13" s="1"/>
  <c r="E17" i="13"/>
  <c r="E22" i="13" s="1"/>
  <c r="D17" i="13"/>
  <c r="D19" i="13" s="1"/>
  <c r="V13" i="13"/>
  <c r="V12" i="13"/>
  <c r="V11" i="13"/>
  <c r="V10" i="13"/>
  <c r="V9" i="13"/>
  <c r="V8" i="13"/>
  <c r="V7" i="13"/>
  <c r="V6" i="13"/>
  <c r="V5" i="13"/>
  <c r="V4" i="13"/>
  <c r="X53" i="1"/>
  <c r="Z43" i="1" s="1"/>
  <c r="K21" i="13" l="1"/>
  <c r="D20" i="13"/>
  <c r="H23" i="13"/>
  <c r="H19" i="13"/>
  <c r="N19" i="13"/>
  <c r="H21" i="13"/>
  <c r="H22" i="13"/>
  <c r="D23" i="13"/>
  <c r="J23" i="13"/>
  <c r="R23" i="13"/>
  <c r="M24" i="13"/>
  <c r="D25" i="13"/>
  <c r="P23" i="13"/>
  <c r="J19" i="13"/>
  <c r="P19" i="13"/>
  <c r="K20" i="13"/>
  <c r="J21" i="13"/>
  <c r="M22" i="13"/>
  <c r="E23" i="13"/>
  <c r="M23" i="13"/>
  <c r="D24" i="13"/>
  <c r="N24" i="13"/>
  <c r="AC23" i="15"/>
  <c r="AC23" i="14"/>
  <c r="Z44" i="13"/>
  <c r="Z45" i="13"/>
  <c r="Z46" i="13"/>
  <c r="Z48" i="13"/>
  <c r="Z49" i="13"/>
  <c r="G22" i="13"/>
  <c r="G21" i="13"/>
  <c r="G23" i="13"/>
  <c r="G19" i="13"/>
  <c r="O24" i="13"/>
  <c r="O23" i="13"/>
  <c r="O19" i="13"/>
  <c r="O22" i="13"/>
  <c r="G20" i="13"/>
  <c r="O25" i="13"/>
  <c r="Z47" i="13"/>
  <c r="Q25" i="13"/>
  <c r="V14" i="13"/>
  <c r="W7" i="13" s="1"/>
  <c r="K24" i="13"/>
  <c r="K23" i="13"/>
  <c r="K19" i="13"/>
  <c r="O20" i="13"/>
  <c r="O21" i="13"/>
  <c r="G25" i="13"/>
  <c r="I21" i="13"/>
  <c r="I24" i="13"/>
  <c r="I23" i="13"/>
  <c r="I19" i="13"/>
  <c r="Q24" i="13"/>
  <c r="Q23" i="13"/>
  <c r="Q19" i="13"/>
  <c r="D22" i="13"/>
  <c r="D21" i="13"/>
  <c r="L22" i="13"/>
  <c r="L21" i="13"/>
  <c r="Q20" i="13"/>
  <c r="Q21" i="13"/>
  <c r="L24" i="13"/>
  <c r="I25" i="13"/>
  <c r="Z43" i="13"/>
  <c r="E20" i="13"/>
  <c r="E25" i="13"/>
  <c r="M25" i="13"/>
  <c r="M20" i="13"/>
  <c r="E24" i="13"/>
  <c r="F20" i="13"/>
  <c r="N20" i="13"/>
  <c r="E21" i="13"/>
  <c r="P22" i="13"/>
  <c r="F24" i="13"/>
  <c r="H20" i="13"/>
  <c r="P20" i="13"/>
  <c r="P21" i="13"/>
  <c r="J20" i="13"/>
  <c r="R20" i="13"/>
  <c r="R21" i="13"/>
  <c r="V24" i="13" l="1"/>
  <c r="AC26" i="15"/>
  <c r="AC25" i="15"/>
  <c r="AC25" i="14"/>
  <c r="AC26" i="14"/>
  <c r="W10" i="13"/>
  <c r="W6" i="13"/>
  <c r="W13" i="13"/>
  <c r="W5" i="13"/>
  <c r="W12" i="13"/>
  <c r="W9" i="13"/>
  <c r="W8" i="13"/>
  <c r="W4" i="13"/>
  <c r="V25" i="13"/>
  <c r="Z53" i="13"/>
  <c r="V21" i="13"/>
  <c r="V22" i="13"/>
  <c r="V20" i="13"/>
  <c r="V19" i="13"/>
  <c r="W11" i="13"/>
  <c r="V23" i="13"/>
  <c r="AD21" i="15" l="1"/>
  <c r="AC21" i="15"/>
  <c r="AE20" i="15"/>
  <c r="AB21" i="15"/>
  <c r="AD20" i="15"/>
  <c r="AE21" i="15"/>
  <c r="AA21" i="15"/>
  <c r="AC20" i="15"/>
  <c r="AB20" i="15"/>
  <c r="AA20" i="15"/>
  <c r="AA11" i="15"/>
  <c r="AE21" i="14"/>
  <c r="AD21" i="14"/>
  <c r="AC21" i="14"/>
  <c r="AE20" i="14"/>
  <c r="AA11" i="14"/>
  <c r="AB21" i="14"/>
  <c r="AD20" i="14"/>
  <c r="AA21" i="14"/>
  <c r="AC20" i="14"/>
  <c r="AB20" i="14"/>
  <c r="AA20" i="14"/>
  <c r="X14" i="13"/>
  <c r="V26" i="13"/>
  <c r="X22" i="13" l="1"/>
  <c r="X24" i="13"/>
  <c r="X25" i="13"/>
  <c r="X21" i="13"/>
  <c r="X19" i="13"/>
  <c r="X23" i="13"/>
  <c r="X20" i="13"/>
  <c r="E33" i="13" l="1"/>
  <c r="M33" i="13"/>
  <c r="R33" i="13"/>
  <c r="P33" i="13"/>
  <c r="J33" i="13"/>
  <c r="D33" i="13"/>
  <c r="H33" i="13"/>
  <c r="N33" i="13"/>
  <c r="L33" i="13"/>
  <c r="F33" i="13"/>
  <c r="O33" i="13"/>
  <c r="K33" i="13"/>
  <c r="Q33" i="13"/>
  <c r="I33" i="13"/>
  <c r="G33" i="13"/>
  <c r="AA33" i="13" s="1"/>
  <c r="E47" i="13" s="1"/>
  <c r="E59" i="13" s="1"/>
  <c r="I30" i="13"/>
  <c r="K30" i="13"/>
  <c r="L30" i="13"/>
  <c r="D30" i="13"/>
  <c r="M30" i="13"/>
  <c r="Q30" i="13"/>
  <c r="O30" i="13"/>
  <c r="G30" i="13"/>
  <c r="P30" i="13"/>
  <c r="J30" i="13"/>
  <c r="R30" i="13"/>
  <c r="N30" i="13"/>
  <c r="F30" i="13"/>
  <c r="E30" i="13"/>
  <c r="H30" i="13"/>
  <c r="R29" i="13"/>
  <c r="J29" i="13"/>
  <c r="P29" i="13"/>
  <c r="E29" i="13"/>
  <c r="H29" i="13"/>
  <c r="N29" i="13"/>
  <c r="D29" i="13"/>
  <c r="L29" i="13"/>
  <c r="F29" i="13"/>
  <c r="M29" i="13"/>
  <c r="Q29" i="13"/>
  <c r="G29" i="13"/>
  <c r="I29" i="13"/>
  <c r="K29" i="13"/>
  <c r="O29" i="13"/>
  <c r="H31" i="13"/>
  <c r="K31" i="13"/>
  <c r="F31" i="13"/>
  <c r="M31" i="13"/>
  <c r="J31" i="13"/>
  <c r="L31" i="13"/>
  <c r="R31" i="13"/>
  <c r="E31" i="13"/>
  <c r="D31" i="13"/>
  <c r="P31" i="13"/>
  <c r="G31" i="13"/>
  <c r="O31" i="13"/>
  <c r="I31" i="13"/>
  <c r="Q31" i="13"/>
  <c r="R35" i="13"/>
  <c r="D35" i="13"/>
  <c r="J35" i="13"/>
  <c r="F35" i="13"/>
  <c r="H35" i="13"/>
  <c r="K35" i="13"/>
  <c r="P35" i="13"/>
  <c r="N35" i="13"/>
  <c r="L35" i="13"/>
  <c r="M35" i="13"/>
  <c r="E35" i="13"/>
  <c r="I35" i="13"/>
  <c r="Q35" i="13"/>
  <c r="G35" i="13"/>
  <c r="O35" i="13"/>
  <c r="J34" i="13"/>
  <c r="R34" i="13"/>
  <c r="N34" i="13"/>
  <c r="M34" i="13"/>
  <c r="D34" i="13"/>
  <c r="H34" i="13"/>
  <c r="AA34" i="13" s="1"/>
  <c r="E48" i="13" s="1"/>
  <c r="E60" i="13" s="1"/>
  <c r="P34" i="13"/>
  <c r="I34" i="13"/>
  <c r="F34" i="13"/>
  <c r="Q34" i="13"/>
  <c r="L34" i="13"/>
  <c r="O34" i="13"/>
  <c r="K34" i="13"/>
  <c r="E34" i="13"/>
  <c r="R32" i="13"/>
  <c r="M32" i="13"/>
  <c r="F32" i="13"/>
  <c r="H32" i="13"/>
  <c r="E32" i="13"/>
  <c r="Q32" i="13"/>
  <c r="N32" i="13"/>
  <c r="G32" i="13"/>
  <c r="AA32" i="13" s="1"/>
  <c r="E46" i="13" s="1"/>
  <c r="E58" i="13" s="1"/>
  <c r="O32" i="13"/>
  <c r="P32" i="13"/>
  <c r="D32" i="13"/>
  <c r="L32" i="13"/>
  <c r="AB32" i="13" s="1"/>
  <c r="F46" i="13" s="1"/>
  <c r="F58" i="13" s="1"/>
  <c r="AD31" i="13" l="1"/>
  <c r="H45" i="13" s="1"/>
  <c r="H57" i="13" s="1"/>
  <c r="AA30" i="13"/>
  <c r="E44" i="13" s="1"/>
  <c r="E56" i="13" s="1"/>
  <c r="AC34" i="13"/>
  <c r="G48" i="13" s="1"/>
  <c r="G60" i="13" s="1"/>
  <c r="AB35" i="13"/>
  <c r="F49" i="13" s="1"/>
  <c r="F61" i="13" s="1"/>
  <c r="F86" i="13" s="1"/>
  <c r="AC35" i="13"/>
  <c r="G49" i="13" s="1"/>
  <c r="G61" i="13" s="1"/>
  <c r="E70" i="13"/>
  <c r="E83" i="13"/>
  <c r="E85" i="13"/>
  <c r="E72" i="13"/>
  <c r="AA31" i="13"/>
  <c r="E45" i="13" s="1"/>
  <c r="E57" i="13" s="1"/>
  <c r="AC29" i="13"/>
  <c r="G43" i="13" s="1"/>
  <c r="G55" i="13" s="1"/>
  <c r="AB29" i="13"/>
  <c r="F43" i="13" s="1"/>
  <c r="F55" i="13" s="1"/>
  <c r="AD30" i="13"/>
  <c r="H44" i="13" s="1"/>
  <c r="H56" i="13" s="1"/>
  <c r="E68" i="13"/>
  <c r="E81" i="13"/>
  <c r="V31" i="13"/>
  <c r="Z31" i="13"/>
  <c r="D45" i="13" s="1"/>
  <c r="Z35" i="13"/>
  <c r="D49" i="13" s="1"/>
  <c r="V35" i="13"/>
  <c r="V29" i="13"/>
  <c r="Z29" i="13"/>
  <c r="D43" i="13" s="1"/>
  <c r="AB33" i="13"/>
  <c r="F47" i="13" s="1"/>
  <c r="F59" i="13" s="1"/>
  <c r="E71" i="13"/>
  <c r="E84" i="13"/>
  <c r="F83" i="13"/>
  <c r="F70" i="13"/>
  <c r="AC30" i="13"/>
  <c r="G44" i="13" s="1"/>
  <c r="G56" i="13" s="1"/>
  <c r="AD33" i="13"/>
  <c r="H47" i="13" s="1"/>
  <c r="H59" i="13" s="1"/>
  <c r="V34" i="13"/>
  <c r="Z34" i="13"/>
  <c r="D48" i="13" s="1"/>
  <c r="G85" i="13"/>
  <c r="G72" i="13"/>
  <c r="G86" i="13"/>
  <c r="G73" i="13"/>
  <c r="V32" i="13"/>
  <c r="Z32" i="13"/>
  <c r="D46" i="13" s="1"/>
  <c r="AB34" i="13"/>
  <c r="F48" i="13" s="1"/>
  <c r="F60" i="13" s="1"/>
  <c r="V30" i="13"/>
  <c r="Z30" i="13"/>
  <c r="D44" i="13" s="1"/>
  <c r="F73" i="13"/>
  <c r="V33" i="13"/>
  <c r="Z33" i="13"/>
  <c r="D47" i="13" s="1"/>
  <c r="AD32" i="13"/>
  <c r="H46" i="13" s="1"/>
  <c r="H58" i="13" s="1"/>
  <c r="AC32" i="13"/>
  <c r="G46" i="13" s="1"/>
  <c r="G58" i="13" s="1"/>
  <c r="AD35" i="13"/>
  <c r="H49" i="13" s="1"/>
  <c r="H61" i="13" s="1"/>
  <c r="AB31" i="13"/>
  <c r="F45" i="13" s="1"/>
  <c r="F57" i="13" s="1"/>
  <c r="AA29" i="13"/>
  <c r="E43" i="13" s="1"/>
  <c r="E55" i="13" s="1"/>
  <c r="AC33" i="13"/>
  <c r="G47" i="13" s="1"/>
  <c r="G59" i="13" s="1"/>
  <c r="H82" i="13"/>
  <c r="H69" i="13"/>
  <c r="AD34" i="13"/>
  <c r="H48" i="13" s="1"/>
  <c r="H60" i="13" s="1"/>
  <c r="AA35" i="13"/>
  <c r="E49" i="13" s="1"/>
  <c r="E61" i="13" s="1"/>
  <c r="AC31" i="13"/>
  <c r="G45" i="13" s="1"/>
  <c r="G57" i="13" s="1"/>
  <c r="AD29" i="13"/>
  <c r="H43" i="13" s="1"/>
  <c r="H55" i="13" s="1"/>
  <c r="AB30" i="13"/>
  <c r="F44" i="13" s="1"/>
  <c r="F56" i="13" s="1"/>
  <c r="F85" i="13" l="1"/>
  <c r="F72" i="13"/>
  <c r="D58" i="13"/>
  <c r="W46" i="13"/>
  <c r="H84" i="13"/>
  <c r="H71" i="13"/>
  <c r="F80" i="13"/>
  <c r="F67" i="13"/>
  <c r="H81" i="13"/>
  <c r="H68" i="13"/>
  <c r="W47" i="13"/>
  <c r="D59" i="13"/>
  <c r="G68" i="13"/>
  <c r="G81" i="13"/>
  <c r="G80" i="13"/>
  <c r="G67" i="13"/>
  <c r="W43" i="13"/>
  <c r="D55" i="13"/>
  <c r="W49" i="13"/>
  <c r="D61" i="13"/>
  <c r="E82" i="13"/>
  <c r="E69" i="13"/>
  <c r="G71" i="13"/>
  <c r="G84" i="13"/>
  <c r="W45" i="13"/>
  <c r="D57" i="13"/>
  <c r="H85" i="13"/>
  <c r="H72" i="13"/>
  <c r="E80" i="13"/>
  <c r="E67" i="13"/>
  <c r="G83" i="13"/>
  <c r="G70" i="13"/>
  <c r="H80" i="13"/>
  <c r="H67" i="13"/>
  <c r="F82" i="13"/>
  <c r="F69" i="13"/>
  <c r="W44" i="13"/>
  <c r="D56" i="13"/>
  <c r="E73" i="13"/>
  <c r="E86" i="13"/>
  <c r="H83" i="13"/>
  <c r="H70" i="13"/>
  <c r="F68" i="13"/>
  <c r="F81" i="13"/>
  <c r="G82" i="13"/>
  <c r="G69" i="13"/>
  <c r="H86" i="13"/>
  <c r="H73" i="13"/>
  <c r="W48" i="13"/>
  <c r="D60" i="13"/>
  <c r="F84" i="13"/>
  <c r="F71" i="13"/>
  <c r="AD36" i="1"/>
  <c r="AD37" i="1"/>
  <c r="AD38" i="1"/>
  <c r="AC36" i="1"/>
  <c r="AC37" i="1"/>
  <c r="AC38" i="1"/>
  <c r="AB36" i="1"/>
  <c r="AB37" i="1"/>
  <c r="AB38" i="1"/>
  <c r="AA36" i="1"/>
  <c r="AA37" i="1"/>
  <c r="AA38" i="1"/>
  <c r="Z36" i="1"/>
  <c r="Z37" i="1"/>
  <c r="Z38" i="1"/>
  <c r="L20" i="1"/>
  <c r="O17" i="1"/>
  <c r="O20" i="1" s="1"/>
  <c r="N17" i="1"/>
  <c r="N23" i="1" s="1"/>
  <c r="M17" i="1"/>
  <c r="M22" i="1" s="1"/>
  <c r="L17" i="1"/>
  <c r="L24" i="1" s="1"/>
  <c r="K17" i="1"/>
  <c r="K23" i="1" s="1"/>
  <c r="J17" i="1"/>
  <c r="J25" i="1" s="1"/>
  <c r="I17" i="1"/>
  <c r="I25" i="1" s="1"/>
  <c r="H17" i="1"/>
  <c r="H21" i="1" s="1"/>
  <c r="G17" i="1"/>
  <c r="G20" i="1" s="1"/>
  <c r="F17" i="1"/>
  <c r="F23" i="1" s="1"/>
  <c r="E17" i="1"/>
  <c r="E21" i="1" s="1"/>
  <c r="D17" i="1"/>
  <c r="D21" i="1" s="1"/>
  <c r="N20" i="1" l="1"/>
  <c r="X61" i="13"/>
  <c r="D73" i="13"/>
  <c r="V73" i="13" s="1"/>
  <c r="W61" i="13"/>
  <c r="D86" i="13"/>
  <c r="V86" i="13" s="1"/>
  <c r="W59" i="13"/>
  <c r="D84" i="13"/>
  <c r="V84" i="13" s="1"/>
  <c r="D71" i="13"/>
  <c r="V71" i="13" s="1"/>
  <c r="X59" i="13"/>
  <c r="D81" i="13"/>
  <c r="V81" i="13" s="1"/>
  <c r="X56" i="13"/>
  <c r="W56" i="13"/>
  <c r="D68" i="13"/>
  <c r="V68" i="13" s="1"/>
  <c r="D70" i="13"/>
  <c r="V70" i="13" s="1"/>
  <c r="D83" i="13"/>
  <c r="V83" i="13" s="1"/>
  <c r="X58" i="13"/>
  <c r="W58" i="13"/>
  <c r="X60" i="13"/>
  <c r="W60" i="13"/>
  <c r="D85" i="13"/>
  <c r="V85" i="13" s="1"/>
  <c r="D72" i="13"/>
  <c r="V72" i="13" s="1"/>
  <c r="D82" i="13"/>
  <c r="V82" i="13" s="1"/>
  <c r="X57" i="13"/>
  <c r="D69" i="13"/>
  <c r="V69" i="13" s="1"/>
  <c r="Y69" i="13" s="1"/>
  <c r="W57" i="13"/>
  <c r="D67" i="13"/>
  <c r="V67" i="13" s="1"/>
  <c r="D80" i="13"/>
  <c r="V80" i="13" s="1"/>
  <c r="W55" i="13"/>
  <c r="X55" i="13"/>
  <c r="W53" i="13"/>
  <c r="F24" i="1"/>
  <c r="D24" i="1"/>
  <c r="N25" i="1"/>
  <c r="M23" i="1"/>
  <c r="F20" i="1"/>
  <c r="H25" i="1"/>
  <c r="J23" i="1"/>
  <c r="D20" i="1"/>
  <c r="G25" i="1"/>
  <c r="E23" i="1"/>
  <c r="O25" i="1"/>
  <c r="F25" i="1"/>
  <c r="L22" i="1"/>
  <c r="O24" i="1"/>
  <c r="G22" i="1"/>
  <c r="M24" i="1"/>
  <c r="G21" i="1"/>
  <c r="N24" i="1"/>
  <c r="E24" i="1"/>
  <c r="L23" i="1"/>
  <c r="D23" i="1"/>
  <c r="H22" i="1"/>
  <c r="O21" i="1"/>
  <c r="F21" i="1"/>
  <c r="M20" i="1"/>
  <c r="E20" i="1"/>
  <c r="M21" i="1"/>
  <c r="L21" i="1"/>
  <c r="L25" i="1"/>
  <c r="D25" i="1"/>
  <c r="K24" i="1"/>
  <c r="I23" i="1"/>
  <c r="E22" i="1"/>
  <c r="K21" i="1"/>
  <c r="J20" i="1"/>
  <c r="M25" i="1"/>
  <c r="K20" i="1"/>
  <c r="N19" i="1"/>
  <c r="K25" i="1"/>
  <c r="J24" i="1"/>
  <c r="H23" i="1"/>
  <c r="O22" i="1"/>
  <c r="D22" i="1"/>
  <c r="J21" i="1"/>
  <c r="I20" i="1"/>
  <c r="E25" i="1"/>
  <c r="I24" i="1"/>
  <c r="O23" i="1"/>
  <c r="G23" i="1"/>
  <c r="N22" i="1"/>
  <c r="I21" i="1"/>
  <c r="H20" i="1"/>
  <c r="F22" i="1"/>
  <c r="H24" i="1"/>
  <c r="D19" i="1"/>
  <c r="AF27" i="3"/>
  <c r="AE27" i="3"/>
  <c r="AD27" i="3"/>
  <c r="AC27" i="3"/>
  <c r="AB27" i="3"/>
  <c r="AE19" i="11"/>
  <c r="AD19" i="11"/>
  <c r="AC19" i="11"/>
  <c r="AB19" i="11"/>
  <c r="AA19" i="11"/>
  <c r="AE19" i="9"/>
  <c r="AD19" i="9"/>
  <c r="AC19" i="9"/>
  <c r="AB19" i="9"/>
  <c r="AA19" i="9"/>
  <c r="AE19" i="10"/>
  <c r="AD19" i="10"/>
  <c r="AC19" i="10"/>
  <c r="AB19" i="10"/>
  <c r="AA19" i="10"/>
  <c r="AB19" i="8"/>
  <c r="AC19" i="8"/>
  <c r="AD19" i="8"/>
  <c r="AE19" i="8"/>
  <c r="AA19" i="8"/>
  <c r="N31" i="1"/>
  <c r="K32" i="1"/>
  <c r="T32" i="1"/>
  <c r="T33" i="1"/>
  <c r="U34" i="1"/>
  <c r="S29" i="1"/>
  <c r="Y83" i="13" l="1"/>
  <c r="Y71" i="13"/>
  <c r="Y84" i="13"/>
  <c r="Y82" i="13"/>
  <c r="Y70" i="13"/>
  <c r="Y72" i="13"/>
  <c r="Y68" i="13"/>
  <c r="Y86" i="13"/>
  <c r="Y85" i="13"/>
  <c r="V90" i="13"/>
  <c r="Y80" i="13"/>
  <c r="Y73" i="13"/>
  <c r="V77" i="13"/>
  <c r="Y67" i="13"/>
  <c r="Y81" i="13"/>
  <c r="O19" i="1"/>
  <c r="M19" i="1"/>
  <c r="L19" i="1"/>
  <c r="K19" i="1"/>
  <c r="J19" i="1"/>
  <c r="I19" i="1"/>
  <c r="H19" i="1"/>
  <c r="G19" i="1"/>
  <c r="F19" i="1"/>
  <c r="E19" i="1"/>
  <c r="R17" i="1"/>
  <c r="R19" i="1" s="1"/>
  <c r="Q17" i="1"/>
  <c r="Q19" i="1" s="1"/>
  <c r="P17" i="1"/>
  <c r="P19" i="1" s="1"/>
  <c r="Z68" i="13" l="1"/>
  <c r="Z67" i="13"/>
  <c r="Z81" i="13"/>
  <c r="Z82" i="13"/>
  <c r="Z80" i="13"/>
  <c r="Z72" i="13"/>
  <c r="Z84" i="13"/>
  <c r="Z70" i="13"/>
  <c r="Z83" i="13"/>
  <c r="Z71" i="13"/>
  <c r="Z73" i="13"/>
  <c r="Z85" i="13"/>
  <c r="Z86" i="13"/>
  <c r="Z69" i="13"/>
  <c r="R21" i="1"/>
  <c r="R25" i="1"/>
  <c r="R24" i="1"/>
  <c r="R23" i="1"/>
  <c r="R20" i="1"/>
  <c r="R22" i="1"/>
  <c r="P24" i="1"/>
  <c r="V24" i="1" s="1"/>
  <c r="P20" i="1"/>
  <c r="P23" i="1"/>
  <c r="P22" i="1"/>
  <c r="P21" i="1"/>
  <c r="P25" i="1"/>
  <c r="Q21" i="1"/>
  <c r="Q25" i="1"/>
  <c r="Q24" i="1"/>
  <c r="Q20" i="1"/>
  <c r="Q23" i="1"/>
  <c r="Q22" i="1"/>
  <c r="V19" i="1"/>
  <c r="V23" i="1"/>
  <c r="V20" i="1" l="1"/>
  <c r="V22" i="1"/>
  <c r="V25" i="1"/>
  <c r="V21" i="1"/>
  <c r="V26" i="1" s="1"/>
  <c r="T29" i="1"/>
  <c r="U29" i="1"/>
  <c r="T34" i="1"/>
  <c r="S34" i="1"/>
  <c r="G34" i="1"/>
  <c r="T35" i="1"/>
  <c r="S35" i="1"/>
  <c r="U35" i="1"/>
  <c r="S31" i="1"/>
  <c r="T31" i="1"/>
  <c r="U31" i="1"/>
  <c r="S33" i="1"/>
  <c r="U33" i="1"/>
  <c r="T30" i="1"/>
  <c r="U30" i="1"/>
  <c r="S30" i="1"/>
  <c r="AC24" i="11"/>
  <c r="AC23" i="11"/>
  <c r="X19" i="1" l="1"/>
  <c r="X25" i="1"/>
  <c r="I35" i="1" s="1"/>
  <c r="X22" i="1"/>
  <c r="N32" i="1" s="1"/>
  <c r="X20" i="1"/>
  <c r="K30" i="1" s="1"/>
  <c r="X24" i="1"/>
  <c r="R34" i="1" s="1"/>
  <c r="X21" i="1"/>
  <c r="X23" i="1"/>
  <c r="G33" i="1" s="1"/>
  <c r="E29" i="1"/>
  <c r="M29" i="1"/>
  <c r="Q29" i="1"/>
  <c r="N29" i="1"/>
  <c r="D35" i="1"/>
  <c r="AC26" i="11"/>
  <c r="O35" i="1"/>
  <c r="R33" i="1"/>
  <c r="M31" i="1"/>
  <c r="O33" i="1"/>
  <c r="E31" i="1"/>
  <c r="F33" i="1"/>
  <c r="K33" i="1"/>
  <c r="D31" i="1"/>
  <c r="J31" i="1"/>
  <c r="J35" i="1"/>
  <c r="Q35" i="1"/>
  <c r="Q31" i="1"/>
  <c r="G31" i="1"/>
  <c r="N35" i="1"/>
  <c r="I33" i="1"/>
  <c r="E33" i="1"/>
  <c r="O31" i="1"/>
  <c r="E35" i="1"/>
  <c r="M35" i="1"/>
  <c r="H33" i="1"/>
  <c r="F35" i="1"/>
  <c r="J34" i="1"/>
  <c r="L33" i="1"/>
  <c r="L31" i="1"/>
  <c r="P31" i="1"/>
  <c r="R35" i="1"/>
  <c r="P30" i="1"/>
  <c r="O30" i="1"/>
  <c r="E34" i="1"/>
  <c r="P34" i="1"/>
  <c r="Q34" i="1"/>
  <c r="H34" i="1"/>
  <c r="AA34" i="1" s="1"/>
  <c r="P32" i="1"/>
  <c r="R32" i="1"/>
  <c r="G30" i="1"/>
  <c r="O34" i="1"/>
  <c r="L34" i="1"/>
  <c r="P33" i="1"/>
  <c r="Q33" i="1"/>
  <c r="H31" i="1"/>
  <c r="I31" i="1"/>
  <c r="H35" i="1"/>
  <c r="K35" i="1"/>
  <c r="L35" i="1"/>
  <c r="G35" i="1"/>
  <c r="P35" i="1"/>
  <c r="AD35" i="1" s="1"/>
  <c r="J30" i="1"/>
  <c r="M34" i="1"/>
  <c r="D30" i="1"/>
  <c r="K34" i="1"/>
  <c r="I34" i="1"/>
  <c r="F32" i="1"/>
  <c r="M32" i="1"/>
  <c r="L32" i="1"/>
  <c r="G32" i="1"/>
  <c r="J32" i="1"/>
  <c r="AB32" i="1" s="1"/>
  <c r="I32" i="1"/>
  <c r="H32" i="1"/>
  <c r="Q30" i="1"/>
  <c r="S32" i="1"/>
  <c r="U32" i="1"/>
  <c r="E32" i="1"/>
  <c r="D32" i="1"/>
  <c r="F34" i="1"/>
  <c r="D34" i="1"/>
  <c r="N34" i="1"/>
  <c r="O32" i="1"/>
  <c r="Q32" i="1"/>
  <c r="AC25" i="11"/>
  <c r="M30" i="1" l="1"/>
  <c r="H30" i="1"/>
  <c r="AA30" i="1" s="1"/>
  <c r="F30" i="1"/>
  <c r="N30" i="1"/>
  <c r="E30" i="1"/>
  <c r="Z30" i="1" s="1"/>
  <c r="R31" i="1"/>
  <c r="K31" i="1"/>
  <c r="L30" i="1"/>
  <c r="I30" i="1"/>
  <c r="R30" i="1"/>
  <c r="N33" i="1"/>
  <c r="F31" i="1"/>
  <c r="J33" i="1"/>
  <c r="M33" i="1"/>
  <c r="D33" i="1"/>
  <c r="Z33" i="1" s="1"/>
  <c r="D29" i="1"/>
  <c r="O29" i="1"/>
  <c r="AC29" i="1" s="1"/>
  <c r="G29" i="1"/>
  <c r="J29" i="1"/>
  <c r="F29" i="1"/>
  <c r="R29" i="1"/>
  <c r="K29" i="1"/>
  <c r="P29" i="1"/>
  <c r="AD29" i="1" s="1"/>
  <c r="H43" i="1" s="1"/>
  <c r="L29" i="1"/>
  <c r="H29" i="1"/>
  <c r="I29" i="1"/>
  <c r="AA31" i="1"/>
  <c r="AA33" i="1"/>
  <c r="AB30" i="1"/>
  <c r="AD32" i="1"/>
  <c r="AC35" i="1"/>
  <c r="AC32" i="1"/>
  <c r="AA35" i="1"/>
  <c r="Z34" i="1"/>
  <c r="AD34" i="1"/>
  <c r="AD31" i="1"/>
  <c r="Z35" i="1"/>
  <c r="AB35" i="1"/>
  <c r="AC33" i="1"/>
  <c r="AB31" i="1"/>
  <c r="AC31" i="1"/>
  <c r="AC30" i="1"/>
  <c r="AB34" i="1"/>
  <c r="Z31" i="1"/>
  <c r="AD30" i="1"/>
  <c r="Z32" i="1"/>
  <c r="AA32" i="1"/>
  <c r="AD33" i="1"/>
  <c r="AB21" i="11"/>
  <c r="AC34" i="1"/>
  <c r="AB33" i="1"/>
  <c r="AA11" i="11"/>
  <c r="AA21" i="11"/>
  <c r="AB20" i="11"/>
  <c r="AA20" i="11"/>
  <c r="AD21" i="11"/>
  <c r="AE21" i="11"/>
  <c r="AC21" i="11"/>
  <c r="AE20" i="11"/>
  <c r="AC20" i="11"/>
  <c r="AD20" i="11"/>
  <c r="AC24" i="10"/>
  <c r="AC23" i="10"/>
  <c r="AC24" i="9"/>
  <c r="AC23" i="9"/>
  <c r="Z29" i="1" l="1"/>
  <c r="D43" i="1" s="1"/>
  <c r="D55" i="1" s="1"/>
  <c r="V29" i="1"/>
  <c r="AB29" i="1"/>
  <c r="AA29" i="1"/>
  <c r="E43" i="1" s="1"/>
  <c r="AC26" i="9"/>
  <c r="AC26" i="10"/>
  <c r="AC25" i="9"/>
  <c r="AC25" i="10"/>
  <c r="AE21" i="10" s="1"/>
  <c r="V30" i="1"/>
  <c r="H44" i="1"/>
  <c r="V31" i="1"/>
  <c r="V32" i="1"/>
  <c r="H47" i="1"/>
  <c r="V35" i="1"/>
  <c r="V33" i="1"/>
  <c r="V34" i="1"/>
  <c r="D3" i="16" l="1"/>
  <c r="B4" i="14"/>
  <c r="B4" i="15"/>
  <c r="D67" i="1"/>
  <c r="AC21" i="9"/>
  <c r="AD20" i="10"/>
  <c r="AD21" i="9"/>
  <c r="AA11" i="9"/>
  <c r="AE20" i="9"/>
  <c r="AD20" i="9"/>
  <c r="AB21" i="9"/>
  <c r="AA21" i="9"/>
  <c r="AC20" i="9"/>
  <c r="AA20" i="9"/>
  <c r="AE21" i="9"/>
  <c r="AB20" i="9"/>
  <c r="AA20" i="10"/>
  <c r="AB20" i="10"/>
  <c r="E55" i="1"/>
  <c r="AE20" i="10"/>
  <c r="AD21" i="10"/>
  <c r="AB21" i="10"/>
  <c r="AC21" i="10"/>
  <c r="AC20" i="10"/>
  <c r="AA21" i="10"/>
  <c r="AA11" i="10"/>
  <c r="C4" i="14" l="1"/>
  <c r="E3" i="16"/>
  <c r="C4" i="15"/>
  <c r="C4" i="9"/>
  <c r="E3" i="3"/>
  <c r="C4" i="8"/>
  <c r="C4" i="11"/>
  <c r="C4" i="10"/>
  <c r="B4" i="8"/>
  <c r="B4" i="9"/>
  <c r="B4" i="11"/>
  <c r="B4" i="10"/>
  <c r="D3" i="3"/>
  <c r="D80" i="1"/>
  <c r="AE41" i="10" l="1"/>
  <c r="AE40" i="10"/>
  <c r="AE42" i="10"/>
  <c r="AC24" i="8"/>
  <c r="AC23" i="8"/>
  <c r="D45" i="1"/>
  <c r="K67" i="1"/>
  <c r="M72" i="1"/>
  <c r="G44" i="1"/>
  <c r="G45" i="1"/>
  <c r="G46" i="1"/>
  <c r="G47" i="1"/>
  <c r="G48" i="1"/>
  <c r="G49" i="1"/>
  <c r="G43" i="1"/>
  <c r="F43" i="1"/>
  <c r="AC25" i="8" l="1"/>
  <c r="AC26" i="8"/>
  <c r="AA20" i="8" l="1"/>
  <c r="AE20" i="8"/>
  <c r="AB20" i="8"/>
  <c r="AC20" i="8"/>
  <c r="AD20" i="8"/>
  <c r="AC21" i="8"/>
  <c r="AB21" i="8"/>
  <c r="AE21" i="8"/>
  <c r="AA21" i="8"/>
  <c r="AD21" i="8"/>
  <c r="AA11" i="8"/>
  <c r="AE42" i="8" l="1"/>
  <c r="AE40" i="8"/>
  <c r="AE41" i="8"/>
  <c r="D44" i="1" l="1"/>
  <c r="E44" i="1"/>
  <c r="F44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U136" i="1" l="1"/>
  <c r="T136" i="1"/>
  <c r="S136" i="1"/>
  <c r="R136" i="1"/>
  <c r="Q136" i="1"/>
  <c r="P136" i="1"/>
  <c r="L119" i="1"/>
  <c r="K119" i="1"/>
  <c r="J119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N114" i="1"/>
  <c r="M114" i="1"/>
  <c r="L114" i="1"/>
  <c r="K114" i="1"/>
  <c r="J114" i="1"/>
  <c r="Z49" i="1"/>
  <c r="G61" i="1" s="1"/>
  <c r="Z48" i="1"/>
  <c r="G60" i="1" s="1"/>
  <c r="Z47" i="1"/>
  <c r="G59" i="1" s="1"/>
  <c r="Z46" i="1"/>
  <c r="F58" i="1" s="1"/>
  <c r="Z45" i="1"/>
  <c r="G57" i="1" s="1"/>
  <c r="Z44" i="1"/>
  <c r="F56" i="1" s="1"/>
  <c r="G7" i="16" l="1"/>
  <c r="E8" i="15"/>
  <c r="E8" i="14"/>
  <c r="F4" i="16"/>
  <c r="D5" i="15"/>
  <c r="D5" i="14"/>
  <c r="G8" i="16"/>
  <c r="E9" i="14"/>
  <c r="E9" i="15"/>
  <c r="E6" i="14"/>
  <c r="G5" i="16"/>
  <c r="E6" i="15"/>
  <c r="E10" i="14"/>
  <c r="G9" i="16"/>
  <c r="E10" i="15"/>
  <c r="D7" i="14"/>
  <c r="F6" i="16"/>
  <c r="D7" i="15"/>
  <c r="E8" i="11"/>
  <c r="E8" i="10"/>
  <c r="G7" i="3"/>
  <c r="E8" i="8"/>
  <c r="E8" i="9"/>
  <c r="D5" i="11"/>
  <c r="D5" i="10"/>
  <c r="F4" i="3"/>
  <c r="D5" i="8"/>
  <c r="D5" i="9"/>
  <c r="E10" i="9"/>
  <c r="E10" i="11"/>
  <c r="E10" i="10"/>
  <c r="G9" i="3"/>
  <c r="E10" i="8"/>
  <c r="E9" i="9"/>
  <c r="G8" i="3"/>
  <c r="E9" i="8"/>
  <c r="E9" i="11"/>
  <c r="E9" i="10"/>
  <c r="E6" i="9"/>
  <c r="E6" i="11"/>
  <c r="E6" i="10"/>
  <c r="G5" i="3"/>
  <c r="E6" i="8"/>
  <c r="D7" i="9"/>
  <c r="D7" i="11"/>
  <c r="D7" i="10"/>
  <c r="F6" i="3"/>
  <c r="D7" i="8"/>
  <c r="E56" i="1"/>
  <c r="D56" i="1"/>
  <c r="F83" i="1"/>
  <c r="F70" i="1"/>
  <c r="D59" i="1"/>
  <c r="F60" i="1"/>
  <c r="E59" i="1"/>
  <c r="F59" i="1"/>
  <c r="D60" i="1"/>
  <c r="G56" i="1"/>
  <c r="E60" i="1"/>
  <c r="F61" i="1"/>
  <c r="F81" i="1"/>
  <c r="F68" i="1"/>
  <c r="G73" i="1"/>
  <c r="G86" i="1"/>
  <c r="G82" i="1"/>
  <c r="G69" i="1"/>
  <c r="G72" i="1"/>
  <c r="G85" i="1"/>
  <c r="G84" i="1"/>
  <c r="G71" i="1"/>
  <c r="D57" i="1"/>
  <c r="D61" i="1"/>
  <c r="G55" i="1"/>
  <c r="E57" i="1"/>
  <c r="E61" i="1"/>
  <c r="F55" i="1"/>
  <c r="G58" i="1"/>
  <c r="D58" i="1"/>
  <c r="E58" i="1"/>
  <c r="F57" i="1"/>
  <c r="Z53" i="1"/>
  <c r="V10" i="1"/>
  <c r="V9" i="1"/>
  <c r="V11" i="1"/>
  <c r="N67" i="1"/>
  <c r="O67" i="1"/>
  <c r="S67" i="1"/>
  <c r="I68" i="1"/>
  <c r="M68" i="1"/>
  <c r="Q68" i="1"/>
  <c r="U68" i="1"/>
  <c r="K69" i="1"/>
  <c r="O69" i="1"/>
  <c r="S69" i="1"/>
  <c r="I70" i="1"/>
  <c r="M70" i="1"/>
  <c r="Q70" i="1"/>
  <c r="U70" i="1"/>
  <c r="K71" i="1"/>
  <c r="O71" i="1"/>
  <c r="S71" i="1"/>
  <c r="I72" i="1"/>
  <c r="Q72" i="1"/>
  <c r="U72" i="1"/>
  <c r="K73" i="1"/>
  <c r="O73" i="1"/>
  <c r="S73" i="1"/>
  <c r="L67" i="1"/>
  <c r="T67" i="1"/>
  <c r="J68" i="1"/>
  <c r="N68" i="1"/>
  <c r="R68" i="1"/>
  <c r="L69" i="1"/>
  <c r="P69" i="1"/>
  <c r="T69" i="1"/>
  <c r="J70" i="1"/>
  <c r="N70" i="1"/>
  <c r="R70" i="1"/>
  <c r="L71" i="1"/>
  <c r="P71" i="1"/>
  <c r="T71" i="1"/>
  <c r="J72" i="1"/>
  <c r="N72" i="1"/>
  <c r="R72" i="1"/>
  <c r="L73" i="1"/>
  <c r="P73" i="1"/>
  <c r="T73" i="1"/>
  <c r="J67" i="1"/>
  <c r="P67" i="1"/>
  <c r="I67" i="1"/>
  <c r="M67" i="1"/>
  <c r="Q67" i="1"/>
  <c r="U67" i="1"/>
  <c r="K68" i="1"/>
  <c r="O68" i="1"/>
  <c r="S68" i="1"/>
  <c r="I69" i="1"/>
  <c r="M69" i="1"/>
  <c r="Q69" i="1"/>
  <c r="U69" i="1"/>
  <c r="K70" i="1"/>
  <c r="O70" i="1"/>
  <c r="S70" i="1"/>
  <c r="I71" i="1"/>
  <c r="M71" i="1"/>
  <c r="Q71" i="1"/>
  <c r="U71" i="1"/>
  <c r="K72" i="1"/>
  <c r="O72" i="1"/>
  <c r="S72" i="1"/>
  <c r="I73" i="1"/>
  <c r="M73" i="1"/>
  <c r="Q73" i="1"/>
  <c r="U73" i="1"/>
  <c r="R67" i="1"/>
  <c r="L68" i="1"/>
  <c r="P68" i="1"/>
  <c r="T68" i="1"/>
  <c r="J69" i="1"/>
  <c r="N69" i="1"/>
  <c r="R69" i="1"/>
  <c r="L70" i="1"/>
  <c r="P70" i="1"/>
  <c r="T70" i="1"/>
  <c r="J71" i="1"/>
  <c r="N71" i="1"/>
  <c r="R71" i="1"/>
  <c r="L72" i="1"/>
  <c r="P72" i="1"/>
  <c r="T72" i="1"/>
  <c r="J73" i="1"/>
  <c r="N73" i="1"/>
  <c r="R73" i="1"/>
  <c r="V6" i="1"/>
  <c r="V8" i="1"/>
  <c r="V12" i="1"/>
  <c r="D6" i="15" l="1"/>
  <c r="D6" i="14"/>
  <c r="F5" i="16"/>
  <c r="D8" i="14"/>
  <c r="F7" i="16"/>
  <c r="D8" i="15"/>
  <c r="C7" i="14"/>
  <c r="E6" i="16"/>
  <c r="C7" i="15"/>
  <c r="E9" i="16"/>
  <c r="C10" i="15"/>
  <c r="C10" i="14"/>
  <c r="B6" i="14"/>
  <c r="D5" i="16"/>
  <c r="B6" i="15"/>
  <c r="C9" i="14"/>
  <c r="E8" i="16"/>
  <c r="C9" i="15"/>
  <c r="C8" i="14"/>
  <c r="E7" i="16"/>
  <c r="E20" i="16" s="1"/>
  <c r="E31" i="16" s="1"/>
  <c r="C8" i="15"/>
  <c r="G18" i="16"/>
  <c r="G29" i="16" s="1"/>
  <c r="D6" i="16"/>
  <c r="B7" i="15"/>
  <c r="B7" i="14"/>
  <c r="E5" i="16"/>
  <c r="C6" i="15"/>
  <c r="C6" i="14"/>
  <c r="E5" i="14"/>
  <c r="G4" i="16"/>
  <c r="E5" i="15"/>
  <c r="F8" i="16"/>
  <c r="D9" i="15"/>
  <c r="D9" i="14"/>
  <c r="B5" i="14"/>
  <c r="D4" i="16"/>
  <c r="B5" i="15"/>
  <c r="D4" i="14"/>
  <c r="F3" i="16"/>
  <c r="D4" i="15"/>
  <c r="B10" i="14"/>
  <c r="D9" i="16"/>
  <c r="B10" i="15"/>
  <c r="D10" i="14"/>
  <c r="F9" i="16"/>
  <c r="D10" i="15"/>
  <c r="E7" i="14"/>
  <c r="G6" i="16"/>
  <c r="E7" i="15"/>
  <c r="G3" i="16"/>
  <c r="E4" i="15"/>
  <c r="E4" i="14"/>
  <c r="B9" i="14"/>
  <c r="D8" i="16"/>
  <c r="D21" i="16" s="1"/>
  <c r="D32" i="16" s="1"/>
  <c r="B9" i="15"/>
  <c r="B8" i="14"/>
  <c r="D7" i="16"/>
  <c r="B8" i="15"/>
  <c r="C5" i="14"/>
  <c r="E4" i="16"/>
  <c r="C5" i="15"/>
  <c r="E4" i="11"/>
  <c r="E4" i="10"/>
  <c r="E4" i="9"/>
  <c r="G3" i="3"/>
  <c r="E4" i="8"/>
  <c r="B8" i="9"/>
  <c r="D7" i="3"/>
  <c r="B8" i="8"/>
  <c r="B8" i="11"/>
  <c r="B8" i="10"/>
  <c r="D4" i="11"/>
  <c r="D4" i="10"/>
  <c r="F3" i="3"/>
  <c r="D4" i="8"/>
  <c r="D4" i="9"/>
  <c r="F7" i="3"/>
  <c r="D8" i="8"/>
  <c r="D8" i="11"/>
  <c r="D8" i="10"/>
  <c r="D8" i="9"/>
  <c r="C7" i="9"/>
  <c r="E6" i="3"/>
  <c r="C7" i="8"/>
  <c r="C7" i="11"/>
  <c r="C7" i="10"/>
  <c r="C10" i="11"/>
  <c r="C10" i="10"/>
  <c r="E9" i="3"/>
  <c r="C10" i="8"/>
  <c r="C10" i="9"/>
  <c r="D5" i="3"/>
  <c r="B6" i="8"/>
  <c r="B6" i="11"/>
  <c r="B6" i="10"/>
  <c r="B6" i="9"/>
  <c r="E8" i="3"/>
  <c r="C9" i="8"/>
  <c r="C9" i="11"/>
  <c r="C9" i="10"/>
  <c r="C9" i="9"/>
  <c r="C8" i="9"/>
  <c r="C8" i="11"/>
  <c r="C8" i="10"/>
  <c r="E7" i="3"/>
  <c r="C8" i="8"/>
  <c r="G6" i="3"/>
  <c r="E7" i="8"/>
  <c r="E7" i="11"/>
  <c r="E7" i="10"/>
  <c r="E7" i="9"/>
  <c r="B9" i="9"/>
  <c r="B9" i="11"/>
  <c r="B9" i="10"/>
  <c r="D8" i="3"/>
  <c r="B9" i="8"/>
  <c r="E68" i="1"/>
  <c r="E4" i="3"/>
  <c r="C5" i="8"/>
  <c r="C5" i="11"/>
  <c r="C5" i="10"/>
  <c r="C5" i="9"/>
  <c r="D6" i="9"/>
  <c r="F5" i="3"/>
  <c r="D6" i="8"/>
  <c r="D6" i="11"/>
  <c r="D6" i="10"/>
  <c r="D9" i="3"/>
  <c r="B10" i="8"/>
  <c r="B10" i="11"/>
  <c r="B10" i="10"/>
  <c r="B10" i="9"/>
  <c r="D10" i="9"/>
  <c r="F9" i="3"/>
  <c r="D10" i="8"/>
  <c r="D10" i="11"/>
  <c r="D10" i="10"/>
  <c r="B7" i="11"/>
  <c r="B7" i="10"/>
  <c r="D6" i="3"/>
  <c r="B7" i="8"/>
  <c r="B7" i="9"/>
  <c r="C6" i="11"/>
  <c r="C6" i="10"/>
  <c r="E5" i="3"/>
  <c r="C6" i="8"/>
  <c r="C6" i="9"/>
  <c r="G68" i="1"/>
  <c r="E5" i="9"/>
  <c r="G4" i="3"/>
  <c r="E5" i="8"/>
  <c r="E5" i="11"/>
  <c r="E5" i="10"/>
  <c r="D9" i="11"/>
  <c r="D9" i="10"/>
  <c r="F8" i="3"/>
  <c r="D9" i="8"/>
  <c r="D9" i="9"/>
  <c r="D68" i="1"/>
  <c r="B5" i="9"/>
  <c r="B5" i="11"/>
  <c r="B5" i="10"/>
  <c r="D4" i="3"/>
  <c r="B5" i="8"/>
  <c r="D81" i="1"/>
  <c r="V5" i="1"/>
  <c r="W43" i="1"/>
  <c r="V4" i="1"/>
  <c r="G81" i="1"/>
  <c r="E81" i="1"/>
  <c r="F71" i="1"/>
  <c r="F84" i="1"/>
  <c r="D85" i="1"/>
  <c r="D72" i="1"/>
  <c r="E71" i="1"/>
  <c r="E84" i="1"/>
  <c r="F69" i="1"/>
  <c r="F82" i="1"/>
  <c r="D70" i="1"/>
  <c r="D83" i="1"/>
  <c r="E73" i="1"/>
  <c r="E86" i="1"/>
  <c r="D86" i="1"/>
  <c r="D73" i="1"/>
  <c r="F73" i="1"/>
  <c r="F86" i="1"/>
  <c r="F85" i="1"/>
  <c r="F72" i="1"/>
  <c r="E83" i="1"/>
  <c r="E70" i="1"/>
  <c r="E82" i="1"/>
  <c r="E69" i="1"/>
  <c r="E85" i="1"/>
  <c r="E72" i="1"/>
  <c r="D84" i="1"/>
  <c r="D71" i="1"/>
  <c r="G70" i="1"/>
  <c r="G83" i="1"/>
  <c r="H56" i="1"/>
  <c r="H45" i="1"/>
  <c r="H59" i="1"/>
  <c r="E80" i="1"/>
  <c r="E67" i="1"/>
  <c r="F80" i="1"/>
  <c r="F67" i="1"/>
  <c r="G80" i="1"/>
  <c r="G67" i="1"/>
  <c r="D82" i="1"/>
  <c r="D69" i="1"/>
  <c r="H55" i="1"/>
  <c r="V13" i="1"/>
  <c r="V7" i="1"/>
  <c r="W44" i="1"/>
  <c r="W47" i="1"/>
  <c r="G20" i="16" l="1"/>
  <c r="G31" i="16" s="1"/>
  <c r="G16" i="16"/>
  <c r="G27" i="16" s="1"/>
  <c r="D22" i="16"/>
  <c r="D33" i="16" s="1"/>
  <c r="D19" i="16"/>
  <c r="D30" i="16" s="1"/>
  <c r="E19" i="16"/>
  <c r="E30" i="16" s="1"/>
  <c r="H7" i="16"/>
  <c r="F8" i="15"/>
  <c r="F8" i="14"/>
  <c r="D20" i="16"/>
  <c r="D31" i="16" s="1"/>
  <c r="G22" i="16"/>
  <c r="G33" i="16" s="1"/>
  <c r="G17" i="16"/>
  <c r="G28" i="16" s="1"/>
  <c r="E16" i="16"/>
  <c r="E27" i="16" s="1"/>
  <c r="E40" i="16" s="1"/>
  <c r="E18" i="16"/>
  <c r="E29" i="16" s="1"/>
  <c r="G21" i="16"/>
  <c r="G32" i="16" s="1"/>
  <c r="F19" i="16"/>
  <c r="F30" i="16" s="1"/>
  <c r="F18" i="16"/>
  <c r="F29" i="16" s="1"/>
  <c r="D18" i="16"/>
  <c r="D29" i="16" s="1"/>
  <c r="E22" i="16"/>
  <c r="E33" i="16" s="1"/>
  <c r="F4" i="15"/>
  <c r="F4" i="14"/>
  <c r="H3" i="16"/>
  <c r="E17" i="16"/>
  <c r="E28" i="16" s="1"/>
  <c r="G19" i="16"/>
  <c r="G30" i="16" s="1"/>
  <c r="F5" i="14"/>
  <c r="H4" i="16"/>
  <c r="F5" i="15"/>
  <c r="F17" i="16"/>
  <c r="F28" i="16" s="1"/>
  <c r="F16" i="16"/>
  <c r="F27" i="16" s="1"/>
  <c r="D17" i="16"/>
  <c r="D28" i="16" s="1"/>
  <c r="D16" i="16"/>
  <c r="D27" i="16" s="1"/>
  <c r="F22" i="16"/>
  <c r="F33" i="16" s="1"/>
  <c r="F21" i="16"/>
  <c r="F32" i="16" s="1"/>
  <c r="E21" i="16"/>
  <c r="E32" i="16" s="1"/>
  <c r="F20" i="16"/>
  <c r="F31" i="16" s="1"/>
  <c r="F21" i="3"/>
  <c r="F32" i="3" s="1"/>
  <c r="D19" i="3"/>
  <c r="D30" i="3" s="1"/>
  <c r="G19" i="3"/>
  <c r="G30" i="3" s="1"/>
  <c r="F17" i="3"/>
  <c r="F28" i="3" s="1"/>
  <c r="E18" i="3"/>
  <c r="E29" i="3" s="1"/>
  <c r="F18" i="3"/>
  <c r="F29" i="3" s="1"/>
  <c r="D18" i="3"/>
  <c r="D29" i="3" s="1"/>
  <c r="D17" i="3"/>
  <c r="D28" i="3" s="1"/>
  <c r="D16" i="3"/>
  <c r="D27" i="3" s="1"/>
  <c r="D21" i="3"/>
  <c r="D32" i="3" s="1"/>
  <c r="E19" i="3"/>
  <c r="E30" i="3" s="1"/>
  <c r="E20" i="3"/>
  <c r="E31" i="3" s="1"/>
  <c r="E21" i="3"/>
  <c r="E32" i="3" s="1"/>
  <c r="E22" i="3"/>
  <c r="E33" i="3" s="1"/>
  <c r="G16" i="3"/>
  <c r="G27" i="3" s="1"/>
  <c r="D22" i="3"/>
  <c r="D33" i="3" s="1"/>
  <c r="G22" i="3"/>
  <c r="G33" i="3" s="1"/>
  <c r="G18" i="3"/>
  <c r="G29" i="3" s="1"/>
  <c r="F16" i="3"/>
  <c r="F27" i="3" s="1"/>
  <c r="G21" i="3"/>
  <c r="G32" i="3" s="1"/>
  <c r="G17" i="3"/>
  <c r="G28" i="3" s="1"/>
  <c r="F22" i="3"/>
  <c r="F33" i="3" s="1"/>
  <c r="E17" i="3"/>
  <c r="E28" i="3" s="1"/>
  <c r="E16" i="3"/>
  <c r="E27" i="3" s="1"/>
  <c r="G20" i="3"/>
  <c r="G31" i="3" s="1"/>
  <c r="D20" i="3"/>
  <c r="D31" i="3" s="1"/>
  <c r="F20" i="3"/>
  <c r="F31" i="3" s="1"/>
  <c r="F19" i="3"/>
  <c r="F30" i="3" s="1"/>
  <c r="X59" i="1"/>
  <c r="F8" i="9"/>
  <c r="H7" i="3"/>
  <c r="F8" i="8"/>
  <c r="F8" i="11"/>
  <c r="F8" i="10"/>
  <c r="F5" i="9"/>
  <c r="F5" i="11"/>
  <c r="F5" i="10"/>
  <c r="H4" i="3"/>
  <c r="F5" i="8"/>
  <c r="X55" i="1"/>
  <c r="H3" i="3"/>
  <c r="F4" i="9"/>
  <c r="F4" i="10"/>
  <c r="F4" i="11"/>
  <c r="F4" i="8"/>
  <c r="H57" i="1"/>
  <c r="V14" i="1"/>
  <c r="W6" i="1" s="1"/>
  <c r="W55" i="1"/>
  <c r="W45" i="1"/>
  <c r="H81" i="1"/>
  <c r="V81" i="1" s="1"/>
  <c r="H68" i="1"/>
  <c r="V68" i="1" s="1"/>
  <c r="X56" i="1"/>
  <c r="W56" i="1"/>
  <c r="H49" i="1"/>
  <c r="H46" i="1"/>
  <c r="H48" i="1"/>
  <c r="H84" i="1"/>
  <c r="V84" i="1" s="1"/>
  <c r="H71" i="1"/>
  <c r="V71" i="1" s="1"/>
  <c r="W59" i="1"/>
  <c r="H80" i="1"/>
  <c r="V80" i="1" s="1"/>
  <c r="H67" i="1"/>
  <c r="V67" i="1" s="1"/>
  <c r="D40" i="16" l="1"/>
  <c r="D39" i="16"/>
  <c r="G40" i="16"/>
  <c r="G39" i="16"/>
  <c r="H82" i="1"/>
  <c r="V82" i="1" s="1"/>
  <c r="F6" i="14"/>
  <c r="H5" i="16"/>
  <c r="F6" i="15"/>
  <c r="F40" i="16"/>
  <c r="F39" i="16"/>
  <c r="E39" i="16"/>
  <c r="D40" i="3"/>
  <c r="D39" i="3"/>
  <c r="E40" i="3"/>
  <c r="E39" i="3"/>
  <c r="G39" i="3"/>
  <c r="G40" i="3"/>
  <c r="F39" i="3"/>
  <c r="F40" i="3"/>
  <c r="H69" i="1"/>
  <c r="V69" i="1" s="1"/>
  <c r="H5" i="3"/>
  <c r="F6" i="8"/>
  <c r="F6" i="11"/>
  <c r="F6" i="10"/>
  <c r="F6" i="9"/>
  <c r="W9" i="1"/>
  <c r="W12" i="1"/>
  <c r="W10" i="1"/>
  <c r="W13" i="1"/>
  <c r="W11" i="1"/>
  <c r="W5" i="1"/>
  <c r="W7" i="1"/>
  <c r="W4" i="1"/>
  <c r="W57" i="1"/>
  <c r="X57" i="1"/>
  <c r="H58" i="1"/>
  <c r="H60" i="1"/>
  <c r="H61" i="1"/>
  <c r="W8" i="1"/>
  <c r="W46" i="1"/>
  <c r="W48" i="1"/>
  <c r="W49" i="1"/>
  <c r="H85" i="1" l="1"/>
  <c r="V85" i="1" s="1"/>
  <c r="F9" i="14"/>
  <c r="H8" i="16"/>
  <c r="F9" i="15"/>
  <c r="F10" i="14"/>
  <c r="X24" i="14" s="1"/>
  <c r="H9" i="16"/>
  <c r="H22" i="16" s="1"/>
  <c r="H33" i="16" s="1"/>
  <c r="F10" i="15"/>
  <c r="X23" i="15" s="1"/>
  <c r="H6" i="16"/>
  <c r="F7" i="15"/>
  <c r="F7" i="14"/>
  <c r="X23" i="14" s="1"/>
  <c r="X14" i="1"/>
  <c r="X61" i="1"/>
  <c r="H9" i="3"/>
  <c r="F10" i="11"/>
  <c r="F10" i="10"/>
  <c r="F10" i="8"/>
  <c r="F10" i="9"/>
  <c r="X58" i="1"/>
  <c r="F7" i="11"/>
  <c r="F7" i="10"/>
  <c r="H6" i="3"/>
  <c r="F7" i="8"/>
  <c r="F7" i="9"/>
  <c r="H72" i="1"/>
  <c r="V72" i="1" s="1"/>
  <c r="F9" i="9"/>
  <c r="F9" i="11"/>
  <c r="F9" i="10"/>
  <c r="H8" i="3"/>
  <c r="F9" i="8"/>
  <c r="W58" i="1"/>
  <c r="H70" i="1"/>
  <c r="V70" i="1" s="1"/>
  <c r="H83" i="1"/>
  <c r="V83" i="1" s="1"/>
  <c r="X60" i="1"/>
  <c r="W60" i="1"/>
  <c r="H73" i="1"/>
  <c r="V73" i="1" s="1"/>
  <c r="H86" i="1"/>
  <c r="V86" i="1" s="1"/>
  <c r="W61" i="1"/>
  <c r="W53" i="1"/>
  <c r="U24" i="14" l="1"/>
  <c r="U26" i="14"/>
  <c r="X24" i="15"/>
  <c r="U24" i="15" s="1"/>
  <c r="H21" i="16"/>
  <c r="H32" i="16" s="1"/>
  <c r="U26" i="15"/>
  <c r="H21" i="3"/>
  <c r="H32" i="3" s="1"/>
  <c r="H18" i="16"/>
  <c r="H29" i="16" s="1"/>
  <c r="H20" i="16"/>
  <c r="H31" i="16" s="1"/>
  <c r="H19" i="16"/>
  <c r="H30" i="16" s="1"/>
  <c r="H17" i="16"/>
  <c r="H28" i="16" s="1"/>
  <c r="H16" i="16"/>
  <c r="H27" i="16" s="1"/>
  <c r="H19" i="3"/>
  <c r="H30" i="3" s="1"/>
  <c r="H22" i="3"/>
  <c r="H33" i="3" s="1"/>
  <c r="H17" i="3"/>
  <c r="H28" i="3" s="1"/>
  <c r="H20" i="3"/>
  <c r="H31" i="3" s="1"/>
  <c r="H16" i="3"/>
  <c r="H27" i="3" s="1"/>
  <c r="H18" i="3"/>
  <c r="H29" i="3" s="1"/>
  <c r="X24" i="8"/>
  <c r="X23" i="9"/>
  <c r="X24" i="11"/>
  <c r="X24" i="10"/>
  <c r="X24" i="9"/>
  <c r="X23" i="10"/>
  <c r="X23" i="11"/>
  <c r="X23" i="8"/>
  <c r="Y67" i="1"/>
  <c r="Y81" i="1"/>
  <c r="Y84" i="1"/>
  <c r="Y80" i="1"/>
  <c r="Y86" i="1"/>
  <c r="V90" i="1"/>
  <c r="Y82" i="1"/>
  <c r="Y85" i="1"/>
  <c r="Y83" i="1"/>
  <c r="Y72" i="1"/>
  <c r="V77" i="1"/>
  <c r="Y73" i="1"/>
  <c r="Y71" i="1"/>
  <c r="Y69" i="1"/>
  <c r="Y68" i="1"/>
  <c r="Y70" i="1"/>
  <c r="V30" i="16" l="1"/>
  <c r="C23" i="15"/>
  <c r="C25" i="15"/>
  <c r="E19" i="15"/>
  <c r="B20" i="15"/>
  <c r="E22" i="15"/>
  <c r="F20" i="15"/>
  <c r="F21" i="15"/>
  <c r="F23" i="15"/>
  <c r="C21" i="15"/>
  <c r="C24" i="15"/>
  <c r="D19" i="15"/>
  <c r="C19" i="15"/>
  <c r="C33" i="15" s="1"/>
  <c r="C34" i="15" s="1"/>
  <c r="B19" i="15"/>
  <c r="C22" i="15"/>
  <c r="D25" i="15"/>
  <c r="B23" i="15"/>
  <c r="F24" i="15"/>
  <c r="E20" i="15"/>
  <c r="E21" i="15"/>
  <c r="E39" i="15" s="1"/>
  <c r="E40" i="15" s="1"/>
  <c r="F19" i="15"/>
  <c r="E23" i="15"/>
  <c r="D23" i="15"/>
  <c r="B21" i="15"/>
  <c r="B25" i="15"/>
  <c r="B51" i="15" s="1"/>
  <c r="B52" i="15" s="1"/>
  <c r="E24" i="15"/>
  <c r="D20" i="15"/>
  <c r="B24" i="15"/>
  <c r="F25" i="15"/>
  <c r="F51" i="15" s="1"/>
  <c r="F52" i="15" s="1"/>
  <c r="B22" i="15"/>
  <c r="D24" i="15"/>
  <c r="C20" i="15"/>
  <c r="D21" i="15"/>
  <c r="D39" i="15" s="1"/>
  <c r="D40" i="15" s="1"/>
  <c r="D22" i="15"/>
  <c r="E25" i="15"/>
  <c r="F22" i="15"/>
  <c r="V31" i="16"/>
  <c r="E25" i="14"/>
  <c r="E20" i="14"/>
  <c r="B21" i="14"/>
  <c r="C24" i="14"/>
  <c r="F23" i="14"/>
  <c r="F22" i="14"/>
  <c r="E22" i="14"/>
  <c r="B19" i="14"/>
  <c r="B22" i="14"/>
  <c r="E24" i="14"/>
  <c r="D20" i="14"/>
  <c r="B23" i="14"/>
  <c r="E21" i="14"/>
  <c r="B20" i="14"/>
  <c r="C19" i="14"/>
  <c r="C33" i="14" s="1"/>
  <c r="C34" i="14" s="1"/>
  <c r="D21" i="14"/>
  <c r="D24" i="14"/>
  <c r="C20" i="14"/>
  <c r="D22" i="14"/>
  <c r="D42" i="14" s="1"/>
  <c r="D43" i="14" s="1"/>
  <c r="F20" i="14"/>
  <c r="C21" i="14"/>
  <c r="C25" i="14"/>
  <c r="F21" i="14"/>
  <c r="F39" i="14" s="1"/>
  <c r="F40" i="14" s="1"/>
  <c r="D25" i="14"/>
  <c r="F25" i="14"/>
  <c r="D23" i="14"/>
  <c r="F19" i="14"/>
  <c r="F33" i="14" s="1"/>
  <c r="F34" i="14" s="1"/>
  <c r="B25" i="14"/>
  <c r="F24" i="14"/>
  <c r="C23" i="14"/>
  <c r="E19" i="14"/>
  <c r="E33" i="14" s="1"/>
  <c r="E34" i="14" s="1"/>
  <c r="C22" i="14"/>
  <c r="E23" i="14"/>
  <c r="D19" i="14"/>
  <c r="B24" i="14"/>
  <c r="B48" i="14" s="1"/>
  <c r="B49" i="14" s="1"/>
  <c r="H39" i="16"/>
  <c r="W33" i="16" s="1"/>
  <c r="X33" i="16" s="1"/>
  <c r="H40" i="16"/>
  <c r="V33" i="16" s="1"/>
  <c r="V27" i="16"/>
  <c r="W27" i="16"/>
  <c r="X27" i="16" s="1"/>
  <c r="V29" i="16"/>
  <c r="W29" i="16"/>
  <c r="W32" i="16"/>
  <c r="V32" i="16"/>
  <c r="U26" i="9"/>
  <c r="U26" i="10"/>
  <c r="U24" i="10"/>
  <c r="U26" i="8"/>
  <c r="U24" i="8"/>
  <c r="H40" i="3"/>
  <c r="V27" i="3" s="1"/>
  <c r="H39" i="3"/>
  <c r="W30" i="3" s="1"/>
  <c r="U24" i="11"/>
  <c r="U26" i="11"/>
  <c r="U24" i="9"/>
  <c r="Z85" i="1"/>
  <c r="Z86" i="1"/>
  <c r="Z82" i="1"/>
  <c r="Z84" i="1"/>
  <c r="Z80" i="1"/>
  <c r="Z81" i="1"/>
  <c r="Z83" i="1"/>
  <c r="Z68" i="1"/>
  <c r="Z72" i="1"/>
  <c r="Z71" i="1"/>
  <c r="Z70" i="1"/>
  <c r="Z69" i="1"/>
  <c r="Z67" i="1"/>
  <c r="Z73" i="1"/>
  <c r="F33" i="15" l="1"/>
  <c r="F34" i="15" s="1"/>
  <c r="F45" i="15"/>
  <c r="F46" i="15" s="1"/>
  <c r="X32" i="16"/>
  <c r="D33" i="14"/>
  <c r="D34" i="14" s="1"/>
  <c r="C45" i="14"/>
  <c r="C46" i="14" s="1"/>
  <c r="D45" i="14"/>
  <c r="D46" i="14" s="1"/>
  <c r="C51" i="14"/>
  <c r="C52" i="14" s="1"/>
  <c r="C36" i="14"/>
  <c r="C37" i="14" s="1"/>
  <c r="B36" i="14"/>
  <c r="B37" i="14" s="1"/>
  <c r="E48" i="14"/>
  <c r="E49" i="14" s="1"/>
  <c r="F42" i="14"/>
  <c r="F43" i="14" s="1"/>
  <c r="E36" i="14"/>
  <c r="E37" i="14" s="1"/>
  <c r="F42" i="15"/>
  <c r="F43" i="15" s="1"/>
  <c r="C36" i="15"/>
  <c r="C37" i="15" s="1"/>
  <c r="B48" i="15"/>
  <c r="B49" i="15" s="1"/>
  <c r="B39" i="15"/>
  <c r="B40" i="15" s="1"/>
  <c r="D51" i="15"/>
  <c r="D52" i="15" s="1"/>
  <c r="D33" i="15"/>
  <c r="D34" i="15" s="1"/>
  <c r="F39" i="15"/>
  <c r="F40" i="15" s="1"/>
  <c r="E33" i="15"/>
  <c r="E34" i="15" s="1"/>
  <c r="W30" i="16"/>
  <c r="X30" i="16" s="1"/>
  <c r="D36" i="14"/>
  <c r="D37" i="14" s="1"/>
  <c r="X29" i="16"/>
  <c r="E45" i="14"/>
  <c r="E46" i="14" s="1"/>
  <c r="F48" i="14"/>
  <c r="F49" i="14" s="1"/>
  <c r="F51" i="14"/>
  <c r="F52" i="14" s="1"/>
  <c r="C39" i="14"/>
  <c r="C40" i="14" s="1"/>
  <c r="D48" i="14"/>
  <c r="D49" i="14" s="1"/>
  <c r="E39" i="14"/>
  <c r="E40" i="14" s="1"/>
  <c r="B42" i="14"/>
  <c r="B43" i="14" s="1"/>
  <c r="F45" i="14"/>
  <c r="F46" i="14" s="1"/>
  <c r="E51" i="14"/>
  <c r="E52" i="14" s="1"/>
  <c r="E51" i="15"/>
  <c r="E52" i="15" s="1"/>
  <c r="D48" i="15"/>
  <c r="D49" i="15" s="1"/>
  <c r="D36" i="15"/>
  <c r="D37" i="15" s="1"/>
  <c r="D45" i="15"/>
  <c r="D46" i="15" s="1"/>
  <c r="E36" i="15"/>
  <c r="E37" i="15" s="1"/>
  <c r="C42" i="15"/>
  <c r="C43" i="15" s="1"/>
  <c r="C48" i="15"/>
  <c r="C49" i="15" s="1"/>
  <c r="F36" i="15"/>
  <c r="F37" i="15" s="1"/>
  <c r="C51" i="15"/>
  <c r="C52" i="15" s="1"/>
  <c r="V39" i="15" s="1"/>
  <c r="V28" i="16"/>
  <c r="E42" i="14"/>
  <c r="E43" i="14" s="1"/>
  <c r="B39" i="14"/>
  <c r="B40" i="14" s="1"/>
  <c r="B45" i="15"/>
  <c r="B46" i="15" s="1"/>
  <c r="B36" i="15"/>
  <c r="B37" i="15" s="1"/>
  <c r="C42" i="14"/>
  <c r="C43" i="14" s="1"/>
  <c r="B51" i="14"/>
  <c r="B52" i="14" s="1"/>
  <c r="D51" i="14"/>
  <c r="D52" i="14" s="1"/>
  <c r="F36" i="14"/>
  <c r="F37" i="14" s="1"/>
  <c r="D39" i="14"/>
  <c r="D40" i="14" s="1"/>
  <c r="B45" i="14"/>
  <c r="B46" i="14" s="1"/>
  <c r="B33" i="14"/>
  <c r="B34" i="14" s="1"/>
  <c r="C48" i="14"/>
  <c r="C49" i="14" s="1"/>
  <c r="V38" i="14" s="1"/>
  <c r="W31" i="16"/>
  <c r="X31" i="16" s="1"/>
  <c r="D42" i="15"/>
  <c r="D43" i="15" s="1"/>
  <c r="B42" i="15"/>
  <c r="B43" i="15" s="1"/>
  <c r="V36" i="15" s="1"/>
  <c r="E48" i="15"/>
  <c r="E49" i="15" s="1"/>
  <c r="E45" i="15"/>
  <c r="E46" i="15" s="1"/>
  <c r="F48" i="15"/>
  <c r="F49" i="15" s="1"/>
  <c r="B33" i="15"/>
  <c r="B34" i="15" s="1"/>
  <c r="V33" i="15" s="1"/>
  <c r="C39" i="15"/>
  <c r="C40" i="15" s="1"/>
  <c r="E42" i="15"/>
  <c r="E43" i="15" s="1"/>
  <c r="C45" i="15"/>
  <c r="C46" i="15" s="1"/>
  <c r="W28" i="16"/>
  <c r="X28" i="16" s="1"/>
  <c r="E22" i="9"/>
  <c r="W27" i="3"/>
  <c r="X27" i="3" s="1"/>
  <c r="E20" i="10"/>
  <c r="V31" i="3"/>
  <c r="V32" i="3"/>
  <c r="E23" i="10"/>
  <c r="D21" i="10"/>
  <c r="W31" i="3"/>
  <c r="C25" i="10"/>
  <c r="F23" i="10"/>
  <c r="W32" i="3"/>
  <c r="C24" i="10"/>
  <c r="F20" i="10"/>
  <c r="D19" i="10"/>
  <c r="C21" i="10"/>
  <c r="B21" i="10"/>
  <c r="D20" i="10"/>
  <c r="F24" i="10"/>
  <c r="B19" i="10"/>
  <c r="F25" i="10"/>
  <c r="B25" i="10"/>
  <c r="B23" i="10"/>
  <c r="B20" i="10"/>
  <c r="E24" i="10"/>
  <c r="F19" i="10"/>
  <c r="D23" i="10"/>
  <c r="F22" i="10"/>
  <c r="C20" i="10"/>
  <c r="E21" i="10"/>
  <c r="B22" i="10"/>
  <c r="E25" i="10"/>
  <c r="B24" i="10"/>
  <c r="D25" i="10"/>
  <c r="B25" i="9"/>
  <c r="F21" i="10"/>
  <c r="C22" i="10"/>
  <c r="C19" i="10"/>
  <c r="C23" i="10"/>
  <c r="E19" i="10"/>
  <c r="D22" i="10"/>
  <c r="E22" i="10"/>
  <c r="D24" i="10"/>
  <c r="D24" i="9"/>
  <c r="C20" i="9"/>
  <c r="D25" i="9"/>
  <c r="D23" i="9"/>
  <c r="F23" i="9"/>
  <c r="D20" i="9"/>
  <c r="F19" i="9"/>
  <c r="B23" i="9"/>
  <c r="F24" i="11"/>
  <c r="C23" i="11"/>
  <c r="C19" i="11"/>
  <c r="D23" i="11"/>
  <c r="F23" i="11"/>
  <c r="B20" i="11"/>
  <c r="B24" i="11"/>
  <c r="E25" i="11"/>
  <c r="C25" i="11"/>
  <c r="D22" i="11"/>
  <c r="F22" i="11"/>
  <c r="C22" i="11"/>
  <c r="D19" i="11"/>
  <c r="E23" i="11"/>
  <c r="D21" i="11"/>
  <c r="C21" i="11"/>
  <c r="B25" i="11"/>
  <c r="D24" i="11"/>
  <c r="F20" i="11"/>
  <c r="D20" i="11"/>
  <c r="B23" i="11"/>
  <c r="E24" i="11"/>
  <c r="B19" i="11"/>
  <c r="C20" i="11"/>
  <c r="F19" i="11"/>
  <c r="C24" i="11"/>
  <c r="E19" i="11"/>
  <c r="B21" i="11"/>
  <c r="E21" i="11"/>
  <c r="F21" i="11"/>
  <c r="E22" i="11"/>
  <c r="F25" i="11"/>
  <c r="E20" i="11"/>
  <c r="B22" i="11"/>
  <c r="D25" i="11"/>
  <c r="W28" i="3"/>
  <c r="W29" i="3"/>
  <c r="W33" i="3"/>
  <c r="F20" i="9"/>
  <c r="F24" i="9"/>
  <c r="E20" i="9"/>
  <c r="F25" i="9"/>
  <c r="C25" i="9"/>
  <c r="C22" i="9"/>
  <c r="D19" i="9"/>
  <c r="C21" i="9"/>
  <c r="V29" i="3"/>
  <c r="V28" i="3"/>
  <c r="V33" i="3"/>
  <c r="B23" i="8"/>
  <c r="D19" i="8"/>
  <c r="B24" i="8"/>
  <c r="D21" i="8"/>
  <c r="D23" i="8"/>
  <c r="F19" i="8"/>
  <c r="D20" i="8"/>
  <c r="B21" i="8"/>
  <c r="E21" i="8"/>
  <c r="F22" i="8"/>
  <c r="C21" i="8"/>
  <c r="D25" i="8"/>
  <c r="C20" i="8"/>
  <c r="F24" i="8"/>
  <c r="E24" i="8"/>
  <c r="F21" i="8"/>
  <c r="C25" i="8"/>
  <c r="C22" i="8"/>
  <c r="F25" i="8"/>
  <c r="E23" i="8"/>
  <c r="F20" i="8"/>
  <c r="E22" i="8"/>
  <c r="D24" i="8"/>
  <c r="E25" i="8"/>
  <c r="E19" i="8"/>
  <c r="B19" i="8"/>
  <c r="B20" i="8"/>
  <c r="C24" i="8"/>
  <c r="B25" i="8"/>
  <c r="C19" i="8"/>
  <c r="C23" i="8"/>
  <c r="F23" i="8"/>
  <c r="B22" i="8"/>
  <c r="E20" i="8"/>
  <c r="D22" i="8"/>
  <c r="B20" i="9"/>
  <c r="E23" i="9"/>
  <c r="C24" i="9"/>
  <c r="B22" i="9"/>
  <c r="F22" i="9"/>
  <c r="E19" i="9"/>
  <c r="E21" i="9"/>
  <c r="F21" i="9"/>
  <c r="V30" i="3"/>
  <c r="X30" i="3" s="1"/>
  <c r="B21" i="9"/>
  <c r="B19" i="9"/>
  <c r="C19" i="9"/>
  <c r="D22" i="9"/>
  <c r="D21" i="9"/>
  <c r="C23" i="9"/>
  <c r="E24" i="9"/>
  <c r="E25" i="9"/>
  <c r="B24" i="9"/>
  <c r="Y28" i="16" l="1"/>
  <c r="Z28" i="16"/>
  <c r="V37" i="14"/>
  <c r="AE37" i="14"/>
  <c r="AE39" i="14"/>
  <c r="V39" i="14"/>
  <c r="V34" i="15"/>
  <c r="W39" i="15" s="1"/>
  <c r="Z30" i="16"/>
  <c r="Y30" i="16"/>
  <c r="V34" i="14"/>
  <c r="AE34" i="14"/>
  <c r="AE33" i="14"/>
  <c r="V33" i="14"/>
  <c r="Y33" i="16"/>
  <c r="Z31" i="16"/>
  <c r="Y31" i="16"/>
  <c r="V37" i="15"/>
  <c r="AE38" i="14"/>
  <c r="V35" i="15"/>
  <c r="Z27" i="16"/>
  <c r="AE35" i="14"/>
  <c r="AF35" i="14" s="1"/>
  <c r="V35" i="14"/>
  <c r="AE36" i="14"/>
  <c r="V36" i="14"/>
  <c r="W36" i="14" s="1"/>
  <c r="Z33" i="16"/>
  <c r="Z29" i="16"/>
  <c r="Y29" i="16"/>
  <c r="V38" i="15"/>
  <c r="W38" i="15" s="1"/>
  <c r="Y32" i="16"/>
  <c r="Z32" i="16"/>
  <c r="Y27" i="16"/>
  <c r="X33" i="3"/>
  <c r="X31" i="3"/>
  <c r="X29" i="3"/>
  <c r="X28" i="3"/>
  <c r="X32" i="3"/>
  <c r="E42" i="10"/>
  <c r="E43" i="10" s="1"/>
  <c r="C39" i="10"/>
  <c r="C40" i="10" s="1"/>
  <c r="D51" i="10"/>
  <c r="D52" i="10" s="1"/>
  <c r="F33" i="10"/>
  <c r="F34" i="10" s="1"/>
  <c r="B33" i="10"/>
  <c r="B34" i="10" s="1"/>
  <c r="D42" i="10"/>
  <c r="D43" i="10" s="1"/>
  <c r="B36" i="10"/>
  <c r="B37" i="10" s="1"/>
  <c r="F36" i="10"/>
  <c r="F37" i="10" s="1"/>
  <c r="D48" i="10"/>
  <c r="D49" i="10" s="1"/>
  <c r="C33" i="10"/>
  <c r="C34" i="10" s="1"/>
  <c r="B42" i="10"/>
  <c r="B43" i="10" s="1"/>
  <c r="E51" i="10"/>
  <c r="E52" i="10" s="1"/>
  <c r="F42" i="10"/>
  <c r="F43" i="10" s="1"/>
  <c r="E45" i="10"/>
  <c r="E46" i="10" s="1"/>
  <c r="F51" i="10"/>
  <c r="F52" i="10" s="1"/>
  <c r="B51" i="10"/>
  <c r="B52" i="10" s="1"/>
  <c r="D39" i="10"/>
  <c r="D40" i="10" s="1"/>
  <c r="F51" i="9"/>
  <c r="F52" i="9" s="1"/>
  <c r="C42" i="10"/>
  <c r="C43" i="10" s="1"/>
  <c r="F51" i="11"/>
  <c r="F52" i="11" s="1"/>
  <c r="B39" i="11"/>
  <c r="B40" i="11" s="1"/>
  <c r="C36" i="11"/>
  <c r="C37" i="11" s="1"/>
  <c r="E39" i="10"/>
  <c r="E40" i="10" s="1"/>
  <c r="F48" i="10"/>
  <c r="F49" i="10" s="1"/>
  <c r="F45" i="10"/>
  <c r="F46" i="10" s="1"/>
  <c r="B45" i="10"/>
  <c r="B46" i="10" s="1"/>
  <c r="D33" i="10"/>
  <c r="D34" i="10" s="1"/>
  <c r="E33" i="10"/>
  <c r="E34" i="10" s="1"/>
  <c r="F39" i="10"/>
  <c r="F40" i="10" s="1"/>
  <c r="B48" i="10"/>
  <c r="B49" i="10" s="1"/>
  <c r="C36" i="10"/>
  <c r="C37" i="10" s="1"/>
  <c r="E36" i="10"/>
  <c r="E37" i="10" s="1"/>
  <c r="D36" i="10"/>
  <c r="D37" i="10" s="1"/>
  <c r="C51" i="10"/>
  <c r="C52" i="10" s="1"/>
  <c r="E48" i="10"/>
  <c r="E49" i="10" s="1"/>
  <c r="C48" i="10"/>
  <c r="C49" i="10" s="1"/>
  <c r="C45" i="10"/>
  <c r="C46" i="10" s="1"/>
  <c r="B39" i="10"/>
  <c r="B40" i="10" s="1"/>
  <c r="D45" i="10"/>
  <c r="D46" i="10" s="1"/>
  <c r="D36" i="11"/>
  <c r="D37" i="11" s="1"/>
  <c r="F36" i="9"/>
  <c r="F37" i="9" s="1"/>
  <c r="F39" i="9"/>
  <c r="F40" i="9" s="1"/>
  <c r="F45" i="9"/>
  <c r="F46" i="9" s="1"/>
  <c r="E51" i="11"/>
  <c r="E52" i="11" s="1"/>
  <c r="E51" i="8"/>
  <c r="E52" i="8" s="1"/>
  <c r="E36" i="8"/>
  <c r="E37" i="8" s="1"/>
  <c r="E45" i="8"/>
  <c r="E46" i="8" s="1"/>
  <c r="E39" i="8"/>
  <c r="E40" i="8" s="1"/>
  <c r="E42" i="8"/>
  <c r="E43" i="8" s="1"/>
  <c r="E33" i="8"/>
  <c r="E34" i="8" s="1"/>
  <c r="E48" i="8"/>
  <c r="E49" i="8" s="1"/>
  <c r="C42" i="11"/>
  <c r="C43" i="11" s="1"/>
  <c r="E42" i="11"/>
  <c r="E43" i="11" s="1"/>
  <c r="F42" i="11"/>
  <c r="F43" i="11" s="1"/>
  <c r="B36" i="9"/>
  <c r="B37" i="9" s="1"/>
  <c r="B51" i="9"/>
  <c r="B52" i="9" s="1"/>
  <c r="B42" i="9"/>
  <c r="B43" i="9" s="1"/>
  <c r="B39" i="9"/>
  <c r="B40" i="9" s="1"/>
  <c r="B48" i="9"/>
  <c r="B49" i="9" s="1"/>
  <c r="B45" i="9"/>
  <c r="B46" i="9" s="1"/>
  <c r="B33" i="9"/>
  <c r="B34" i="9" s="1"/>
  <c r="F42" i="9"/>
  <c r="F43" i="9" s="1"/>
  <c r="F48" i="9"/>
  <c r="F49" i="9" s="1"/>
  <c r="B42" i="11"/>
  <c r="B43" i="11" s="1"/>
  <c r="F39" i="11"/>
  <c r="F40" i="11" s="1"/>
  <c r="C48" i="11"/>
  <c r="C49" i="11" s="1"/>
  <c r="E48" i="11"/>
  <c r="E49" i="11" s="1"/>
  <c r="D48" i="11"/>
  <c r="D49" i="11" s="1"/>
  <c r="E45" i="11"/>
  <c r="E46" i="11" s="1"/>
  <c r="D42" i="11"/>
  <c r="D43" i="11" s="1"/>
  <c r="B36" i="11"/>
  <c r="B37" i="11" s="1"/>
  <c r="C45" i="11"/>
  <c r="C46" i="11" s="1"/>
  <c r="C39" i="11"/>
  <c r="C40" i="11" s="1"/>
  <c r="C33" i="9"/>
  <c r="C34" i="9" s="1"/>
  <c r="C45" i="9"/>
  <c r="C46" i="9" s="1"/>
  <c r="C48" i="9"/>
  <c r="C49" i="9" s="1"/>
  <c r="C39" i="9"/>
  <c r="C40" i="9" s="1"/>
  <c r="C42" i="9"/>
  <c r="C43" i="9" s="1"/>
  <c r="C51" i="9"/>
  <c r="C52" i="9" s="1"/>
  <c r="C36" i="9"/>
  <c r="C37" i="9" s="1"/>
  <c r="F36" i="11"/>
  <c r="F37" i="11" s="1"/>
  <c r="F33" i="9"/>
  <c r="F34" i="9" s="1"/>
  <c r="C39" i="8"/>
  <c r="C40" i="8" s="1"/>
  <c r="C33" i="8"/>
  <c r="C34" i="8" s="1"/>
  <c r="C45" i="8"/>
  <c r="C46" i="8" s="1"/>
  <c r="C42" i="8"/>
  <c r="C43" i="8" s="1"/>
  <c r="C48" i="8"/>
  <c r="C49" i="8" s="1"/>
  <c r="C51" i="8"/>
  <c r="C52" i="8" s="1"/>
  <c r="C36" i="8"/>
  <c r="C37" i="8" s="1"/>
  <c r="B51" i="8"/>
  <c r="B52" i="8" s="1"/>
  <c r="B48" i="8"/>
  <c r="B49" i="8" s="1"/>
  <c r="B36" i="8"/>
  <c r="B37" i="8" s="1"/>
  <c r="B42" i="8"/>
  <c r="B43" i="8" s="1"/>
  <c r="B45" i="8"/>
  <c r="B46" i="8" s="1"/>
  <c r="B33" i="8"/>
  <c r="B34" i="8" s="1"/>
  <c r="B39" i="8"/>
  <c r="B40" i="8" s="1"/>
  <c r="F33" i="8"/>
  <c r="F34" i="8" s="1"/>
  <c r="F48" i="8"/>
  <c r="F49" i="8" s="1"/>
  <c r="F39" i="8"/>
  <c r="F40" i="8" s="1"/>
  <c r="F42" i="8"/>
  <c r="F43" i="8" s="1"/>
  <c r="F45" i="8"/>
  <c r="F46" i="8" s="1"/>
  <c r="F36" i="8"/>
  <c r="F37" i="8" s="1"/>
  <c r="F51" i="8"/>
  <c r="F52" i="8" s="1"/>
  <c r="D45" i="8"/>
  <c r="D46" i="8" s="1"/>
  <c r="D51" i="8"/>
  <c r="D52" i="8" s="1"/>
  <c r="D39" i="8"/>
  <c r="D40" i="8" s="1"/>
  <c r="D42" i="8"/>
  <c r="D43" i="8" s="1"/>
  <c r="D36" i="8"/>
  <c r="D37" i="8" s="1"/>
  <c r="D48" i="8"/>
  <c r="D49" i="8" s="1"/>
  <c r="D33" i="8"/>
  <c r="D34" i="8" s="1"/>
  <c r="D36" i="9"/>
  <c r="D37" i="9" s="1"/>
  <c r="D45" i="9"/>
  <c r="D46" i="9" s="1"/>
  <c r="D51" i="9"/>
  <c r="D52" i="9" s="1"/>
  <c r="D33" i="9"/>
  <c r="D34" i="9" s="1"/>
  <c r="D42" i="9"/>
  <c r="D43" i="9" s="1"/>
  <c r="D39" i="9"/>
  <c r="D40" i="9" s="1"/>
  <c r="D48" i="9"/>
  <c r="D49" i="9" s="1"/>
  <c r="E36" i="11"/>
  <c r="E37" i="11" s="1"/>
  <c r="E39" i="11"/>
  <c r="E40" i="11" s="1"/>
  <c r="F33" i="11"/>
  <c r="F34" i="11" s="1"/>
  <c r="B45" i="11"/>
  <c r="B46" i="11" s="1"/>
  <c r="B51" i="11"/>
  <c r="B52" i="11" s="1"/>
  <c r="D33" i="11"/>
  <c r="D34" i="11" s="1"/>
  <c r="C51" i="11"/>
  <c r="C52" i="11" s="1"/>
  <c r="F45" i="11"/>
  <c r="F46" i="11" s="1"/>
  <c r="F48" i="11"/>
  <c r="F49" i="11" s="1"/>
  <c r="E39" i="9"/>
  <c r="E40" i="9" s="1"/>
  <c r="E48" i="9"/>
  <c r="E49" i="9" s="1"/>
  <c r="E45" i="9"/>
  <c r="E46" i="9" s="1"/>
  <c r="E51" i="9"/>
  <c r="E52" i="9" s="1"/>
  <c r="E42" i="9"/>
  <c r="E43" i="9" s="1"/>
  <c r="E36" i="9"/>
  <c r="E37" i="9" s="1"/>
  <c r="E33" i="9"/>
  <c r="E34" i="9" s="1"/>
  <c r="D45" i="11"/>
  <c r="D46" i="11" s="1"/>
  <c r="D51" i="11"/>
  <c r="D52" i="11" s="1"/>
  <c r="E33" i="11"/>
  <c r="E34" i="11" s="1"/>
  <c r="B33" i="11"/>
  <c r="B34" i="11" s="1"/>
  <c r="D39" i="11"/>
  <c r="D40" i="11" s="1"/>
  <c r="B48" i="11"/>
  <c r="B49" i="11" s="1"/>
  <c r="C33" i="11"/>
  <c r="C34" i="11" s="1"/>
  <c r="W37" i="15" l="1"/>
  <c r="W39" i="14"/>
  <c r="AF36" i="14"/>
  <c r="AG36" i="14" s="1"/>
  <c r="AF40" i="14"/>
  <c r="AF41" i="14"/>
  <c r="AF33" i="14"/>
  <c r="AF42" i="14"/>
  <c r="AG42" i="14" s="1"/>
  <c r="AF39" i="14"/>
  <c r="W36" i="15"/>
  <c r="W46" i="14"/>
  <c r="W45" i="14"/>
  <c r="W33" i="14"/>
  <c r="W35" i="14"/>
  <c r="W35" i="15"/>
  <c r="W33" i="15"/>
  <c r="X38" i="15" s="1"/>
  <c r="AF37" i="14"/>
  <c r="W34" i="14"/>
  <c r="X34" i="14" s="1"/>
  <c r="AF38" i="14"/>
  <c r="AF34" i="14"/>
  <c r="W34" i="15"/>
  <c r="X34" i="15" s="1"/>
  <c r="W37" i="14"/>
  <c r="W38" i="14"/>
  <c r="V36" i="10"/>
  <c r="AE36" i="10"/>
  <c r="AE34" i="10"/>
  <c r="V39" i="10"/>
  <c r="AE35" i="10"/>
  <c r="AE39" i="10"/>
  <c r="V35" i="10"/>
  <c r="V38" i="10"/>
  <c r="V33" i="10"/>
  <c r="V34" i="10"/>
  <c r="V37" i="10"/>
  <c r="AE37" i="10"/>
  <c r="AE33" i="10"/>
  <c r="AE38" i="10"/>
  <c r="V33" i="11"/>
  <c r="V35" i="11"/>
  <c r="V59" i="8"/>
  <c r="V39" i="8"/>
  <c r="AE39" i="8"/>
  <c r="V34" i="11"/>
  <c r="Z28" i="3"/>
  <c r="Y28" i="3"/>
  <c r="V37" i="9"/>
  <c r="Y30" i="3"/>
  <c r="AE36" i="8"/>
  <c r="V56" i="8"/>
  <c r="V36" i="8"/>
  <c r="V34" i="9"/>
  <c r="Z30" i="3"/>
  <c r="V38" i="11"/>
  <c r="V39" i="11"/>
  <c r="Z29" i="3"/>
  <c r="V55" i="8"/>
  <c r="V35" i="8"/>
  <c r="AE35" i="8"/>
  <c r="V54" i="8"/>
  <c r="V34" i="8"/>
  <c r="AE34" i="8"/>
  <c r="Z33" i="3"/>
  <c r="V35" i="9"/>
  <c r="Y32" i="3"/>
  <c r="Z31" i="3"/>
  <c r="V57" i="8"/>
  <c r="AE37" i="8"/>
  <c r="V37" i="8"/>
  <c r="V39" i="9"/>
  <c r="Y27" i="3"/>
  <c r="Y33" i="3"/>
  <c r="V38" i="9"/>
  <c r="Z32" i="3"/>
  <c r="Y31" i="3"/>
  <c r="V37" i="11"/>
  <c r="Y29" i="3"/>
  <c r="V53" i="8"/>
  <c r="V33" i="8"/>
  <c r="AE33" i="8"/>
  <c r="AE38" i="8"/>
  <c r="V38" i="8"/>
  <c r="V58" i="8"/>
  <c r="V36" i="11"/>
  <c r="V33" i="9"/>
  <c r="V36" i="9"/>
  <c r="Z27" i="3"/>
  <c r="AG34" i="14" l="1"/>
  <c r="X35" i="14"/>
  <c r="X36" i="15"/>
  <c r="AG33" i="14"/>
  <c r="X39" i="14"/>
  <c r="X35" i="15"/>
  <c r="X38" i="14"/>
  <c r="AG38" i="14"/>
  <c r="AG37" i="14"/>
  <c r="X33" i="14"/>
  <c r="W44" i="14"/>
  <c r="X36" i="14"/>
  <c r="AG41" i="14"/>
  <c r="X37" i="15"/>
  <c r="X37" i="14"/>
  <c r="AG35" i="14"/>
  <c r="X33" i="15"/>
  <c r="AG39" i="14"/>
  <c r="AG40" i="14"/>
  <c r="X39" i="15"/>
  <c r="AF35" i="10"/>
  <c r="AF42" i="10"/>
  <c r="W35" i="10"/>
  <c r="AF36" i="10"/>
  <c r="W45" i="10"/>
  <c r="W38" i="10"/>
  <c r="AF37" i="10"/>
  <c r="AF41" i="10"/>
  <c r="AF34" i="10"/>
  <c r="AF40" i="10"/>
  <c r="AF39" i="10"/>
  <c r="W33" i="10"/>
  <c r="X33" i="10" s="1"/>
  <c r="W53" i="8"/>
  <c r="W46" i="10"/>
  <c r="AF33" i="10"/>
  <c r="W39" i="10"/>
  <c r="X39" i="10" s="1"/>
  <c r="W34" i="10"/>
  <c r="W36" i="10"/>
  <c r="W37" i="10"/>
  <c r="W35" i="11"/>
  <c r="AF38" i="10"/>
  <c r="W33" i="9"/>
  <c r="W38" i="8"/>
  <c r="W36" i="11"/>
  <c r="AF38" i="8"/>
  <c r="W39" i="9"/>
  <c r="AF36" i="8"/>
  <c r="W34" i="11"/>
  <c r="AF40" i="8"/>
  <c r="AF42" i="8"/>
  <c r="AF41" i="8"/>
  <c r="AF33" i="8"/>
  <c r="W37" i="11"/>
  <c r="W37" i="8"/>
  <c r="AF35" i="8"/>
  <c r="W39" i="11"/>
  <c r="W34" i="9"/>
  <c r="W37" i="9"/>
  <c r="AF39" i="8"/>
  <c r="W34" i="8"/>
  <c r="W38" i="9"/>
  <c r="W33" i="11"/>
  <c r="W36" i="9"/>
  <c r="W46" i="8"/>
  <c r="W33" i="8"/>
  <c r="W45" i="8"/>
  <c r="AF37" i="8"/>
  <c r="AF34" i="8"/>
  <c r="W35" i="8"/>
  <c r="W38" i="11"/>
  <c r="W36" i="8"/>
  <c r="W39" i="8"/>
  <c r="W35" i="9"/>
  <c r="X37" i="10" l="1"/>
  <c r="X35" i="10"/>
  <c r="X36" i="10"/>
  <c r="X38" i="10"/>
  <c r="X34" i="10"/>
  <c r="AG33" i="10"/>
  <c r="AG34" i="10"/>
  <c r="AG37" i="10"/>
  <c r="AG35" i="10"/>
  <c r="AG42" i="10"/>
  <c r="W44" i="10"/>
  <c r="AG40" i="10"/>
  <c r="AG39" i="10"/>
  <c r="AG36" i="10"/>
  <c r="AG38" i="10"/>
  <c r="AG41" i="10"/>
  <c r="X36" i="11"/>
  <c r="AG37" i="8"/>
  <c r="X36" i="8"/>
  <c r="AG38" i="8"/>
  <c r="X37" i="8"/>
  <c r="AG42" i="8"/>
  <c r="AG39" i="8"/>
  <c r="X33" i="11"/>
  <c r="AG35" i="8"/>
  <c r="AG33" i="8"/>
  <c r="X39" i="9"/>
  <c r="X35" i="11"/>
  <c r="X34" i="9"/>
  <c r="X34" i="11"/>
  <c r="X33" i="9"/>
  <c r="X35" i="9"/>
  <c r="X38" i="11"/>
  <c r="X36" i="9"/>
  <c r="X34" i="8"/>
  <c r="X39" i="11"/>
  <c r="X37" i="11"/>
  <c r="AG40" i="8"/>
  <c r="AG36" i="8"/>
  <c r="X35" i="8"/>
  <c r="X38" i="8"/>
  <c r="X37" i="9"/>
  <c r="X39" i="8"/>
  <c r="AG34" i="8"/>
  <c r="W44" i="8"/>
  <c r="X33" i="8"/>
  <c r="X38" i="9"/>
  <c r="AG41" i="8"/>
</calcChain>
</file>

<file path=xl/sharedStrings.xml><?xml version="1.0" encoding="utf-8"?>
<sst xmlns="http://schemas.openxmlformats.org/spreadsheetml/2006/main" count="827" uniqueCount="113">
  <si>
    <t>PROJETOS-ÂNCORA</t>
  </si>
  <si>
    <t>ÁREAS DE INTERVENÇÃO &amp; OBJETIVOS ESTRATÉGICOS</t>
  </si>
  <si>
    <t xml:space="preserve">Economia </t>
  </si>
  <si>
    <t>Património natural</t>
  </si>
  <si>
    <t>Território, centralidade e marca</t>
  </si>
  <si>
    <t>Inclusão social</t>
  </si>
  <si>
    <t>+ Qualidade de vida</t>
  </si>
  <si>
    <t>cópia da tabela anterior</t>
  </si>
  <si>
    <t xml:space="preserve">Nível 0 </t>
  </si>
  <si>
    <t>projeto * nivel1</t>
  </si>
  <si>
    <t xml:space="preserve">Racio de redestribuição </t>
  </si>
  <si>
    <t>resultados exercicio</t>
  </si>
  <si>
    <t>Order</t>
  </si>
  <si>
    <t>Rank</t>
  </si>
  <si>
    <t>Economia</t>
  </si>
  <si>
    <t>Patrimonio natural</t>
  </si>
  <si>
    <t>Territorio</t>
  </si>
  <si>
    <t xml:space="preserve">Inclusao </t>
  </si>
  <si>
    <t>Qualidade</t>
  </si>
  <si>
    <t>quando são os pesos todos iguais</t>
  </si>
  <si>
    <t>Matriz para calcular apenas com nível 0</t>
  </si>
  <si>
    <t>cópia da tabela anterior - ilhavo harmonizaçao (média dos scores iniciais)</t>
  </si>
  <si>
    <t>Caso: média scores originais, caso os critérios tivessem todos o mesmo peso</t>
  </si>
  <si>
    <t>sistema de equação [a(min)+b=1 ///// a(max)+b=5]</t>
  </si>
  <si>
    <t>pesos</t>
  </si>
  <si>
    <t>para transformar os pesos numa escala de 1 a 5</t>
  </si>
  <si>
    <t>min</t>
  </si>
  <si>
    <t>máx</t>
  </si>
  <si>
    <t>b</t>
  </si>
  <si>
    <t>a</t>
  </si>
  <si>
    <t>http://www.calculadoraonline.com.br/sistemas-lineares</t>
  </si>
  <si>
    <t>assumindo os mesmos pesos do exercício tambem convertidos numa escala de 1-5</t>
  </si>
  <si>
    <t>P1,1</t>
  </si>
  <si>
    <t>P1,2</t>
  </si>
  <si>
    <t>P1,3</t>
  </si>
  <si>
    <t>P1,4</t>
  </si>
  <si>
    <t>P1,5</t>
  </si>
  <si>
    <t>ordenaçao</t>
  </si>
  <si>
    <t>SAW weight</t>
  </si>
  <si>
    <t>P2,1</t>
  </si>
  <si>
    <t>P2,2</t>
  </si>
  <si>
    <t>P2,3</t>
  </si>
  <si>
    <t>P2,4</t>
  </si>
  <si>
    <t>P2,5</t>
  </si>
  <si>
    <t>P3,1</t>
  </si>
  <si>
    <t>P3,2</t>
  </si>
  <si>
    <t>P3,3</t>
  </si>
  <si>
    <t>P3,4</t>
  </si>
  <si>
    <t>P3,5</t>
  </si>
  <si>
    <t>P4,1</t>
  </si>
  <si>
    <t>P4,2</t>
  </si>
  <si>
    <t>P4,3</t>
  </si>
  <si>
    <t>P4,4</t>
  </si>
  <si>
    <t>P4,5</t>
  </si>
  <si>
    <t>P5,1</t>
  </si>
  <si>
    <t>P5,2</t>
  </si>
  <si>
    <t>P5,3</t>
  </si>
  <si>
    <t>P5,4</t>
  </si>
  <si>
    <t>P5,5</t>
  </si>
  <si>
    <t xml:space="preserve">média </t>
  </si>
  <si>
    <t>desvio padrao</t>
  </si>
  <si>
    <t>variancia</t>
  </si>
  <si>
    <t>P6,1</t>
  </si>
  <si>
    <t>P6,2</t>
  </si>
  <si>
    <t>P6,3</t>
  </si>
  <si>
    <t>P6,4</t>
  </si>
  <si>
    <t>P6,5</t>
  </si>
  <si>
    <t>P7,1</t>
  </si>
  <si>
    <t>P7,2</t>
  </si>
  <si>
    <t>P7,3</t>
  </si>
  <si>
    <t>P7,4</t>
  </si>
  <si>
    <t>P7,5</t>
  </si>
  <si>
    <t>normalizar de acordo com TOPSIS</t>
  </si>
  <si>
    <t>Si+</t>
  </si>
  <si>
    <t>Si-</t>
  </si>
  <si>
    <t>Pi</t>
  </si>
  <si>
    <t>calculate ideal best</t>
  </si>
  <si>
    <t>calculate ideal worst</t>
  </si>
  <si>
    <t>conversao sem arredondar</t>
  </si>
  <si>
    <t>se os pesos forem convertidos numa escala 1-5 mas não estiverem arredondados</t>
  </si>
  <si>
    <t/>
  </si>
  <si>
    <t>valor dos impactos se os critérios do nivel 1 tivessem o mesmo peso</t>
  </si>
  <si>
    <t>se os critérios do nivel 0 valerem todos o mesmo --&gt;</t>
  </si>
  <si>
    <t>Media se todos criterios valessem o mesmo (considera o nivel 0)</t>
  </si>
  <si>
    <t>soma dos impactos se os critérios do nível 1 tivessem o mesmo impacto. Esta operaçao foi para converter a matriz de impactos a ser usada com apenas o nivel 0</t>
  </si>
  <si>
    <t>teste com potencia (em vez de multiplicar o impacto do projeto com o peso do criterio)</t>
  </si>
  <si>
    <t>esta é que é a matriz usada nos diversos MCDM!</t>
  </si>
  <si>
    <t>Weighted product method</t>
  </si>
  <si>
    <t>conversao da matriz de impacto numa escala de 1 a 5</t>
  </si>
  <si>
    <t>SAW method - todos os critérios são considerados custo (relacao com o mínimo)</t>
  </si>
  <si>
    <t>SAW method - todos os critérios são considerados beneficio (relacao com o máximo)</t>
  </si>
  <si>
    <t>based on SAW method</t>
  </si>
  <si>
    <t>WPM weight</t>
  </si>
  <si>
    <t>Soma</t>
  </si>
  <si>
    <t>Radar de oportunidades</t>
  </si>
  <si>
    <t>Plano de gestão florestal</t>
  </si>
  <si>
    <t>Dinamização das atividades económicas</t>
  </si>
  <si>
    <t>Gestão de competências (capital humano)</t>
  </si>
  <si>
    <t>Regeneração urbana e Mobilidade</t>
  </si>
  <si>
    <t>Consolidação e requalificação da rede de equipamentos e serviços coletivos</t>
  </si>
  <si>
    <t>Estratégia de comunicação e marketing</t>
  </si>
  <si>
    <t>Alternativa 1</t>
  </si>
  <si>
    <t>Alternativa 2</t>
  </si>
  <si>
    <t>Alternativa 3</t>
  </si>
  <si>
    <t>Alternativa 4</t>
  </si>
  <si>
    <t>Alternativa 5</t>
  </si>
  <si>
    <t>Alternativa 6</t>
  </si>
  <si>
    <t>Alternativa 7</t>
  </si>
  <si>
    <t>Criteria A</t>
  </si>
  <si>
    <t>Criteria B</t>
  </si>
  <si>
    <t>Criteria C</t>
  </si>
  <si>
    <t>Criteria D</t>
  </si>
  <si>
    <t>Criteria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</si>
</sst>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"/>
    <numFmt numFmtId="167" formatCode="0.00000000"/>
  </numFmts>
  <fonts count="2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DDEBF7"/>
      <name val="Arial"/>
      <family val="2"/>
    </font>
    <font>
      <b/>
      <sz val="10"/>
      <color rgb="FF333F4F"/>
      <name val="Arial"/>
      <family val="2"/>
    </font>
    <font>
      <sz val="10"/>
      <color rgb="FF333F4F"/>
      <name val="Arial"/>
      <family val="2"/>
    </font>
    <font>
      <sz val="11"/>
      <color rgb="FFFF0000"/>
      <name val="Arial"/>
      <family val="2"/>
    </font>
    <font>
      <sz val="11"/>
      <color rgb="FFDDEBF7"/>
      <name val="Arial"/>
      <family val="2"/>
    </font>
    <font>
      <sz val="11"/>
      <color rgb="FF000000"/>
      <name val="Arial"/>
      <family val="2"/>
    </font>
    <font>
      <sz val="11"/>
      <color rgb="FF222B35"/>
      <name val="Arial"/>
      <family val="2"/>
    </font>
    <font>
      <i/>
      <sz val="11"/>
      <color rgb="FFDDEBF7"/>
      <name val="Arial"/>
      <family val="2"/>
    </font>
    <font>
      <sz val="11"/>
      <color rgb="FF80808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Calibri"/>
      <family val="2"/>
    </font>
    <font>
      <sz val="11"/>
      <name val="Arial"/>
      <family val="2"/>
    </font>
    <font>
      <b/>
      <sz val="11"/>
      <color theme="5" tint="-0.249977111117893"/>
      <name val="Arial"/>
      <family val="2"/>
    </font>
    <font>
      <sz val="11"/>
      <color theme="0"/>
      <name val="Calibri"/>
      <family val="2"/>
    </font>
    <font>
      <b/>
      <sz val="11"/>
      <color rgb="FF000000"/>
      <name val="Arial"/>
      <family val="2"/>
    </font>
    <font>
      <sz val="9"/>
      <color rgb="FFDDEBF7"/>
      <name val="Arial"/>
      <family val="2"/>
    </font>
    <font>
      <sz val="11"/>
      <color theme="7" tint="-0.499984740745262"/>
      <name val="Arial"/>
      <family val="2"/>
    </font>
    <font>
      <b/>
      <sz val="11"/>
      <color rgb="FFFF0000"/>
      <name val="Arial"/>
      <family val="2"/>
    </font>
    <font>
      <b/>
      <sz val="9"/>
      <color rgb="FFDDEBF7"/>
      <name val="Arial"/>
      <family val="2"/>
    </font>
    <font>
      <sz val="11"/>
      <color theme="2" tint="-0.749992370372631"/>
      <name val="Calibri"/>
      <family val="2"/>
    </font>
    <font>
      <b/>
      <sz val="11"/>
      <color rgb="FF333F4F"/>
      <name val="Arial"/>
      <family val="2"/>
    </font>
    <font>
      <sz val="11"/>
      <color theme="0" tint="-0.499984740745262"/>
      <name val="Calibri"/>
      <family val="2"/>
    </font>
    <font>
      <b/>
      <sz val="11"/>
      <color theme="1"/>
      <name val="Arial"/>
      <family val="2"/>
    </font>
    <font>
      <sz val="10"/>
      <name val="Arial"/>
    </font>
    <font>
      <sz val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F4F"/>
        <bgColor rgb="FF333F4F"/>
      </patternFill>
    </fill>
    <fill>
      <patternFill patternType="solid">
        <fgColor rgb="FFF8CBAD"/>
        <bgColor rgb="FFF8CBAD"/>
      </patternFill>
    </fill>
    <fill>
      <patternFill patternType="solid">
        <fgColor rgb="FFC9C9C9"/>
        <bgColor rgb="FFC9C9C9"/>
      </patternFill>
    </fill>
    <fill>
      <patternFill patternType="solid">
        <fgColor rgb="FFBDD7EE"/>
        <bgColor rgb="FFBDD7EE"/>
      </patternFill>
    </fill>
    <fill>
      <patternFill patternType="solid">
        <fgColor rgb="FFE2EFDA"/>
        <bgColor rgb="FFE2EFDA"/>
      </patternFill>
    </fill>
    <fill>
      <patternFill patternType="solid">
        <fgColor rgb="FFBFBFBF"/>
        <bgColor rgb="FFBFBFBF"/>
      </patternFill>
    </fill>
    <fill>
      <patternFill patternType="solid">
        <fgColor rgb="FFDBDBDB"/>
        <bgColor rgb="FFDBDBDB"/>
      </patternFill>
    </fill>
    <fill>
      <patternFill patternType="solid">
        <fgColor rgb="FFD9D9D9"/>
        <bgColor rgb="FFD9D9D9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9FFD9"/>
        <bgColor indexed="64"/>
      </patternFill>
    </fill>
  </fills>
  <borders count="24">
    <border>
      <left/>
      <right/>
      <top/>
      <bottom/>
      <diagonal/>
    </border>
    <border>
      <left style="medium">
        <color rgb="FF333F4F"/>
      </left>
      <right/>
      <top style="medium">
        <color rgb="FF333F4F"/>
      </top>
      <bottom style="thin">
        <color rgb="FFDDEBF7"/>
      </bottom>
      <diagonal/>
    </border>
    <border>
      <left/>
      <right/>
      <top style="medium">
        <color rgb="FF333F4F"/>
      </top>
      <bottom style="medium">
        <color rgb="FF333F4F"/>
      </bottom>
      <diagonal/>
    </border>
    <border>
      <left style="thin">
        <color rgb="FFDDEBF7"/>
      </left>
      <right/>
      <top style="medium">
        <color rgb="FF333F4F"/>
      </top>
      <bottom style="medium">
        <color rgb="FF333F4F"/>
      </bottom>
      <diagonal/>
    </border>
    <border>
      <left style="thin">
        <color rgb="FFDDEBF7"/>
      </left>
      <right style="thin">
        <color rgb="FFDDEBF7"/>
      </right>
      <top style="medium">
        <color rgb="FF333F4F"/>
      </top>
      <bottom style="medium">
        <color rgb="FF333F4F"/>
      </bottom>
      <diagonal/>
    </border>
    <border>
      <left style="thin">
        <color rgb="FFDDEBF7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/>
      <top style="medium">
        <color rgb="FF333F4F"/>
      </top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thin">
        <color rgb="FFDDEBF7"/>
      </top>
      <bottom/>
      <diagonal/>
    </border>
    <border>
      <left style="medium">
        <color rgb="FF333F4F"/>
      </left>
      <right style="medium">
        <color rgb="FF333F4F"/>
      </right>
      <top style="thin">
        <color rgb="FFDDEBF7"/>
      </top>
      <bottom style="thin">
        <color rgb="FFDDEBF7"/>
      </bottom>
      <diagonal/>
    </border>
    <border>
      <left style="medium">
        <color rgb="FF333F4F"/>
      </left>
      <right style="medium">
        <color rgb="FF333F4F"/>
      </right>
      <top/>
      <bottom style="thin">
        <color rgb="FFDDEBF7"/>
      </bottom>
      <diagonal/>
    </border>
    <border>
      <left style="medium">
        <color rgb="FF333F4F"/>
      </left>
      <right style="medium">
        <color rgb="FF333F4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33F4F"/>
      </left>
      <right/>
      <top style="thin">
        <color rgb="FFDDEBF7"/>
      </top>
      <bottom style="thin">
        <color rgb="FFDDEBF7"/>
      </bottom>
      <diagonal/>
    </border>
    <border>
      <left style="medium">
        <color rgb="FF333F4F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rgb="FFDDEBF7"/>
      </left>
      <right/>
      <top style="medium">
        <color rgb="FF333F4F"/>
      </top>
      <bottom style="medium">
        <color theme="3" tint="-0.24994659260841701"/>
      </bottom>
      <diagonal/>
    </border>
    <border>
      <left/>
      <right/>
      <top style="medium">
        <color rgb="FF333F4F"/>
      </top>
      <bottom style="medium">
        <color theme="3" tint="-0.24994659260841701"/>
      </bottom>
      <diagonal/>
    </border>
    <border>
      <left/>
      <right style="thin">
        <color rgb="FFDDEBF7"/>
      </right>
      <top style="medium">
        <color rgb="FF333F4F"/>
      </top>
      <bottom style="medium">
        <color theme="3" tint="-0.24994659260841701"/>
      </bottom>
      <diagonal/>
    </border>
    <border>
      <left/>
      <right style="medium">
        <color rgb="FF333F4F"/>
      </right>
      <top style="medium">
        <color rgb="FF333F4F"/>
      </top>
      <bottom style="medium">
        <color theme="3" tint="-0.24994659260841701"/>
      </bottom>
      <diagonal/>
    </border>
    <border>
      <left style="medium">
        <color rgb="FF333F4F"/>
      </left>
      <right/>
      <top style="medium">
        <color rgb="FF333F4F"/>
      </top>
      <bottom style="medium">
        <color theme="3" tint="-0.24994659260841701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118">
    <xf numFmtId="0" fontId="0" fillId="0" borderId="0" xfId="0"/>
    <xf numFmtId="0" fontId="0" fillId="2" borderId="0" xfId="1" applyFont="1" applyFill="1" applyProtection="1"/>
    <xf numFmtId="0" fontId="0" fillId="0" borderId="0" xfId="1" applyFont="1" applyAlignment="1" applyProtection="1">
      <alignment horizontal="center"/>
    </xf>
    <xf numFmtId="0" fontId="0" fillId="0" borderId="0" xfId="1" applyFont="1" applyProtection="1"/>
    <xf numFmtId="0" fontId="2" fillId="3" borderId="2" xfId="1" applyFont="1" applyFill="1" applyBorder="1" applyAlignment="1" applyProtection="1">
      <alignment vertical="center"/>
    </xf>
    <xf numFmtId="0" fontId="2" fillId="3" borderId="3" xfId="1" applyFont="1" applyFill="1" applyBorder="1" applyAlignment="1" applyProtection="1">
      <alignment vertical="center"/>
    </xf>
    <xf numFmtId="0" fontId="2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horizontal="right" vertical="top" wrapText="1"/>
    </xf>
    <xf numFmtId="0" fontId="6" fillId="3" borderId="9" xfId="1" applyFont="1" applyFill="1" applyBorder="1" applyAlignment="1" applyProtection="1">
      <alignment horizontal="left" vertical="center" wrapText="1"/>
    </xf>
    <xf numFmtId="2" fontId="7" fillId="0" borderId="10" xfId="1" applyNumberFormat="1" applyFont="1" applyBorder="1" applyAlignment="1" applyProtection="1">
      <alignment horizontal="center" vertical="center" wrapText="1"/>
    </xf>
    <xf numFmtId="164" fontId="7" fillId="0" borderId="10" xfId="1" applyNumberFormat="1" applyFont="1" applyBorder="1" applyAlignment="1" applyProtection="1">
      <alignment horizontal="left" vertical="center" wrapText="1"/>
    </xf>
    <xf numFmtId="2" fontId="8" fillId="0" borderId="0" xfId="1" applyNumberFormat="1" applyFont="1" applyAlignment="1" applyProtection="1">
      <alignment horizontal="right" vertical="center" wrapText="1"/>
    </xf>
    <xf numFmtId="164" fontId="7" fillId="0" borderId="9" xfId="1" applyNumberFormat="1" applyFont="1" applyBorder="1" applyAlignment="1" applyProtection="1">
      <alignment horizontal="left" vertical="center" wrapText="1"/>
    </xf>
    <xf numFmtId="2" fontId="0" fillId="0" borderId="0" xfId="1" applyNumberFormat="1" applyFont="1" applyAlignment="1" applyProtection="1">
      <alignment horizontal="center"/>
    </xf>
    <xf numFmtId="0" fontId="10" fillId="0" borderId="0" xfId="1" applyFont="1" applyAlignment="1" applyProtection="1">
      <alignment horizontal="left" vertical="center" wrapText="1"/>
    </xf>
    <xf numFmtId="165" fontId="7" fillId="0" borderId="12" xfId="1" applyNumberFormat="1" applyFont="1" applyBorder="1" applyAlignment="1" applyProtection="1">
      <alignment horizontal="center" wrapText="1"/>
    </xf>
    <xf numFmtId="2" fontId="5" fillId="0" borderId="0" xfId="1" applyNumberFormat="1" applyFont="1" applyAlignment="1" applyProtection="1">
      <alignment horizontal="center" vertical="center" wrapText="1"/>
    </xf>
    <xf numFmtId="0" fontId="6" fillId="0" borderId="0" xfId="1" applyFont="1" applyAlignment="1" applyProtection="1">
      <alignment horizontal="left" vertical="center" wrapText="1"/>
    </xf>
    <xf numFmtId="165" fontId="7" fillId="0" borderId="0" xfId="1" applyNumberFormat="1" applyFont="1" applyAlignment="1" applyProtection="1">
      <alignment horizontal="center" wrapText="1"/>
    </xf>
    <xf numFmtId="165" fontId="0" fillId="0" borderId="0" xfId="1" applyNumberFormat="1" applyFont="1" applyAlignment="1" applyProtection="1">
      <alignment horizontal="center" vertical="center"/>
    </xf>
    <xf numFmtId="1" fontId="0" fillId="0" borderId="0" xfId="1" applyNumberFormat="1" applyFont="1" applyAlignment="1" applyProtection="1">
      <alignment horizontal="center" vertical="center"/>
    </xf>
    <xf numFmtId="0" fontId="0" fillId="0" borderId="0" xfId="1" applyFont="1" applyAlignment="1" applyProtection="1">
      <alignment horizontal="center" vertical="center"/>
    </xf>
    <xf numFmtId="0" fontId="11" fillId="8" borderId="0" xfId="1" applyFont="1" applyFill="1" applyAlignment="1" applyProtection="1">
      <alignment horizontal="left" vertical="center" wrapText="1"/>
    </xf>
    <xf numFmtId="2" fontId="0" fillId="0" borderId="0" xfId="1" applyNumberFormat="1" applyFont="1" applyProtection="1"/>
    <xf numFmtId="164" fontId="0" fillId="4" borderId="0" xfId="1" applyNumberFormat="1" applyFont="1" applyFill="1" applyProtection="1"/>
    <xf numFmtId="164" fontId="0" fillId="9" borderId="0" xfId="1" applyNumberFormat="1" applyFont="1" applyFill="1" applyProtection="1"/>
    <xf numFmtId="164" fontId="0" fillId="6" borderId="0" xfId="1" applyNumberFormat="1" applyFont="1" applyFill="1" applyProtection="1"/>
    <xf numFmtId="164" fontId="0" fillId="7" borderId="0" xfId="1" applyNumberFormat="1" applyFont="1" applyFill="1" applyProtection="1"/>
    <xf numFmtId="0" fontId="0" fillId="0" borderId="0" xfId="0" applyAlignment="1">
      <alignment wrapText="1"/>
    </xf>
    <xf numFmtId="0" fontId="0" fillId="0" borderId="0" xfId="1" applyFont="1" applyAlignment="1" applyProtection="1">
      <alignment horizontal="center" vertical="center" wrapText="1"/>
    </xf>
    <xf numFmtId="2" fontId="0" fillId="10" borderId="0" xfId="1" applyNumberFormat="1" applyFont="1" applyFill="1" applyAlignment="1" applyProtection="1">
      <alignment horizontal="center"/>
    </xf>
    <xf numFmtId="2" fontId="0" fillId="0" borderId="0" xfId="1" applyNumberFormat="1" applyFont="1" applyAlignment="1" applyProtection="1">
      <alignment horizontal="center" vertical="center"/>
    </xf>
    <xf numFmtId="0" fontId="6" fillId="0" borderId="11" xfId="1" applyFont="1" applyBorder="1" applyAlignment="1" applyProtection="1">
      <alignment horizontal="left" vertical="center" wrapText="1"/>
    </xf>
    <xf numFmtId="0" fontId="12" fillId="0" borderId="0" xfId="1" applyFont="1" applyAlignment="1" applyProtection="1">
      <alignment horizontal="center" vertical="center"/>
    </xf>
    <xf numFmtId="165" fontId="0" fillId="0" borderId="0" xfId="1" applyNumberFormat="1" applyFont="1" applyAlignment="1" applyProtection="1">
      <alignment horizontal="center"/>
    </xf>
    <xf numFmtId="164" fontId="0" fillId="0" borderId="0" xfId="1" applyNumberFormat="1" applyFont="1" applyAlignment="1" applyProtection="1">
      <alignment horizontal="center" vertical="center"/>
    </xf>
    <xf numFmtId="164" fontId="0" fillId="0" borderId="0" xfId="1" applyNumberFormat="1" applyFont="1" applyProtection="1"/>
    <xf numFmtId="165" fontId="0" fillId="0" borderId="0" xfId="1" applyNumberFormat="1" applyFont="1" applyAlignment="1" applyProtection="1">
      <alignment horizontal="right"/>
    </xf>
    <xf numFmtId="165" fontId="0" fillId="0" borderId="0" xfId="1" applyNumberFormat="1" applyFont="1" applyProtection="1"/>
    <xf numFmtId="0" fontId="0" fillId="0" borderId="0" xfId="1" applyFont="1" applyBorder="1" applyProtection="1"/>
    <xf numFmtId="165" fontId="0" fillId="10" borderId="0" xfId="1" applyNumberFormat="1" applyFont="1" applyFill="1" applyAlignment="1" applyProtection="1">
      <alignment horizontal="center"/>
    </xf>
    <xf numFmtId="0" fontId="14" fillId="0" borderId="0" xfId="1" applyFont="1" applyAlignment="1" applyProtection="1">
      <alignment horizontal="left" vertical="center" wrapText="1"/>
    </xf>
    <xf numFmtId="164" fontId="0" fillId="0" borderId="0" xfId="1" applyNumberFormat="1" applyFont="1" applyBorder="1" applyProtection="1"/>
    <xf numFmtId="2" fontId="0" fillId="0" borderId="0" xfId="1" applyNumberFormat="1" applyFont="1" applyBorder="1" applyProtection="1"/>
    <xf numFmtId="0" fontId="10" fillId="0" borderId="0" xfId="0" applyFont="1" applyAlignment="1">
      <alignment horizontal="left" vertical="center" wrapText="1"/>
    </xf>
    <xf numFmtId="165" fontId="7" fillId="0" borderId="12" xfId="0" applyNumberFormat="1" applyFont="1" applyBorder="1" applyAlignment="1">
      <alignment horizontal="center" wrapText="1"/>
    </xf>
    <xf numFmtId="165" fontId="0" fillId="0" borderId="0" xfId="0" applyNumberFormat="1"/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5" fillId="11" borderId="0" xfId="0" applyFont="1" applyFill="1" applyAlignment="1">
      <alignment horizontal="left" vertical="center" wrapText="1"/>
    </xf>
    <xf numFmtId="165" fontId="16" fillId="0" borderId="12" xfId="0" applyNumberFormat="1" applyFont="1" applyBorder="1" applyAlignment="1">
      <alignment horizontal="left" wrapText="1"/>
    </xf>
    <xf numFmtId="0" fontId="6" fillId="12" borderId="0" xfId="0" applyFont="1" applyFill="1" applyAlignment="1">
      <alignment horizontal="left"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0" fillId="13" borderId="0" xfId="0" applyFill="1"/>
    <xf numFmtId="0" fontId="0" fillId="14" borderId="0" xfId="0" applyFill="1"/>
    <xf numFmtId="0" fontId="6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center" wrapText="1"/>
    </xf>
    <xf numFmtId="0" fontId="12" fillId="0" borderId="0" xfId="0" applyFont="1"/>
    <xf numFmtId="1" fontId="0" fillId="0" borderId="0" xfId="0" applyNumberFormat="1"/>
    <xf numFmtId="2" fontId="0" fillId="0" borderId="0" xfId="0" applyNumberFormat="1" applyAlignment="1">
      <alignment wrapText="1"/>
    </xf>
    <xf numFmtId="0" fontId="4" fillId="0" borderId="0" xfId="0" applyFont="1" applyAlignment="1">
      <alignment horizontal="center" textRotation="90" wrapText="1"/>
    </xf>
    <xf numFmtId="1" fontId="0" fillId="0" borderId="0" xfId="0" applyNumberFormat="1" applyAlignment="1">
      <alignment wrapText="1"/>
    </xf>
    <xf numFmtId="0" fontId="3" fillId="4" borderId="4" xfId="1" applyFont="1" applyFill="1" applyBorder="1" applyAlignment="1" applyProtection="1">
      <alignment vertical="center" wrapText="1"/>
    </xf>
    <xf numFmtId="0" fontId="3" fillId="5" borderId="5" xfId="1" applyFont="1" applyFill="1" applyBorder="1" applyAlignment="1" applyProtection="1">
      <alignment vertical="center" wrapText="1"/>
    </xf>
    <xf numFmtId="0" fontId="3" fillId="6" borderId="6" xfId="1" applyFont="1" applyFill="1" applyBorder="1" applyAlignment="1" applyProtection="1">
      <alignment vertical="top" wrapText="1"/>
    </xf>
    <xf numFmtId="0" fontId="3" fillId="7" borderId="6" xfId="1" applyFont="1" applyFill="1" applyBorder="1" applyAlignment="1" applyProtection="1">
      <alignment vertical="top" wrapText="1"/>
    </xf>
    <xf numFmtId="49" fontId="3" fillId="7" borderId="7" xfId="1" applyNumberFormat="1" applyFont="1" applyFill="1" applyBorder="1" applyAlignment="1" applyProtection="1">
      <alignment vertical="top" wrapText="1"/>
    </xf>
    <xf numFmtId="165" fontId="7" fillId="0" borderId="15" xfId="0" applyNumberFormat="1" applyFont="1" applyBorder="1" applyAlignment="1">
      <alignment horizontal="center" wrapText="1"/>
    </xf>
    <xf numFmtId="165" fontId="7" fillId="0" borderId="0" xfId="0" quotePrefix="1" applyNumberFormat="1" applyFont="1" applyAlignment="1">
      <alignment horizontal="center" wrapText="1"/>
    </xf>
    <xf numFmtId="165" fontId="7" fillId="0" borderId="0" xfId="1" applyNumberFormat="1" applyFont="1" applyBorder="1" applyAlignment="1" applyProtection="1">
      <alignment horizontal="center" wrapText="1"/>
    </xf>
    <xf numFmtId="165" fontId="13" fillId="0" borderId="0" xfId="1" applyNumberFormat="1" applyFont="1" applyBorder="1" applyAlignment="1" applyProtection="1">
      <alignment horizontal="center" wrapText="1"/>
    </xf>
    <xf numFmtId="2" fontId="13" fillId="0" borderId="0" xfId="1" applyNumberFormat="1" applyFont="1" applyAlignment="1" applyProtection="1">
      <alignment horizontal="center" vertical="center" wrapText="1"/>
    </xf>
    <xf numFmtId="2" fontId="7" fillId="0" borderId="0" xfId="1" applyNumberFormat="1" applyFont="1" applyAlignment="1" applyProtection="1">
      <alignment horizontal="center" wrapText="1"/>
    </xf>
    <xf numFmtId="1" fontId="13" fillId="0" borderId="0" xfId="1" applyNumberFormat="1" applyFont="1" applyAlignment="1" applyProtection="1">
      <alignment horizontal="center" vertical="center" wrapText="1"/>
    </xf>
    <xf numFmtId="0" fontId="18" fillId="0" borderId="0" xfId="1" applyFont="1" applyAlignment="1" applyProtection="1">
      <alignment horizontal="left" vertical="center" wrapText="1"/>
    </xf>
    <xf numFmtId="164" fontId="7" fillId="0" borderId="0" xfId="1" applyNumberFormat="1" applyFont="1" applyAlignment="1" applyProtection="1">
      <alignment horizontal="center" wrapText="1"/>
    </xf>
    <xf numFmtId="0" fontId="4" fillId="0" borderId="0" xfId="1" applyFont="1" applyBorder="1" applyAlignment="1" applyProtection="1">
      <alignment horizontal="center" textRotation="90" wrapText="1"/>
    </xf>
    <xf numFmtId="0" fontId="0" fillId="15" borderId="0" xfId="0" applyFill="1" applyAlignment="1">
      <alignment wrapText="1"/>
    </xf>
    <xf numFmtId="2" fontId="7" fillId="0" borderId="12" xfId="0" applyNumberFormat="1" applyFont="1" applyBorder="1" applyAlignment="1">
      <alignment horizontal="center" wrapText="1"/>
    </xf>
    <xf numFmtId="2" fontId="7" fillId="0" borderId="15" xfId="0" applyNumberFormat="1" applyFont="1" applyBorder="1" applyAlignment="1">
      <alignment horizontal="center" wrapText="1"/>
    </xf>
    <xf numFmtId="0" fontId="19" fillId="0" borderId="11" xfId="1" applyFont="1" applyBorder="1" applyAlignment="1" applyProtection="1">
      <alignment horizontal="left" vertical="center" wrapText="1"/>
    </xf>
    <xf numFmtId="166" fontId="0" fillId="0" borderId="0" xfId="0" applyNumberFormat="1"/>
    <xf numFmtId="0" fontId="21" fillId="16" borderId="0" xfId="0" applyFont="1" applyFill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167" fontId="0" fillId="0" borderId="0" xfId="0" applyNumberFormat="1"/>
    <xf numFmtId="0" fontId="6" fillId="0" borderId="8" xfId="1" applyFont="1" applyBorder="1" applyAlignment="1" applyProtection="1">
      <alignment horizontal="left" vertical="center" wrapText="1"/>
    </xf>
    <xf numFmtId="0" fontId="6" fillId="0" borderId="9" xfId="1" applyFont="1" applyBorder="1" applyAlignment="1" applyProtection="1">
      <alignment horizontal="left" vertical="center" wrapText="1"/>
    </xf>
    <xf numFmtId="0" fontId="23" fillId="0" borderId="0" xfId="1" applyFont="1" applyProtection="1"/>
    <xf numFmtId="0" fontId="6" fillId="0" borderId="13" xfId="1" applyFont="1" applyBorder="1" applyAlignment="1" applyProtection="1">
      <alignment horizontal="left" vertical="center" wrapText="1"/>
    </xf>
    <xf numFmtId="0" fontId="6" fillId="0" borderId="14" xfId="1" applyFont="1" applyBorder="1" applyAlignment="1" applyProtection="1">
      <alignment horizontal="left" vertical="center" wrapText="1"/>
    </xf>
    <xf numFmtId="0" fontId="9" fillId="0" borderId="9" xfId="1" applyFont="1" applyBorder="1" applyAlignment="1" applyProtection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24" fillId="17" borderId="16" xfId="0" applyFont="1" applyFill="1" applyBorder="1"/>
    <xf numFmtId="0" fontId="24" fillId="17" borderId="17" xfId="0" applyFont="1" applyFill="1" applyBorder="1"/>
    <xf numFmtId="0" fontId="24" fillId="17" borderId="18" xfId="0" applyFont="1" applyFill="1" applyBorder="1"/>
    <xf numFmtId="0" fontId="2" fillId="0" borderId="2" xfId="1" applyFont="1" applyBorder="1" applyAlignment="1" applyProtection="1">
      <alignment vertical="center"/>
    </xf>
    <xf numFmtId="164" fontId="13" fillId="0" borderId="0" xfId="1" applyNumberFormat="1" applyFont="1" applyAlignment="1" applyProtection="1">
      <alignment horizontal="center" vertical="center" wrapText="1"/>
    </xf>
    <xf numFmtId="164" fontId="13" fillId="0" borderId="0" xfId="1" applyNumberFormat="1" applyFont="1" applyBorder="1" applyAlignment="1" applyProtection="1">
      <alignment horizontal="center" wrapText="1"/>
    </xf>
    <xf numFmtId="49" fontId="22" fillId="0" borderId="6" xfId="1" applyNumberFormat="1" applyFont="1" applyBorder="1" applyAlignment="1" applyProtection="1">
      <alignment horizontal="right" vertical="top" wrapText="1"/>
    </xf>
    <xf numFmtId="0" fontId="6" fillId="3" borderId="1" xfId="1" applyFont="1" applyFill="1" applyBorder="1" applyAlignment="1" applyProtection="1">
      <alignment horizontal="center" vertical="center"/>
    </xf>
    <xf numFmtId="49" fontId="22" fillId="7" borderId="6" xfId="1" applyNumberFormat="1" applyFont="1" applyFill="1" applyBorder="1" applyAlignment="1" applyProtection="1">
      <alignment horizontal="right" vertical="top" wrapText="1"/>
    </xf>
    <xf numFmtId="0" fontId="22" fillId="4" borderId="19" xfId="1" applyFont="1" applyFill="1" applyBorder="1" applyAlignment="1" applyProtection="1">
      <alignment horizontal="center" vertical="center" wrapText="1"/>
    </xf>
    <xf numFmtId="0" fontId="22" fillId="4" borderId="20" xfId="1" applyFont="1" applyFill="1" applyBorder="1" applyAlignment="1" applyProtection="1">
      <alignment horizontal="center" vertical="center" wrapText="1"/>
    </xf>
    <xf numFmtId="0" fontId="22" fillId="4" borderId="21" xfId="1" applyFont="1" applyFill="1" applyBorder="1" applyAlignment="1" applyProtection="1">
      <alignment horizontal="center" vertical="center" wrapText="1"/>
    </xf>
    <xf numFmtId="0" fontId="22" fillId="5" borderId="19" xfId="1" applyFont="1" applyFill="1" applyBorder="1" applyAlignment="1" applyProtection="1">
      <alignment horizontal="center" vertical="center" wrapText="1"/>
    </xf>
    <xf numFmtId="0" fontId="22" fillId="5" borderId="20" xfId="1" applyFont="1" applyFill="1" applyBorder="1" applyAlignment="1" applyProtection="1">
      <alignment horizontal="center" vertical="center" wrapText="1"/>
    </xf>
    <xf numFmtId="0" fontId="22" fillId="5" borderId="22" xfId="1" applyFont="1" applyFill="1" applyBorder="1" applyAlignment="1" applyProtection="1">
      <alignment horizontal="center" vertical="center" wrapText="1"/>
    </xf>
    <xf numFmtId="0" fontId="22" fillId="6" borderId="23" xfId="1" applyFont="1" applyFill="1" applyBorder="1" applyAlignment="1" applyProtection="1">
      <alignment horizontal="center" vertical="top" wrapText="1"/>
    </xf>
    <xf numFmtId="0" fontId="22" fillId="6" borderId="20" xfId="1" applyFont="1" applyFill="1" applyBorder="1" applyAlignment="1" applyProtection="1">
      <alignment horizontal="center" vertical="top" wrapText="1"/>
    </xf>
    <xf numFmtId="0" fontId="22" fillId="6" borderId="22" xfId="1" applyFont="1" applyFill="1" applyBorder="1" applyAlignment="1" applyProtection="1">
      <alignment horizontal="center" vertical="top" wrapText="1"/>
    </xf>
    <xf numFmtId="0" fontId="22" fillId="7" borderId="6" xfId="1" applyFont="1" applyFill="1" applyBorder="1" applyAlignment="1" applyProtection="1">
      <alignment horizontal="right" vertical="top" wrapText="1"/>
    </xf>
    <xf numFmtId="0" fontId="0" fillId="0" borderId="0" xfId="1" applyFont="1" applyAlignment="1" applyProtection="1">
      <alignment horizontal="left" wrapText="1"/>
    </xf>
    <xf numFmtId="0" fontId="17" fillId="1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0" fillId="1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34</xdr:row>
      <xdr:rowOff>154676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643F13-6B77-4BC6-85E5-E3974DE28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56028</xdr:colOff>
      <xdr:row>21</xdr:row>
      <xdr:rowOff>56534</xdr:rowOff>
    </xdr:from>
    <xdr:to>
      <xdr:col>40</xdr:col>
      <xdr:colOff>559741</xdr:colOff>
      <xdr:row>35</xdr:row>
      <xdr:rowOff>8999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AF1B05-4B36-417F-9A1E-2966E08A3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21403" y="5333384"/>
          <a:ext cx="4732813" cy="2895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39"/>
  <sheetViews>
    <sheetView workbookViewId="0">
      <selection activeCell="C19" sqref="C19:C25"/>
    </sheetView>
  </sheetViews>
  <sheetFormatPr defaultRowHeight="15" x14ac:dyDescent="0.25"/>
  <cols>
    <col min="1" max="2" width="2.85546875" style="1" customWidth="1"/>
    <col min="3" max="3" width="30.5703125" style="3" customWidth="1"/>
    <col min="4" max="4" width="7.28515625" style="3" customWidth="1"/>
    <col min="5" max="21" width="5.5703125" style="3" customWidth="1"/>
    <col min="22" max="22" width="11" style="2" customWidth="1"/>
    <col min="23" max="23" width="10" style="3" customWidth="1"/>
    <col min="24" max="24" width="25.28515625" style="3" customWidth="1"/>
    <col min="25" max="25" width="9.140625" style="3" customWidth="1"/>
    <col min="26" max="31" width="9.140625" style="3"/>
    <col min="32" max="32" width="8.85546875" style="3" customWidth="1"/>
    <col min="33" max="16384" width="9.140625" style="3"/>
  </cols>
  <sheetData>
    <row r="1" spans="1:24" s="1" customFormat="1" ht="7.5" customHeight="1" thickBot="1" x14ac:dyDescent="0.3">
      <c r="S1" s="3"/>
      <c r="T1" s="3"/>
      <c r="U1" s="3"/>
      <c r="V1" s="2"/>
      <c r="W1" s="3"/>
    </row>
    <row r="2" spans="1:24" ht="13.5" customHeight="1" thickBot="1" x14ac:dyDescent="0.3">
      <c r="C2" s="102" t="s">
        <v>0</v>
      </c>
      <c r="D2" s="4"/>
      <c r="E2" s="4"/>
      <c r="F2" s="4"/>
      <c r="G2" s="4"/>
      <c r="H2" s="5" t="s">
        <v>1</v>
      </c>
      <c r="I2" s="4"/>
      <c r="J2" s="4"/>
      <c r="K2" s="4"/>
      <c r="L2" s="4"/>
      <c r="M2" s="4"/>
      <c r="N2" s="4"/>
      <c r="O2" s="4"/>
      <c r="P2" s="4"/>
      <c r="Q2" s="4"/>
      <c r="R2" s="4"/>
      <c r="S2" s="98"/>
      <c r="T2" s="98"/>
      <c r="U2" s="98"/>
      <c r="V2" s="6"/>
      <c r="W2" s="6"/>
    </row>
    <row r="3" spans="1:24" ht="15.75" customHeight="1" thickBot="1" x14ac:dyDescent="0.3">
      <c r="C3" s="102"/>
      <c r="D3" s="104" t="s">
        <v>2</v>
      </c>
      <c r="E3" s="105"/>
      <c r="F3" s="106"/>
      <c r="G3" s="107" t="s">
        <v>3</v>
      </c>
      <c r="H3" s="108"/>
      <c r="I3" s="109"/>
      <c r="J3" s="110" t="s">
        <v>4</v>
      </c>
      <c r="K3" s="111"/>
      <c r="L3" s="112"/>
      <c r="M3" s="113" t="s">
        <v>5</v>
      </c>
      <c r="N3" s="113"/>
      <c r="O3" s="113"/>
      <c r="P3" s="103" t="s">
        <v>6</v>
      </c>
      <c r="Q3" s="103"/>
      <c r="R3" s="103"/>
      <c r="S3" s="101"/>
      <c r="T3" s="101"/>
      <c r="U3" s="101"/>
      <c r="V3" s="7"/>
      <c r="W3" s="8"/>
    </row>
    <row r="4" spans="1:24" s="1" customFormat="1" ht="15.75" thickBot="1" x14ac:dyDescent="0.3">
      <c r="C4" s="95" t="s">
        <v>101</v>
      </c>
      <c r="D4" s="9">
        <v>6</v>
      </c>
      <c r="E4" s="9">
        <v>3</v>
      </c>
      <c r="F4" s="9">
        <v>3.3333333333333335</v>
      </c>
      <c r="G4" s="9">
        <v>0.33333333333333331</v>
      </c>
      <c r="H4" s="9">
        <v>2</v>
      </c>
      <c r="I4" s="9">
        <v>1.6666666666666667</v>
      </c>
      <c r="J4" s="9">
        <v>1</v>
      </c>
      <c r="K4" s="9">
        <v>1</v>
      </c>
      <c r="L4" s="9">
        <v>1</v>
      </c>
      <c r="M4" s="9">
        <v>1.3333333333333333</v>
      </c>
      <c r="N4" s="9">
        <v>0.66666666666666663</v>
      </c>
      <c r="O4" s="9">
        <v>1.6666666666666667</v>
      </c>
      <c r="P4" s="9">
        <v>1</v>
      </c>
      <c r="Q4" s="9">
        <v>1</v>
      </c>
      <c r="R4" s="9">
        <v>3</v>
      </c>
      <c r="S4" s="88"/>
      <c r="T4" s="88"/>
      <c r="U4" s="88"/>
      <c r="V4" s="10">
        <f t="shared" ref="V4:V6" si="0">SUM(D4:U4)</f>
        <v>28.000000000000004</v>
      </c>
      <c r="W4" s="11">
        <f t="shared" ref="W4:W13" si="1">V4/$V$14</f>
        <v>1.4709745206199105</v>
      </c>
      <c r="X4" s="12"/>
    </row>
    <row r="5" spans="1:24" s="1" customFormat="1" ht="15.75" thickBot="1" x14ac:dyDescent="0.3">
      <c r="C5" s="95" t="s">
        <v>102</v>
      </c>
      <c r="D5" s="9">
        <v>4.75</v>
      </c>
      <c r="E5" s="9">
        <v>0.75</v>
      </c>
      <c r="F5" s="9">
        <v>1.5</v>
      </c>
      <c r="G5" s="9">
        <v>5</v>
      </c>
      <c r="H5" s="9">
        <v>2.5</v>
      </c>
      <c r="I5" s="9">
        <v>2.5</v>
      </c>
      <c r="J5" s="9">
        <v>0.25</v>
      </c>
      <c r="K5" s="9">
        <v>1</v>
      </c>
      <c r="L5" s="9">
        <v>1</v>
      </c>
      <c r="M5" s="9">
        <v>1.25</v>
      </c>
      <c r="N5" s="9">
        <v>0.5</v>
      </c>
      <c r="O5" s="9">
        <v>0.75</v>
      </c>
      <c r="P5" s="9">
        <v>0.75</v>
      </c>
      <c r="Q5" s="9">
        <v>0.75</v>
      </c>
      <c r="R5" s="9">
        <v>4</v>
      </c>
      <c r="S5" s="88"/>
      <c r="T5" s="88"/>
      <c r="U5" s="88"/>
      <c r="V5" s="10">
        <f t="shared" si="0"/>
        <v>27.25</v>
      </c>
      <c r="W5" s="13">
        <f t="shared" si="1"/>
        <v>1.43157341738902</v>
      </c>
      <c r="X5" s="12"/>
    </row>
    <row r="6" spans="1:24" s="1" customFormat="1" ht="15.75" thickBot="1" x14ac:dyDescent="0.3">
      <c r="C6" s="95" t="s">
        <v>103</v>
      </c>
      <c r="D6" s="9">
        <v>6</v>
      </c>
      <c r="E6" s="9">
        <v>3.3333333333333335</v>
      </c>
      <c r="F6" s="9">
        <v>5.333333333333333</v>
      </c>
      <c r="G6" s="9">
        <v>0.33333333333333331</v>
      </c>
      <c r="H6" s="9">
        <v>4</v>
      </c>
      <c r="I6" s="9">
        <v>1.3333333333333333</v>
      </c>
      <c r="J6" s="9">
        <v>0.33333333333333331</v>
      </c>
      <c r="K6" s="9">
        <v>0.66666666666666663</v>
      </c>
      <c r="L6" s="9">
        <v>2</v>
      </c>
      <c r="M6" s="9">
        <v>0.66666666666666663</v>
      </c>
      <c r="N6" s="9" t="s">
        <v>80</v>
      </c>
      <c r="O6" s="9">
        <v>1.6666666666666667</v>
      </c>
      <c r="P6" s="9">
        <v>0.66666666666666663</v>
      </c>
      <c r="Q6" s="9">
        <v>0.66666666666666663</v>
      </c>
      <c r="R6" s="9">
        <v>1</v>
      </c>
      <c r="S6" s="88"/>
      <c r="T6" s="88"/>
      <c r="U6" s="88"/>
      <c r="V6" s="10">
        <f t="shared" si="0"/>
        <v>28.000000000000004</v>
      </c>
      <c r="W6" s="13">
        <f t="shared" si="1"/>
        <v>1.4709745206199105</v>
      </c>
      <c r="X6" s="12"/>
    </row>
    <row r="7" spans="1:24" s="1" customFormat="1" ht="15.75" thickBot="1" x14ac:dyDescent="0.3">
      <c r="C7" s="95" t="s">
        <v>104</v>
      </c>
      <c r="D7" s="9">
        <v>2.6666666666666665</v>
      </c>
      <c r="E7" s="9">
        <v>4.666666666666667</v>
      </c>
      <c r="F7" s="9">
        <v>2.3333333333333335</v>
      </c>
      <c r="G7" s="9">
        <v>0.33333333333333331</v>
      </c>
      <c r="H7" s="9">
        <v>2.6666666666666665</v>
      </c>
      <c r="I7" s="9" t="s">
        <v>80</v>
      </c>
      <c r="J7" s="9" t="s">
        <v>80</v>
      </c>
      <c r="K7" s="9" t="s">
        <v>80</v>
      </c>
      <c r="L7" s="9">
        <v>0.33333333333333331</v>
      </c>
      <c r="M7" s="9">
        <v>2.6666666666666665</v>
      </c>
      <c r="N7" s="9">
        <v>0.66666666666666663</v>
      </c>
      <c r="O7" s="9">
        <v>3.6666666666666665</v>
      </c>
      <c r="P7" s="9">
        <v>0.66666666666666663</v>
      </c>
      <c r="Q7" s="9">
        <v>1</v>
      </c>
      <c r="R7" s="9">
        <v>3</v>
      </c>
      <c r="S7" s="88"/>
      <c r="T7" s="88"/>
      <c r="U7" s="88"/>
      <c r="V7" s="10">
        <f t="shared" ref="V7" si="2">SUM(D7:U7)</f>
        <v>24.666666666666671</v>
      </c>
      <c r="W7" s="13">
        <f t="shared" si="1"/>
        <v>1.2958585062603976</v>
      </c>
      <c r="X7" s="12"/>
    </row>
    <row r="8" spans="1:24" s="1" customFormat="1" ht="15.75" thickBot="1" x14ac:dyDescent="0.3">
      <c r="C8" s="95" t="s">
        <v>105</v>
      </c>
      <c r="D8" s="9">
        <v>2.5</v>
      </c>
      <c r="E8" s="9">
        <v>0.25</v>
      </c>
      <c r="F8" s="9">
        <v>0.75</v>
      </c>
      <c r="G8" s="9">
        <v>0.5</v>
      </c>
      <c r="H8" s="9">
        <v>1.5</v>
      </c>
      <c r="I8" s="9">
        <v>1</v>
      </c>
      <c r="J8" s="9">
        <v>3.5</v>
      </c>
      <c r="K8" s="9">
        <v>5.5</v>
      </c>
      <c r="L8" s="9">
        <v>2.75</v>
      </c>
      <c r="M8" s="9">
        <v>1.5</v>
      </c>
      <c r="N8" s="9">
        <v>1.5</v>
      </c>
      <c r="O8" s="9">
        <v>0.25</v>
      </c>
      <c r="P8" s="9">
        <v>1.75</v>
      </c>
      <c r="Q8" s="9">
        <v>3.25</v>
      </c>
      <c r="R8" s="9">
        <v>2</v>
      </c>
      <c r="S8" s="88"/>
      <c r="T8" s="88"/>
      <c r="U8" s="88"/>
      <c r="V8" s="10">
        <f t="shared" ref="V8:V13" si="3">SUM(D8:U8)</f>
        <v>28.5</v>
      </c>
      <c r="W8" s="13">
        <f t="shared" si="1"/>
        <v>1.4972419227738374</v>
      </c>
      <c r="X8" s="12"/>
    </row>
    <row r="9" spans="1:24" s="1" customFormat="1" ht="15.75" thickBot="1" x14ac:dyDescent="0.3">
      <c r="C9" s="95" t="s">
        <v>106</v>
      </c>
      <c r="D9" s="9">
        <v>2</v>
      </c>
      <c r="E9" s="9">
        <v>2</v>
      </c>
      <c r="F9" s="9">
        <v>1.3333333333333333</v>
      </c>
      <c r="G9" s="9" t="s">
        <v>80</v>
      </c>
      <c r="H9" s="9">
        <v>0.66666666666666663</v>
      </c>
      <c r="I9" s="9">
        <v>0.33333333333333331</v>
      </c>
      <c r="J9" s="9">
        <v>1.6666666666666667</v>
      </c>
      <c r="K9" s="9">
        <v>0.33333333333333331</v>
      </c>
      <c r="L9" s="9">
        <v>1.3333333333333333</v>
      </c>
      <c r="M9" s="9">
        <v>4.333333333333333</v>
      </c>
      <c r="N9" s="9">
        <v>4</v>
      </c>
      <c r="O9" s="9">
        <v>2</v>
      </c>
      <c r="P9" s="9">
        <v>3.3333333333333335</v>
      </c>
      <c r="Q9" s="9">
        <v>2</v>
      </c>
      <c r="R9" s="9">
        <v>2</v>
      </c>
      <c r="S9" s="88"/>
      <c r="T9" s="88"/>
      <c r="U9" s="88"/>
      <c r="V9" s="10">
        <f t="shared" si="3"/>
        <v>27.333333333333332</v>
      </c>
      <c r="W9" s="13">
        <f t="shared" si="1"/>
        <v>1.4359513177480077</v>
      </c>
      <c r="X9" s="12"/>
    </row>
    <row r="10" spans="1:24" s="1" customFormat="1" x14ac:dyDescent="0.25">
      <c r="C10" s="95" t="s">
        <v>107</v>
      </c>
      <c r="D10" s="9">
        <v>3.8</v>
      </c>
      <c r="E10" s="9">
        <v>0.8</v>
      </c>
      <c r="F10" s="9">
        <v>1.2</v>
      </c>
      <c r="G10" s="9">
        <v>1.2</v>
      </c>
      <c r="H10" s="9">
        <v>2.6</v>
      </c>
      <c r="I10" s="9">
        <v>1.2</v>
      </c>
      <c r="J10" s="9">
        <v>0.8</v>
      </c>
      <c r="K10" s="9">
        <v>0.8</v>
      </c>
      <c r="L10" s="9">
        <v>0.6</v>
      </c>
      <c r="M10" s="9">
        <v>1.2</v>
      </c>
      <c r="N10" s="9">
        <v>0.2</v>
      </c>
      <c r="O10" s="9">
        <v>0.2</v>
      </c>
      <c r="P10" s="9">
        <v>4.2</v>
      </c>
      <c r="Q10" s="9">
        <v>4.2</v>
      </c>
      <c r="R10" s="9">
        <v>3.6</v>
      </c>
      <c r="S10" s="88"/>
      <c r="T10" s="88"/>
      <c r="U10" s="88"/>
      <c r="V10" s="10">
        <f t="shared" si="3"/>
        <v>26.599999999999998</v>
      </c>
      <c r="W10" s="13">
        <f t="shared" si="1"/>
        <v>1.3974257945889148</v>
      </c>
      <c r="X10" s="12"/>
    </row>
    <row r="11" spans="1:24" s="1" customFormat="1" x14ac:dyDescent="0.25">
      <c r="C11" s="87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10">
        <f t="shared" si="3"/>
        <v>0</v>
      </c>
      <c r="W11" s="13">
        <f t="shared" si="1"/>
        <v>0</v>
      </c>
      <c r="X11" s="12"/>
    </row>
    <row r="12" spans="1:24" s="1" customFormat="1" x14ac:dyDescent="0.25">
      <c r="C12" s="87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10">
        <f t="shared" si="3"/>
        <v>0</v>
      </c>
      <c r="W12" s="13">
        <f t="shared" si="1"/>
        <v>0</v>
      </c>
      <c r="X12" s="12"/>
    </row>
    <row r="13" spans="1:24" s="1" customFormat="1" x14ac:dyDescent="0.25"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10">
        <f t="shared" si="3"/>
        <v>0</v>
      </c>
      <c r="W13" s="13">
        <f t="shared" si="1"/>
        <v>0</v>
      </c>
      <c r="X13" s="12"/>
    </row>
    <row r="14" spans="1:24" x14ac:dyDescent="0.25">
      <c r="A14" s="3"/>
      <c r="V14" s="14">
        <f>+AVERAGE(V13,V12,V11,V10,V9,V8,V7,V6,V5,V4)</f>
        <v>19.035000000000004</v>
      </c>
      <c r="W14" s="3">
        <v>1</v>
      </c>
      <c r="X14" s="3">
        <f>_xlfn.STDEV.P(W5:W13)</f>
        <v>0.67216142898868103</v>
      </c>
    </row>
    <row r="15" spans="1:24" x14ac:dyDescent="0.25">
      <c r="A15" s="3"/>
      <c r="V15" s="14"/>
    </row>
    <row r="16" spans="1:24" x14ac:dyDescent="0.25">
      <c r="A16" s="3"/>
      <c r="D16" s="89" t="s">
        <v>19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14" t="s">
        <v>93</v>
      </c>
      <c r="X16" s="30" t="s">
        <v>10</v>
      </c>
    </row>
    <row r="17" spans="1:30" x14ac:dyDescent="0.25">
      <c r="A17" s="3"/>
      <c r="D17" s="89">
        <f t="shared" ref="D17:O17" si="4">1/3</f>
        <v>0.33333333333333331</v>
      </c>
      <c r="E17" s="89">
        <f t="shared" si="4"/>
        <v>0.33333333333333331</v>
      </c>
      <c r="F17" s="89">
        <f t="shared" si="4"/>
        <v>0.33333333333333331</v>
      </c>
      <c r="G17" s="89">
        <f t="shared" si="4"/>
        <v>0.33333333333333331</v>
      </c>
      <c r="H17" s="89">
        <f t="shared" si="4"/>
        <v>0.33333333333333331</v>
      </c>
      <c r="I17" s="89">
        <f t="shared" si="4"/>
        <v>0.33333333333333331</v>
      </c>
      <c r="J17" s="89">
        <f t="shared" si="4"/>
        <v>0.33333333333333331</v>
      </c>
      <c r="K17" s="89">
        <f t="shared" si="4"/>
        <v>0.33333333333333331</v>
      </c>
      <c r="L17" s="89">
        <f t="shared" si="4"/>
        <v>0.33333333333333331</v>
      </c>
      <c r="M17" s="89">
        <f t="shared" si="4"/>
        <v>0.33333333333333331</v>
      </c>
      <c r="N17" s="89">
        <f t="shared" si="4"/>
        <v>0.33333333333333331</v>
      </c>
      <c r="O17" s="89">
        <f t="shared" si="4"/>
        <v>0.33333333333333331</v>
      </c>
      <c r="P17" s="89">
        <f>1/3</f>
        <v>0.33333333333333331</v>
      </c>
      <c r="Q17" s="89">
        <f t="shared" ref="Q17:R17" si="5">1/3</f>
        <v>0.33333333333333331</v>
      </c>
      <c r="R17" s="89">
        <f t="shared" si="5"/>
        <v>0.33333333333333331</v>
      </c>
      <c r="S17" s="89"/>
      <c r="T17" s="89"/>
      <c r="U17" s="89"/>
      <c r="V17" s="14"/>
    </row>
    <row r="18" spans="1:30" ht="15.75" thickBot="1" x14ac:dyDescent="0.3">
      <c r="A18" s="3"/>
      <c r="V18" s="14"/>
    </row>
    <row r="19" spans="1:30" ht="15.75" thickBot="1" x14ac:dyDescent="0.3">
      <c r="A19" s="3"/>
      <c r="C19" s="95" t="s">
        <v>101</v>
      </c>
      <c r="D19" s="3">
        <f>+D4*$D$17</f>
        <v>2</v>
      </c>
      <c r="E19" s="3">
        <f>+E4*$E$17</f>
        <v>1</v>
      </c>
      <c r="F19" s="3">
        <f>+F4*$F$17</f>
        <v>1.1111111111111112</v>
      </c>
      <c r="G19" s="3">
        <f>+G4*$G$17</f>
        <v>0.1111111111111111</v>
      </c>
      <c r="H19" s="3">
        <f>+H4*$H$17</f>
        <v>0.66666666666666663</v>
      </c>
      <c r="I19" s="3">
        <f>+I4*$I$17</f>
        <v>0.55555555555555558</v>
      </c>
      <c r="J19" s="3">
        <f>+J4*$J$17</f>
        <v>0.33333333333333331</v>
      </c>
      <c r="K19" s="3">
        <f>+K4*$K$17</f>
        <v>0.33333333333333331</v>
      </c>
      <c r="L19" s="3">
        <f>+L4*$L$17</f>
        <v>0.33333333333333331</v>
      </c>
      <c r="M19" s="3">
        <f>+M4*$M$17</f>
        <v>0.44444444444444442</v>
      </c>
      <c r="N19" s="3">
        <f>+N4*$N$17</f>
        <v>0.22222222222222221</v>
      </c>
      <c r="O19" s="3">
        <f>+O4*$O$17</f>
        <v>0.55555555555555558</v>
      </c>
      <c r="P19" s="3">
        <f>+P4*$P$17</f>
        <v>0.33333333333333331</v>
      </c>
      <c r="Q19" s="3">
        <f>+Q4*$Q$17</f>
        <v>0.33333333333333331</v>
      </c>
      <c r="R19" s="3">
        <f>+R4*$R$17</f>
        <v>1</v>
      </c>
      <c r="V19" s="14">
        <f>+SUM(D19:U19)</f>
        <v>9.3333333333333321</v>
      </c>
      <c r="X19" s="3">
        <f>$V$26/V19</f>
        <v>0.97117346938775506</v>
      </c>
    </row>
    <row r="20" spans="1:30" ht="15.75" thickBot="1" x14ac:dyDescent="0.3">
      <c r="A20" s="3"/>
      <c r="C20" s="95" t="s">
        <v>102</v>
      </c>
      <c r="D20" s="3">
        <f t="shared" ref="D20:D25" si="6">+D5*$D$17</f>
        <v>1.5833333333333333</v>
      </c>
      <c r="E20" s="3">
        <f t="shared" ref="E20:E25" si="7">+E5*$E$17</f>
        <v>0.25</v>
      </c>
      <c r="F20" s="3">
        <f t="shared" ref="F20:F25" si="8">+F5*$F$17</f>
        <v>0.5</v>
      </c>
      <c r="G20" s="3">
        <f t="shared" ref="G20:G25" si="9">+G5*$G$17</f>
        <v>1.6666666666666665</v>
      </c>
      <c r="H20" s="3">
        <f t="shared" ref="H20:H25" si="10">+H5*$H$17</f>
        <v>0.83333333333333326</v>
      </c>
      <c r="I20" s="3">
        <f t="shared" ref="I20:I25" si="11">+I5*$I$17</f>
        <v>0.83333333333333326</v>
      </c>
      <c r="J20" s="3">
        <f t="shared" ref="J20:J25" si="12">+J5*$J$17</f>
        <v>8.3333333333333329E-2</v>
      </c>
      <c r="K20" s="3">
        <f t="shared" ref="K20:K25" si="13">+K5*$K$17</f>
        <v>0.33333333333333331</v>
      </c>
      <c r="L20" s="3">
        <f t="shared" ref="L20:L25" si="14">+L5*$L$17</f>
        <v>0.33333333333333331</v>
      </c>
      <c r="M20" s="3">
        <f t="shared" ref="M20:M25" si="15">+M5*$M$17</f>
        <v>0.41666666666666663</v>
      </c>
      <c r="N20" s="3">
        <f t="shared" ref="N20:N25" si="16">+N5*$N$17</f>
        <v>0.16666666666666666</v>
      </c>
      <c r="O20" s="3">
        <f t="shared" ref="O20:O25" si="17">+O5*$O$17</f>
        <v>0.25</v>
      </c>
      <c r="P20" s="3">
        <f t="shared" ref="P20:P25" si="18">+P5*$P$17</f>
        <v>0.25</v>
      </c>
      <c r="Q20" s="3">
        <f t="shared" ref="Q20:Q25" si="19">+Q5*$Q$17</f>
        <v>0.25</v>
      </c>
      <c r="R20" s="3">
        <f t="shared" ref="R20:R25" si="20">+R5*$R$17</f>
        <v>1.3333333333333333</v>
      </c>
      <c r="V20" s="14">
        <f t="shared" ref="V20:V25" si="21">+SUM(D20:U20)</f>
        <v>9.0833333333333321</v>
      </c>
      <c r="X20" s="3">
        <f t="shared" ref="X20:X25" si="22">$V$26/V20</f>
        <v>0.99790301441677587</v>
      </c>
    </row>
    <row r="21" spans="1:30" ht="15.75" thickBot="1" x14ac:dyDescent="0.3">
      <c r="A21" s="3"/>
      <c r="C21" s="95" t="s">
        <v>103</v>
      </c>
      <c r="D21" s="3">
        <f t="shared" si="6"/>
        <v>2</v>
      </c>
      <c r="E21" s="3">
        <f t="shared" si="7"/>
        <v>1.1111111111111112</v>
      </c>
      <c r="F21" s="3">
        <f t="shared" si="8"/>
        <v>1.7777777777777777</v>
      </c>
      <c r="G21" s="3">
        <f t="shared" si="9"/>
        <v>0.1111111111111111</v>
      </c>
      <c r="H21" s="3">
        <f t="shared" si="10"/>
        <v>1.3333333333333333</v>
      </c>
      <c r="I21" s="3">
        <f t="shared" si="11"/>
        <v>0.44444444444444442</v>
      </c>
      <c r="J21" s="3">
        <f t="shared" si="12"/>
        <v>0.1111111111111111</v>
      </c>
      <c r="K21" s="3">
        <f t="shared" si="13"/>
        <v>0.22222222222222221</v>
      </c>
      <c r="L21" s="3">
        <f t="shared" si="14"/>
        <v>0.66666666666666663</v>
      </c>
      <c r="M21" s="3">
        <f t="shared" si="15"/>
        <v>0.22222222222222221</v>
      </c>
      <c r="O21" s="3">
        <f t="shared" si="17"/>
        <v>0.55555555555555558</v>
      </c>
      <c r="P21" s="3">
        <f t="shared" si="18"/>
        <v>0.22222222222222221</v>
      </c>
      <c r="Q21" s="3">
        <f t="shared" si="19"/>
        <v>0.22222222222222221</v>
      </c>
      <c r="R21" s="3">
        <f t="shared" si="20"/>
        <v>0.33333333333333331</v>
      </c>
      <c r="V21" s="14">
        <f t="shared" si="21"/>
        <v>9.3333333333333321</v>
      </c>
      <c r="X21" s="3">
        <f t="shared" si="22"/>
        <v>0.97117346938775506</v>
      </c>
    </row>
    <row r="22" spans="1:30" ht="15.75" thickBot="1" x14ac:dyDescent="0.3">
      <c r="A22" s="3"/>
      <c r="C22" s="95" t="s">
        <v>104</v>
      </c>
      <c r="D22" s="3">
        <f t="shared" si="6"/>
        <v>0.88888888888888884</v>
      </c>
      <c r="E22" s="3">
        <f t="shared" si="7"/>
        <v>1.5555555555555556</v>
      </c>
      <c r="F22" s="3">
        <f t="shared" si="8"/>
        <v>0.77777777777777779</v>
      </c>
      <c r="G22" s="3">
        <f t="shared" si="9"/>
        <v>0.1111111111111111</v>
      </c>
      <c r="H22" s="3">
        <f t="shared" si="10"/>
        <v>0.88888888888888884</v>
      </c>
      <c r="L22" s="3">
        <f t="shared" si="14"/>
        <v>0.1111111111111111</v>
      </c>
      <c r="M22" s="3">
        <f t="shared" si="15"/>
        <v>0.88888888888888884</v>
      </c>
      <c r="N22" s="3">
        <f t="shared" si="16"/>
        <v>0.22222222222222221</v>
      </c>
      <c r="O22" s="3">
        <f t="shared" si="17"/>
        <v>1.2222222222222221</v>
      </c>
      <c r="P22" s="3">
        <f t="shared" si="18"/>
        <v>0.22222222222222221</v>
      </c>
      <c r="Q22" s="3">
        <f t="shared" si="19"/>
        <v>0.33333333333333331</v>
      </c>
      <c r="R22" s="3">
        <f t="shared" si="20"/>
        <v>1</v>
      </c>
      <c r="V22" s="14">
        <f t="shared" si="21"/>
        <v>8.2222222222222214</v>
      </c>
      <c r="X22" s="3">
        <f t="shared" si="22"/>
        <v>1.1024131274131275</v>
      </c>
    </row>
    <row r="23" spans="1:30" ht="15.75" thickBot="1" x14ac:dyDescent="0.3">
      <c r="A23" s="3"/>
      <c r="C23" s="95" t="s">
        <v>105</v>
      </c>
      <c r="D23" s="3">
        <f t="shared" si="6"/>
        <v>0.83333333333333326</v>
      </c>
      <c r="E23" s="3">
        <f t="shared" si="7"/>
        <v>8.3333333333333329E-2</v>
      </c>
      <c r="F23" s="3">
        <f t="shared" si="8"/>
        <v>0.25</v>
      </c>
      <c r="G23" s="3">
        <f t="shared" si="9"/>
        <v>0.16666666666666666</v>
      </c>
      <c r="H23" s="3">
        <f t="shared" si="10"/>
        <v>0.5</v>
      </c>
      <c r="I23" s="3">
        <f t="shared" si="11"/>
        <v>0.33333333333333331</v>
      </c>
      <c r="J23" s="3">
        <f t="shared" si="12"/>
        <v>1.1666666666666665</v>
      </c>
      <c r="K23" s="3">
        <f t="shared" si="13"/>
        <v>1.8333333333333333</v>
      </c>
      <c r="L23" s="3">
        <f t="shared" si="14"/>
        <v>0.91666666666666663</v>
      </c>
      <c r="M23" s="3">
        <f t="shared" si="15"/>
        <v>0.5</v>
      </c>
      <c r="N23" s="3">
        <f t="shared" si="16"/>
        <v>0.5</v>
      </c>
      <c r="O23" s="3">
        <f t="shared" si="17"/>
        <v>8.3333333333333329E-2</v>
      </c>
      <c r="P23" s="3">
        <f t="shared" si="18"/>
        <v>0.58333333333333326</v>
      </c>
      <c r="Q23" s="3">
        <f t="shared" si="19"/>
        <v>1.0833333333333333</v>
      </c>
      <c r="R23" s="3">
        <f t="shared" si="20"/>
        <v>0.66666666666666663</v>
      </c>
      <c r="V23" s="14">
        <f t="shared" si="21"/>
        <v>9.4999999999999982</v>
      </c>
      <c r="X23" s="3">
        <f t="shared" si="22"/>
        <v>0.95413533834586473</v>
      </c>
    </row>
    <row r="24" spans="1:30" ht="15.75" thickBot="1" x14ac:dyDescent="0.3">
      <c r="A24" s="3"/>
      <c r="C24" s="95" t="s">
        <v>106</v>
      </c>
      <c r="D24" s="3">
        <f t="shared" si="6"/>
        <v>0.66666666666666663</v>
      </c>
      <c r="E24" s="3">
        <f t="shared" si="7"/>
        <v>0.66666666666666663</v>
      </c>
      <c r="F24" s="3">
        <f t="shared" si="8"/>
        <v>0.44444444444444442</v>
      </c>
      <c r="H24" s="3">
        <f t="shared" si="10"/>
        <v>0.22222222222222221</v>
      </c>
      <c r="I24" s="3">
        <f t="shared" si="11"/>
        <v>0.1111111111111111</v>
      </c>
      <c r="J24" s="3">
        <f t="shared" si="12"/>
        <v>0.55555555555555558</v>
      </c>
      <c r="K24" s="3">
        <f t="shared" si="13"/>
        <v>0.1111111111111111</v>
      </c>
      <c r="L24" s="3">
        <f t="shared" si="14"/>
        <v>0.44444444444444442</v>
      </c>
      <c r="M24" s="3">
        <f t="shared" si="15"/>
        <v>1.4444444444444442</v>
      </c>
      <c r="N24" s="3">
        <f t="shared" si="16"/>
        <v>1.3333333333333333</v>
      </c>
      <c r="O24" s="3">
        <f t="shared" si="17"/>
        <v>0.66666666666666663</v>
      </c>
      <c r="P24" s="3">
        <f t="shared" si="18"/>
        <v>1.1111111111111112</v>
      </c>
      <c r="Q24" s="3">
        <f t="shared" si="19"/>
        <v>0.66666666666666663</v>
      </c>
      <c r="R24" s="3">
        <f t="shared" si="20"/>
        <v>0.66666666666666663</v>
      </c>
      <c r="V24" s="14">
        <f t="shared" si="21"/>
        <v>9.1111111111111089</v>
      </c>
      <c r="X24" s="3">
        <f t="shared" si="22"/>
        <v>0.99486062717770052</v>
      </c>
    </row>
    <row r="25" spans="1:30" x14ac:dyDescent="0.25">
      <c r="A25" s="3"/>
      <c r="C25" s="95" t="s">
        <v>107</v>
      </c>
      <c r="D25" s="3">
        <f t="shared" si="6"/>
        <v>1.2666666666666666</v>
      </c>
      <c r="E25" s="3">
        <f t="shared" si="7"/>
        <v>0.26666666666666666</v>
      </c>
      <c r="F25" s="3">
        <f t="shared" si="8"/>
        <v>0.39999999999999997</v>
      </c>
      <c r="G25" s="3">
        <f t="shared" si="9"/>
        <v>0.39999999999999997</v>
      </c>
      <c r="H25" s="3">
        <f t="shared" si="10"/>
        <v>0.8666666666666667</v>
      </c>
      <c r="I25" s="3">
        <f t="shared" si="11"/>
        <v>0.39999999999999997</v>
      </c>
      <c r="J25" s="3">
        <f t="shared" si="12"/>
        <v>0.26666666666666666</v>
      </c>
      <c r="K25" s="3">
        <f t="shared" si="13"/>
        <v>0.26666666666666666</v>
      </c>
      <c r="L25" s="3">
        <f t="shared" si="14"/>
        <v>0.19999999999999998</v>
      </c>
      <c r="M25" s="3">
        <f t="shared" si="15"/>
        <v>0.39999999999999997</v>
      </c>
      <c r="N25" s="3">
        <f t="shared" si="16"/>
        <v>6.6666666666666666E-2</v>
      </c>
      <c r="O25" s="3">
        <f t="shared" si="17"/>
        <v>6.6666666666666666E-2</v>
      </c>
      <c r="P25" s="3">
        <f t="shared" si="18"/>
        <v>1.4</v>
      </c>
      <c r="Q25" s="3">
        <f t="shared" si="19"/>
        <v>1.4</v>
      </c>
      <c r="R25" s="3">
        <f t="shared" si="20"/>
        <v>1.2</v>
      </c>
      <c r="V25" s="14">
        <f t="shared" si="21"/>
        <v>8.8666666666666654</v>
      </c>
      <c r="X25" s="3">
        <f t="shared" si="22"/>
        <v>1.0222878625134264</v>
      </c>
    </row>
    <row r="26" spans="1:30" x14ac:dyDescent="0.25">
      <c r="A26" s="3"/>
      <c r="V26" s="14">
        <f>+AVERAGE(V17:V25)</f>
        <v>9.0642857142857132</v>
      </c>
    </row>
    <row r="27" spans="1:30" x14ac:dyDescent="0.25">
      <c r="A27" s="3"/>
    </row>
    <row r="28" spans="1:30" ht="26.25" customHeight="1" thickBot="1" x14ac:dyDescent="0.3">
      <c r="A28" s="3"/>
      <c r="C28" s="15" t="s">
        <v>81</v>
      </c>
      <c r="V28" s="14"/>
      <c r="Z28" s="3" t="s">
        <v>84</v>
      </c>
    </row>
    <row r="29" spans="1:30" ht="15.75" thickBot="1" x14ac:dyDescent="0.3">
      <c r="A29" s="3"/>
      <c r="C29" s="95" t="s">
        <v>101</v>
      </c>
      <c r="D29" s="24">
        <f>IF(D19="","",D19*$X19)</f>
        <v>1.9423469387755101</v>
      </c>
      <c r="E29" s="24">
        <f t="shared" ref="E29:U29" si="23">IF(E19="","",E19*$X19)</f>
        <v>0.97117346938775506</v>
      </c>
      <c r="F29" s="24">
        <f t="shared" si="23"/>
        <v>1.0790816326530612</v>
      </c>
      <c r="G29" s="24">
        <f t="shared" si="23"/>
        <v>0.10790816326530611</v>
      </c>
      <c r="H29" s="24">
        <f t="shared" si="23"/>
        <v>0.64744897959183667</v>
      </c>
      <c r="I29" s="24">
        <f t="shared" si="23"/>
        <v>0.53954081632653061</v>
      </c>
      <c r="J29" s="24">
        <f t="shared" si="23"/>
        <v>0.32372448979591834</v>
      </c>
      <c r="K29" s="24">
        <f t="shared" si="23"/>
        <v>0.32372448979591834</v>
      </c>
      <c r="L29" s="24">
        <f t="shared" si="23"/>
        <v>0.32372448979591834</v>
      </c>
      <c r="M29" s="24">
        <f t="shared" si="23"/>
        <v>0.43163265306122445</v>
      </c>
      <c r="N29" s="24">
        <f t="shared" si="23"/>
        <v>0.21581632653061222</v>
      </c>
      <c r="O29" s="24">
        <f t="shared" si="23"/>
        <v>0.53954081632653061</v>
      </c>
      <c r="P29" s="24">
        <f t="shared" si="23"/>
        <v>0.32372448979591834</v>
      </c>
      <c r="Q29" s="24">
        <f t="shared" si="23"/>
        <v>0.32372448979591834</v>
      </c>
      <c r="R29" s="24">
        <f t="shared" si="23"/>
        <v>0.97117346938775506</v>
      </c>
      <c r="S29" s="24" t="str">
        <f t="shared" si="23"/>
        <v/>
      </c>
      <c r="T29" s="24" t="str">
        <f t="shared" si="23"/>
        <v/>
      </c>
      <c r="U29" s="24" t="str">
        <f t="shared" si="23"/>
        <v/>
      </c>
      <c r="V29" s="16">
        <f>SUM(D29:U29)/18</f>
        <v>0.50357142857142856</v>
      </c>
      <c r="W29" s="17"/>
      <c r="Z29" s="39">
        <f>+SUM(D29:F29)</f>
        <v>3.9926020408163261</v>
      </c>
      <c r="AA29" s="39">
        <f>+SUM(G29:I29)</f>
        <v>1.2948979591836736</v>
      </c>
      <c r="AB29" s="39">
        <f>+SUM(J29:L29)</f>
        <v>0.97117346938775495</v>
      </c>
      <c r="AC29" s="39">
        <f>+SUM(M29:O29)</f>
        <v>1.1869897959183673</v>
      </c>
      <c r="AD29" s="39">
        <f>+SUM(P29:R29)</f>
        <v>1.6186224489795917</v>
      </c>
    </row>
    <row r="30" spans="1:30" ht="15.75" thickBot="1" x14ac:dyDescent="0.3">
      <c r="A30" s="3"/>
      <c r="C30" s="95" t="s">
        <v>102</v>
      </c>
      <c r="D30" s="24">
        <f t="shared" ref="D30:U30" si="24">IF(D20="","",D20*$X20)</f>
        <v>1.580013106159895</v>
      </c>
      <c r="E30" s="24">
        <f t="shared" si="24"/>
        <v>0.24947575360419397</v>
      </c>
      <c r="F30" s="24">
        <f t="shared" si="24"/>
        <v>0.49895150720838793</v>
      </c>
      <c r="G30" s="24">
        <f t="shared" si="24"/>
        <v>1.6631716906946263</v>
      </c>
      <c r="H30" s="24">
        <f t="shared" si="24"/>
        <v>0.83158584534731317</v>
      </c>
      <c r="I30" s="24">
        <f t="shared" si="24"/>
        <v>0.83158584534731317</v>
      </c>
      <c r="J30" s="24">
        <f t="shared" si="24"/>
        <v>8.3158584534731322E-2</v>
      </c>
      <c r="K30" s="24">
        <f t="shared" si="24"/>
        <v>0.33263433813892529</v>
      </c>
      <c r="L30" s="24">
        <f t="shared" si="24"/>
        <v>0.33263433813892529</v>
      </c>
      <c r="M30" s="24">
        <f t="shared" si="24"/>
        <v>0.41579292267365658</v>
      </c>
      <c r="N30" s="24">
        <f t="shared" si="24"/>
        <v>0.16631716906946264</v>
      </c>
      <c r="O30" s="24">
        <f t="shared" si="24"/>
        <v>0.24947575360419397</v>
      </c>
      <c r="P30" s="24">
        <f t="shared" si="24"/>
        <v>0.24947575360419397</v>
      </c>
      <c r="Q30" s="24">
        <f t="shared" si="24"/>
        <v>0.24947575360419397</v>
      </c>
      <c r="R30" s="24">
        <f t="shared" si="24"/>
        <v>1.3305373525557012</v>
      </c>
      <c r="S30" s="24" t="str">
        <f t="shared" si="24"/>
        <v/>
      </c>
      <c r="T30" s="24" t="str">
        <f t="shared" si="24"/>
        <v/>
      </c>
      <c r="U30" s="24" t="str">
        <f t="shared" si="24"/>
        <v/>
      </c>
      <c r="V30" s="16">
        <f t="shared" ref="V30:V35" si="25">SUM(D30:U30)/18</f>
        <v>0.50357142857142856</v>
      </c>
      <c r="W30" s="17"/>
      <c r="Z30" s="39">
        <f t="shared" ref="Z30:Z38" si="26">+SUM(D30:F30)</f>
        <v>2.3284403669724769</v>
      </c>
      <c r="AA30" s="39">
        <f t="shared" ref="AA30:AA38" si="27">+SUM(G30:I30)</f>
        <v>3.3263433813892527</v>
      </c>
      <c r="AB30" s="39">
        <f t="shared" ref="AB30:AB38" si="28">+SUM(J30:L30)</f>
        <v>0.74842726081258193</v>
      </c>
      <c r="AC30" s="39">
        <f t="shared" ref="AC30:AC38" si="29">+SUM(M30:O30)</f>
        <v>0.83158584534731317</v>
      </c>
      <c r="AD30" s="39">
        <f t="shared" ref="AD30:AD38" si="30">+SUM(P30:R30)</f>
        <v>1.829488859764089</v>
      </c>
    </row>
    <row r="31" spans="1:30" ht="15.75" thickBot="1" x14ac:dyDescent="0.3">
      <c r="A31" s="3"/>
      <c r="C31" s="95" t="s">
        <v>103</v>
      </c>
      <c r="D31" s="24">
        <f t="shared" ref="D31:U31" si="31">IF(D21="","",D21*$X21)</f>
        <v>1.9423469387755101</v>
      </c>
      <c r="E31" s="24">
        <f t="shared" si="31"/>
        <v>1.0790816326530612</v>
      </c>
      <c r="F31" s="24">
        <f t="shared" si="31"/>
        <v>1.7265306122448978</v>
      </c>
      <c r="G31" s="24">
        <f t="shared" si="31"/>
        <v>0.10790816326530611</v>
      </c>
      <c r="H31" s="24">
        <f>IF(H21="","",H21*$X21)</f>
        <v>1.2948979591836733</v>
      </c>
      <c r="I31" s="24">
        <f t="shared" si="31"/>
        <v>0.43163265306122445</v>
      </c>
      <c r="J31" s="24">
        <f t="shared" si="31"/>
        <v>0.10790816326530611</v>
      </c>
      <c r="K31" s="24">
        <f t="shared" si="31"/>
        <v>0.21581632653061222</v>
      </c>
      <c r="L31" s="24">
        <f t="shared" si="31"/>
        <v>0.64744897959183667</v>
      </c>
      <c r="M31" s="24">
        <f t="shared" si="31"/>
        <v>0.21581632653061222</v>
      </c>
      <c r="N31" s="24" t="str">
        <f t="shared" si="31"/>
        <v/>
      </c>
      <c r="O31" s="24">
        <f t="shared" si="31"/>
        <v>0.53954081632653061</v>
      </c>
      <c r="P31" s="24">
        <f t="shared" si="31"/>
        <v>0.21581632653061222</v>
      </c>
      <c r="Q31" s="24">
        <f t="shared" si="31"/>
        <v>0.21581632653061222</v>
      </c>
      <c r="R31" s="24">
        <f t="shared" si="31"/>
        <v>0.32372448979591834</v>
      </c>
      <c r="S31" s="24" t="str">
        <f t="shared" si="31"/>
        <v/>
      </c>
      <c r="T31" s="24" t="str">
        <f t="shared" si="31"/>
        <v/>
      </c>
      <c r="U31" s="24" t="str">
        <f t="shared" si="31"/>
        <v/>
      </c>
      <c r="V31" s="16">
        <f t="shared" si="25"/>
        <v>0.50357142857142856</v>
      </c>
      <c r="W31" s="17"/>
      <c r="Z31" s="39">
        <f t="shared" si="26"/>
        <v>4.7479591836734691</v>
      </c>
      <c r="AA31" s="39">
        <f t="shared" si="27"/>
        <v>1.8344387755102038</v>
      </c>
      <c r="AB31" s="39">
        <f t="shared" si="28"/>
        <v>0.97117346938775495</v>
      </c>
      <c r="AC31" s="39">
        <f t="shared" si="29"/>
        <v>0.75535714285714284</v>
      </c>
      <c r="AD31" s="39">
        <f t="shared" si="30"/>
        <v>0.75535714285714284</v>
      </c>
    </row>
    <row r="32" spans="1:30" ht="15.75" thickBot="1" x14ac:dyDescent="0.3">
      <c r="A32" s="3"/>
      <c r="C32" s="95" t="s">
        <v>104</v>
      </c>
      <c r="D32" s="24">
        <f t="shared" ref="D32:U32" si="32">IF(D22="","",D22*$X22)</f>
        <v>0.97992277992277987</v>
      </c>
      <c r="E32" s="24">
        <f t="shared" si="32"/>
        <v>1.714864864864865</v>
      </c>
      <c r="F32" s="24">
        <f t="shared" si="32"/>
        <v>0.8574324324324325</v>
      </c>
      <c r="G32" s="24">
        <f t="shared" si="32"/>
        <v>0.12249034749034748</v>
      </c>
      <c r="H32" s="24">
        <f t="shared" si="32"/>
        <v>0.97992277992277987</v>
      </c>
      <c r="I32" s="24" t="str">
        <f t="shared" si="32"/>
        <v/>
      </c>
      <c r="J32" s="24" t="str">
        <f t="shared" si="32"/>
        <v/>
      </c>
      <c r="K32" s="24" t="str">
        <f t="shared" si="32"/>
        <v/>
      </c>
      <c r="L32" s="24">
        <f t="shared" si="32"/>
        <v>0.12249034749034748</v>
      </c>
      <c r="M32" s="24">
        <f t="shared" si="32"/>
        <v>0.97992277992277987</v>
      </c>
      <c r="N32" s="24">
        <f t="shared" si="32"/>
        <v>0.24498069498069497</v>
      </c>
      <c r="O32" s="24">
        <f t="shared" si="32"/>
        <v>1.3473938223938222</v>
      </c>
      <c r="P32" s="24">
        <f t="shared" si="32"/>
        <v>0.24498069498069497</v>
      </c>
      <c r="Q32" s="24">
        <f t="shared" si="32"/>
        <v>0.36747104247104245</v>
      </c>
      <c r="R32" s="24">
        <f t="shared" si="32"/>
        <v>1.1024131274131275</v>
      </c>
      <c r="S32" s="24" t="str">
        <f t="shared" si="32"/>
        <v/>
      </c>
      <c r="T32" s="24" t="str">
        <f t="shared" si="32"/>
        <v/>
      </c>
      <c r="U32" s="24" t="str">
        <f t="shared" si="32"/>
        <v/>
      </c>
      <c r="V32" s="16">
        <f t="shared" si="25"/>
        <v>0.50357142857142867</v>
      </c>
      <c r="W32" s="17"/>
      <c r="Z32" s="39">
        <f t="shared" si="26"/>
        <v>3.5522200772200776</v>
      </c>
      <c r="AA32" s="39">
        <f t="shared" si="27"/>
        <v>1.1024131274131275</v>
      </c>
      <c r="AB32" s="39">
        <f t="shared" si="28"/>
        <v>0.12249034749034748</v>
      </c>
      <c r="AC32" s="39">
        <f t="shared" si="29"/>
        <v>2.5722972972972968</v>
      </c>
      <c r="AD32" s="39">
        <f t="shared" si="30"/>
        <v>1.714864864864865</v>
      </c>
    </row>
    <row r="33" spans="1:36" ht="15.75" thickBot="1" x14ac:dyDescent="0.3">
      <c r="A33" s="3"/>
      <c r="C33" s="95" t="s">
        <v>105</v>
      </c>
      <c r="D33" s="24">
        <f t="shared" ref="D33:U33" si="33">IF(D23="","",D23*$X23)</f>
        <v>0.79511278195488722</v>
      </c>
      <c r="E33" s="24">
        <f t="shared" si="33"/>
        <v>7.9511278195488727E-2</v>
      </c>
      <c r="F33" s="24">
        <f t="shared" si="33"/>
        <v>0.23853383458646618</v>
      </c>
      <c r="G33" s="24">
        <f t="shared" si="33"/>
        <v>0.15902255639097745</v>
      </c>
      <c r="H33" s="24">
        <f t="shared" si="33"/>
        <v>0.47706766917293236</v>
      </c>
      <c r="I33" s="24">
        <f t="shared" si="33"/>
        <v>0.31804511278195491</v>
      </c>
      <c r="J33" s="24">
        <f t="shared" si="33"/>
        <v>1.1131578947368421</v>
      </c>
      <c r="K33" s="24">
        <f t="shared" si="33"/>
        <v>1.7492481203007519</v>
      </c>
      <c r="L33" s="24">
        <f t="shared" si="33"/>
        <v>0.87462406015037597</v>
      </c>
      <c r="M33" s="24">
        <f t="shared" si="33"/>
        <v>0.47706766917293236</v>
      </c>
      <c r="N33" s="24">
        <f t="shared" si="33"/>
        <v>0.47706766917293236</v>
      </c>
      <c r="O33" s="24">
        <f t="shared" si="33"/>
        <v>7.9511278195488727E-2</v>
      </c>
      <c r="P33" s="24">
        <f t="shared" si="33"/>
        <v>0.55657894736842106</v>
      </c>
      <c r="Q33" s="24">
        <f t="shared" si="33"/>
        <v>1.0336466165413534</v>
      </c>
      <c r="R33" s="24">
        <f t="shared" si="33"/>
        <v>0.63609022556390982</v>
      </c>
      <c r="S33" s="24" t="str">
        <f t="shared" si="33"/>
        <v/>
      </c>
      <c r="T33" s="24" t="str">
        <f t="shared" si="33"/>
        <v/>
      </c>
      <c r="U33" s="24" t="str">
        <f t="shared" si="33"/>
        <v/>
      </c>
      <c r="V33" s="16">
        <f t="shared" si="25"/>
        <v>0.50357142857142856</v>
      </c>
      <c r="W33" s="17"/>
      <c r="Z33" s="39">
        <f t="shared" si="26"/>
        <v>1.1131578947368421</v>
      </c>
      <c r="AA33" s="39">
        <f t="shared" si="27"/>
        <v>0.95413533834586473</v>
      </c>
      <c r="AB33" s="39">
        <f t="shared" si="28"/>
        <v>3.7370300751879704</v>
      </c>
      <c r="AC33" s="39">
        <f t="shared" si="29"/>
        <v>1.0336466165413534</v>
      </c>
      <c r="AD33" s="39">
        <f t="shared" si="30"/>
        <v>2.2263157894736842</v>
      </c>
    </row>
    <row r="34" spans="1:36" ht="15.75" thickBot="1" x14ac:dyDescent="0.3">
      <c r="A34" s="3"/>
      <c r="C34" s="95" t="s">
        <v>106</v>
      </c>
      <c r="D34" s="24">
        <f t="shared" ref="D34:U34" si="34">IF(D24="","",D24*$X24)</f>
        <v>0.66324041811846701</v>
      </c>
      <c r="E34" s="24">
        <f t="shared" si="34"/>
        <v>0.66324041811846701</v>
      </c>
      <c r="F34" s="24">
        <f t="shared" si="34"/>
        <v>0.44216027874564467</v>
      </c>
      <c r="G34" s="24" t="str">
        <f t="shared" si="34"/>
        <v/>
      </c>
      <c r="H34" s="24">
        <f t="shared" si="34"/>
        <v>0.22108013937282234</v>
      </c>
      <c r="I34" s="24">
        <f t="shared" si="34"/>
        <v>0.11054006968641117</v>
      </c>
      <c r="J34" s="24">
        <f t="shared" si="34"/>
        <v>0.55270034843205584</v>
      </c>
      <c r="K34" s="24">
        <f t="shared" si="34"/>
        <v>0.11054006968641117</v>
      </c>
      <c r="L34" s="24">
        <f t="shared" si="34"/>
        <v>0.44216027874564467</v>
      </c>
      <c r="M34" s="24">
        <f t="shared" si="34"/>
        <v>1.437020905923345</v>
      </c>
      <c r="N34" s="24">
        <f t="shared" si="34"/>
        <v>1.326480836236934</v>
      </c>
      <c r="O34" s="24">
        <f t="shared" si="34"/>
        <v>0.66324041811846701</v>
      </c>
      <c r="P34" s="24">
        <f t="shared" si="34"/>
        <v>1.1054006968641117</v>
      </c>
      <c r="Q34" s="24">
        <f t="shared" si="34"/>
        <v>0.66324041811846701</v>
      </c>
      <c r="R34" s="24">
        <f t="shared" si="34"/>
        <v>0.66324041811846701</v>
      </c>
      <c r="S34" s="24" t="str">
        <f t="shared" si="34"/>
        <v/>
      </c>
      <c r="T34" s="24" t="str">
        <f t="shared" si="34"/>
        <v/>
      </c>
      <c r="U34" s="24" t="str">
        <f t="shared" si="34"/>
        <v/>
      </c>
      <c r="V34" s="16">
        <f t="shared" si="25"/>
        <v>0.50357142857142867</v>
      </c>
      <c r="W34" s="17"/>
      <c r="Z34" s="39">
        <f t="shared" si="26"/>
        <v>1.7686411149825787</v>
      </c>
      <c r="AA34" s="39">
        <f t="shared" si="27"/>
        <v>0.33162020905923351</v>
      </c>
      <c r="AB34" s="39">
        <f t="shared" si="28"/>
        <v>1.1054006968641117</v>
      </c>
      <c r="AC34" s="39">
        <f t="shared" si="29"/>
        <v>3.4267421602787458</v>
      </c>
      <c r="AD34" s="39">
        <f t="shared" si="30"/>
        <v>2.4318815331010457</v>
      </c>
    </row>
    <row r="35" spans="1:36" x14ac:dyDescent="0.25">
      <c r="A35" s="3"/>
      <c r="C35" s="95" t="s">
        <v>107</v>
      </c>
      <c r="D35" s="24">
        <f t="shared" ref="D35:T35" si="35">IF(D25="","",D25*$X25)</f>
        <v>1.2948979591836733</v>
      </c>
      <c r="E35" s="24">
        <f t="shared" si="35"/>
        <v>0.27261009667024705</v>
      </c>
      <c r="F35" s="24">
        <f>IF(F25="","",F25*$X25)</f>
        <v>0.40891514500537052</v>
      </c>
      <c r="G35" s="24">
        <f t="shared" si="35"/>
        <v>0.40891514500537052</v>
      </c>
      <c r="H35" s="24">
        <f t="shared" si="35"/>
        <v>0.88598281417830294</v>
      </c>
      <c r="I35" s="24">
        <f t="shared" si="35"/>
        <v>0.40891514500537052</v>
      </c>
      <c r="J35" s="24">
        <f t="shared" si="35"/>
        <v>0.27261009667024705</v>
      </c>
      <c r="K35" s="24">
        <f t="shared" si="35"/>
        <v>0.27261009667024705</v>
      </c>
      <c r="L35" s="24">
        <f t="shared" si="35"/>
        <v>0.20445757250268526</v>
      </c>
      <c r="M35" s="24">
        <f t="shared" si="35"/>
        <v>0.40891514500537052</v>
      </c>
      <c r="N35" s="24">
        <f t="shared" si="35"/>
        <v>6.8152524167561762E-2</v>
      </c>
      <c r="O35" s="24">
        <f t="shared" si="35"/>
        <v>6.8152524167561762E-2</v>
      </c>
      <c r="P35" s="24">
        <f t="shared" si="35"/>
        <v>1.4312030075187969</v>
      </c>
      <c r="Q35" s="24">
        <f t="shared" si="35"/>
        <v>1.4312030075187969</v>
      </c>
      <c r="R35" s="24">
        <f t="shared" si="35"/>
        <v>1.2267454350161116</v>
      </c>
      <c r="S35" s="24" t="str">
        <f t="shared" si="35"/>
        <v/>
      </c>
      <c r="T35" s="24" t="str">
        <f t="shared" si="35"/>
        <v/>
      </c>
      <c r="U35" s="24" t="str">
        <f>IF(U25="","",U25*$X25)</f>
        <v/>
      </c>
      <c r="V35" s="16">
        <f t="shared" si="25"/>
        <v>0.50357142857142856</v>
      </c>
      <c r="W35" s="17"/>
      <c r="Z35" s="39">
        <f t="shared" si="26"/>
        <v>1.9764232008592908</v>
      </c>
      <c r="AA35" s="39">
        <f t="shared" si="27"/>
        <v>1.7038131041890441</v>
      </c>
      <c r="AB35" s="39">
        <f t="shared" si="28"/>
        <v>0.74967776584317936</v>
      </c>
      <c r="AC35" s="39">
        <f t="shared" si="29"/>
        <v>0.5452201933404941</v>
      </c>
      <c r="AD35" s="39">
        <f t="shared" si="30"/>
        <v>4.0891514500537056</v>
      </c>
    </row>
    <row r="36" spans="1:36" ht="18.75" customHeight="1" x14ac:dyDescent="0.25">
      <c r="A36" s="3"/>
      <c r="C36" s="9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6"/>
      <c r="W36" s="17"/>
      <c r="Z36" s="39">
        <f t="shared" si="26"/>
        <v>0</v>
      </c>
      <c r="AA36" s="39">
        <f t="shared" si="27"/>
        <v>0</v>
      </c>
      <c r="AB36" s="39">
        <f t="shared" si="28"/>
        <v>0</v>
      </c>
      <c r="AC36" s="39">
        <f t="shared" si="29"/>
        <v>0</v>
      </c>
      <c r="AD36" s="39">
        <f t="shared" si="30"/>
        <v>0</v>
      </c>
    </row>
    <row r="37" spans="1:36" ht="18.75" customHeight="1" x14ac:dyDescent="0.25">
      <c r="A37" s="3"/>
      <c r="C37" s="9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6"/>
      <c r="W37" s="17"/>
      <c r="Z37" s="39">
        <f t="shared" si="26"/>
        <v>0</v>
      </c>
      <c r="AA37" s="39">
        <f t="shared" si="27"/>
        <v>0</v>
      </c>
      <c r="AB37" s="39">
        <f t="shared" si="28"/>
        <v>0</v>
      </c>
      <c r="AC37" s="39">
        <f t="shared" si="29"/>
        <v>0</v>
      </c>
      <c r="AD37" s="39">
        <f t="shared" si="30"/>
        <v>0</v>
      </c>
    </row>
    <row r="38" spans="1:36" ht="18.75" customHeight="1" x14ac:dyDescent="0.25">
      <c r="A38" s="3"/>
      <c r="B38" s="3"/>
      <c r="C38" s="91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6"/>
      <c r="W38" s="17"/>
      <c r="Z38" s="39">
        <f t="shared" si="26"/>
        <v>0</v>
      </c>
      <c r="AA38" s="39">
        <f t="shared" si="27"/>
        <v>0</v>
      </c>
      <c r="AB38" s="39">
        <f t="shared" si="28"/>
        <v>0</v>
      </c>
      <c r="AC38" s="39">
        <f t="shared" si="29"/>
        <v>0</v>
      </c>
      <c r="AD38" s="39">
        <f t="shared" si="30"/>
        <v>0</v>
      </c>
    </row>
    <row r="39" spans="1:36" x14ac:dyDescent="0.25">
      <c r="A39" s="3"/>
      <c r="B39" s="3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6"/>
      <c r="W39" s="17"/>
    </row>
    <row r="40" spans="1:36" ht="30" x14ac:dyDescent="0.25">
      <c r="A40" s="3"/>
      <c r="B40" s="3"/>
      <c r="C40" s="42" t="s">
        <v>20</v>
      </c>
      <c r="D40" s="20"/>
      <c r="E40" s="20"/>
      <c r="F40" s="20"/>
      <c r="G40" s="20"/>
      <c r="H40" s="20"/>
      <c r="I40" s="20" t="s">
        <v>82</v>
      </c>
      <c r="J40" s="25">
        <v>0.2</v>
      </c>
      <c r="K40" s="26">
        <v>0.2</v>
      </c>
      <c r="L40" s="27">
        <v>0.2</v>
      </c>
      <c r="M40" s="28">
        <v>0.2</v>
      </c>
      <c r="N40" s="28">
        <v>0.2</v>
      </c>
      <c r="O40" s="20"/>
      <c r="P40" s="20"/>
      <c r="Q40" s="20"/>
      <c r="R40" s="20"/>
      <c r="S40" s="20"/>
      <c r="T40" s="20"/>
      <c r="U40" s="20"/>
      <c r="V40" s="21"/>
      <c r="W40" s="22"/>
    </row>
    <row r="41" spans="1:36" x14ac:dyDescent="0.25">
      <c r="A41" s="3"/>
      <c r="B41" s="3"/>
      <c r="C41" s="23" t="s">
        <v>8</v>
      </c>
      <c r="D41" s="25">
        <v>0.23661190622200035</v>
      </c>
      <c r="E41" s="26">
        <v>0.19836512455485553</v>
      </c>
      <c r="F41" s="27">
        <v>0.13554553409059678</v>
      </c>
      <c r="G41" s="28">
        <v>0.25355419225961578</v>
      </c>
      <c r="H41" s="28">
        <v>0.1759232428729316</v>
      </c>
      <c r="I41" s="24"/>
      <c r="J41" s="24"/>
      <c r="K41" s="24"/>
      <c r="M41" s="24"/>
      <c r="N41" s="24"/>
      <c r="O41" s="24"/>
      <c r="Q41" s="24"/>
      <c r="R41" s="24"/>
      <c r="T41" s="24"/>
      <c r="U41" s="24"/>
      <c r="Z41" t="s">
        <v>9</v>
      </c>
    </row>
    <row r="42" spans="1:36" ht="18" customHeight="1" thickBot="1" x14ac:dyDescent="0.3">
      <c r="A42" s="3"/>
      <c r="B42" s="3"/>
      <c r="C42" s="23"/>
      <c r="D42" s="25"/>
      <c r="E42" s="25"/>
      <c r="F42" s="25"/>
      <c r="G42" s="25"/>
      <c r="H42" s="26"/>
      <c r="I42" s="26"/>
      <c r="J42" s="26"/>
      <c r="K42" s="26"/>
      <c r="L42" s="27"/>
      <c r="M42" s="27"/>
      <c r="N42" s="27"/>
      <c r="O42" s="27"/>
      <c r="P42" s="28"/>
      <c r="Q42" s="28"/>
      <c r="R42" s="28"/>
      <c r="S42" s="37"/>
      <c r="T42" s="37"/>
      <c r="U42" s="37"/>
      <c r="X42" t="s">
        <v>83</v>
      </c>
      <c r="Z42" s="30" t="s">
        <v>10</v>
      </c>
      <c r="AE42" t="s">
        <v>11</v>
      </c>
      <c r="AF42"/>
      <c r="AG42"/>
      <c r="AH42"/>
      <c r="AI42"/>
      <c r="AJ42"/>
    </row>
    <row r="43" spans="1:36" ht="15.75" thickBot="1" x14ac:dyDescent="0.3">
      <c r="A43" s="3"/>
      <c r="B43" s="3"/>
      <c r="C43" s="95" t="s">
        <v>101</v>
      </c>
      <c r="D43" s="24">
        <f>IF(Z29="","",Z29*$J$40)</f>
        <v>0.79852040816326531</v>
      </c>
      <c r="E43" s="24">
        <f>IF(AA29="","",AA29*$K$40)</f>
        <v>0.25897959183673475</v>
      </c>
      <c r="F43" s="24">
        <f>IF(AB29="","",AB29*$L$40)</f>
        <v>0.19423469387755099</v>
      </c>
      <c r="G43" s="24">
        <f>IF(AC29="","",AC29*$M$40)</f>
        <v>0.23739795918367346</v>
      </c>
      <c r="H43" s="24">
        <f>IF(AD29="","",AD29*$N$40)</f>
        <v>0.32372448979591839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31"/>
      <c r="W43" s="24">
        <f>+SUM(D43:U43)</f>
        <v>1.8128571428571429</v>
      </c>
      <c r="X43" s="32">
        <v>5.4447757111597399</v>
      </c>
      <c r="Z43" s="32">
        <f>$X$53/X43</f>
        <v>0.96790107213832199</v>
      </c>
      <c r="AA43" s="32"/>
      <c r="AB43" s="24"/>
      <c r="AE43"/>
      <c r="AF43">
        <v>0.2112</v>
      </c>
      <c r="AG43">
        <v>0.19639999999999999</v>
      </c>
      <c r="AH43">
        <v>0.17449999999999999</v>
      </c>
      <c r="AI43">
        <v>0.20669999999999999</v>
      </c>
      <c r="AJ43">
        <v>0.2112</v>
      </c>
    </row>
    <row r="44" spans="1:36" ht="15.75" thickBot="1" x14ac:dyDescent="0.3">
      <c r="A44" s="3"/>
      <c r="B44" s="3"/>
      <c r="C44" s="95" t="s">
        <v>102</v>
      </c>
      <c r="D44" s="24">
        <f t="shared" ref="D44:D49" si="36">IF(Z30="","",Z30*$J$40)</f>
        <v>0.46568807339449542</v>
      </c>
      <c r="E44" s="24">
        <f t="shared" ref="E44:E49" si="37">IF(AA30="","",AA30*$K$40)</f>
        <v>0.66526867627785058</v>
      </c>
      <c r="F44" s="24">
        <f t="shared" ref="F44:F49" si="38">IF(AB30="","",AB30*$L$40)</f>
        <v>0.14968545216251639</v>
      </c>
      <c r="G44" s="24">
        <f t="shared" ref="G44:G49" si="39">IF(AC30="","",AC30*$M$40)</f>
        <v>0.16631716906946264</v>
      </c>
      <c r="H44" s="24">
        <f>IF(AD30="","",AD30*$N$40)</f>
        <v>0.36589777195281781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31"/>
      <c r="W44" s="24">
        <f t="shared" ref="W44:W49" si="40">+SUM(D44:U44)</f>
        <v>1.8128571428571429</v>
      </c>
      <c r="X44" s="32">
        <v>5.0982456140350862</v>
      </c>
      <c r="Y44" s="32"/>
      <c r="Z44" s="32">
        <f t="shared" ref="Z44:Z49" si="41">$X$53/X44</f>
        <v>1.0336897527801097</v>
      </c>
      <c r="AA44" s="32"/>
      <c r="AB44" s="24"/>
      <c r="AE44"/>
      <c r="AF44">
        <v>0.28399999999999997</v>
      </c>
      <c r="AG44">
        <v>0.2172</v>
      </c>
      <c r="AH44">
        <v>0.22220000000000001</v>
      </c>
      <c r="AI44">
        <v>0.27660000000000001</v>
      </c>
      <c r="AJ44"/>
    </row>
    <row r="45" spans="1:36" ht="15.75" thickBot="1" x14ac:dyDescent="0.3">
      <c r="A45" s="3"/>
      <c r="B45" s="3"/>
      <c r="C45" s="95" t="s">
        <v>103</v>
      </c>
      <c r="D45" s="24">
        <f t="shared" si="36"/>
        <v>0.94959183673469383</v>
      </c>
      <c r="E45" s="24">
        <f t="shared" si="37"/>
        <v>0.3668877551020408</v>
      </c>
      <c r="F45" s="24">
        <f t="shared" si="38"/>
        <v>0.19423469387755099</v>
      </c>
      <c r="G45" s="24">
        <f t="shared" si="39"/>
        <v>0.15107142857142858</v>
      </c>
      <c r="H45" s="24">
        <f t="shared" ref="H45:H49" si="42">IF(AD31="","",AD31*$N$40)</f>
        <v>0.15107142857142858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31"/>
      <c r="W45" s="24">
        <f t="shared" si="40"/>
        <v>1.8128571428571427</v>
      </c>
      <c r="X45" s="32">
        <v>5.0315033783783774</v>
      </c>
      <c r="Y45" s="32"/>
      <c r="Z45" s="32">
        <f t="shared" si="41"/>
        <v>1.0474015124447151</v>
      </c>
      <c r="AA45" s="32"/>
      <c r="AE45"/>
      <c r="AF45">
        <v>0.26779999999999998</v>
      </c>
      <c r="AG45">
        <v>0.23799999999999999</v>
      </c>
      <c r="AH45">
        <v>0.2253</v>
      </c>
      <c r="AI45">
        <v>0.26889999999999997</v>
      </c>
      <c r="AJ45"/>
    </row>
    <row r="46" spans="1:36" ht="15.75" thickBot="1" x14ac:dyDescent="0.3">
      <c r="A46" s="3"/>
      <c r="B46" s="3"/>
      <c r="C46" s="95" t="s">
        <v>104</v>
      </c>
      <c r="D46" s="24">
        <f t="shared" si="36"/>
        <v>0.71044401544401559</v>
      </c>
      <c r="E46" s="24">
        <f t="shared" si="37"/>
        <v>0.22048262548262551</v>
      </c>
      <c r="F46" s="24">
        <f t="shared" si="38"/>
        <v>2.44980694980695E-2</v>
      </c>
      <c r="G46" s="24">
        <f t="shared" si="39"/>
        <v>0.51445945945945937</v>
      </c>
      <c r="H46" s="24">
        <f t="shared" si="42"/>
        <v>0.34297297297297302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31"/>
      <c r="W46" s="24">
        <f t="shared" si="40"/>
        <v>1.8128571428571432</v>
      </c>
      <c r="X46" s="32">
        <v>5.0839476495726466</v>
      </c>
      <c r="Y46" s="32"/>
      <c r="Z46" s="32">
        <f t="shared" si="41"/>
        <v>1.036596875427543</v>
      </c>
      <c r="AA46" s="32"/>
      <c r="AE46"/>
      <c r="AF46">
        <v>0.31130000000000002</v>
      </c>
      <c r="AG46">
        <v>0.23130000000000001</v>
      </c>
      <c r="AH46">
        <v>0.2354</v>
      </c>
      <c r="AI46">
        <v>0.22209999999999999</v>
      </c>
      <c r="AJ46"/>
    </row>
    <row r="47" spans="1:36" ht="15.75" thickBot="1" x14ac:dyDescent="0.3">
      <c r="A47" s="3"/>
      <c r="B47" s="3"/>
      <c r="C47" s="95" t="s">
        <v>105</v>
      </c>
      <c r="D47" s="24">
        <f t="shared" si="36"/>
        <v>0.22263157894736843</v>
      </c>
      <c r="E47" s="24">
        <f t="shared" si="37"/>
        <v>0.19082706766917296</v>
      </c>
      <c r="F47" s="24">
        <f t="shared" si="38"/>
        <v>0.74740601503759407</v>
      </c>
      <c r="G47" s="24">
        <f t="shared" si="39"/>
        <v>0.20672932330827068</v>
      </c>
      <c r="H47" s="24">
        <f>IF(AD33="","",AD33*$N$40)</f>
        <v>0.44526315789473686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31"/>
      <c r="W47" s="24">
        <f t="shared" si="40"/>
        <v>1.8128571428571432</v>
      </c>
      <c r="X47" s="32">
        <v>5.1822350543478244</v>
      </c>
      <c r="Y47" s="32"/>
      <c r="Z47" s="32">
        <f t="shared" si="41"/>
        <v>1.0169365521084854</v>
      </c>
      <c r="AA47" s="32"/>
      <c r="AE47"/>
      <c r="AF47">
        <v>0.39369999999999999</v>
      </c>
      <c r="AG47">
        <v>0.3054</v>
      </c>
      <c r="AH47">
        <v>0.3009</v>
      </c>
      <c r="AI47"/>
      <c r="AJ47"/>
    </row>
    <row r="48" spans="1:36" ht="15.75" thickBot="1" x14ac:dyDescent="0.3">
      <c r="A48" s="3"/>
      <c r="B48" s="3"/>
      <c r="C48" s="95" t="s">
        <v>106</v>
      </c>
      <c r="D48" s="24">
        <f t="shared" si="36"/>
        <v>0.35372822299651574</v>
      </c>
      <c r="E48" s="24">
        <f t="shared" si="37"/>
        <v>6.6324041811846701E-2</v>
      </c>
      <c r="F48" s="24">
        <f t="shared" si="38"/>
        <v>0.22108013937282234</v>
      </c>
      <c r="G48" s="24">
        <f t="shared" si="39"/>
        <v>0.68534843205574925</v>
      </c>
      <c r="H48" s="24">
        <f t="shared" si="42"/>
        <v>0.48637630662020914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31"/>
      <c r="W48" s="24">
        <f t="shared" si="40"/>
        <v>1.8128571428571432</v>
      </c>
      <c r="X48" s="32">
        <v>5.5015041493775918</v>
      </c>
      <c r="Y48" s="32"/>
      <c r="Z48" s="32">
        <f t="shared" si="41"/>
        <v>0.95792061685174301</v>
      </c>
      <c r="AA48" s="32"/>
      <c r="AE48"/>
      <c r="AF48">
        <v>0.29830000000000001</v>
      </c>
      <c r="AG48">
        <v>0.33110000000000001</v>
      </c>
      <c r="AH48">
        <v>0.37059999999999998</v>
      </c>
      <c r="AI48"/>
      <c r="AJ48"/>
    </row>
    <row r="49" spans="1:32" x14ac:dyDescent="0.25">
      <c r="A49" s="3"/>
      <c r="B49" s="3"/>
      <c r="C49" s="95" t="s">
        <v>107</v>
      </c>
      <c r="D49" s="24">
        <f t="shared" si="36"/>
        <v>0.39528464017185816</v>
      </c>
      <c r="E49" s="24">
        <f t="shared" si="37"/>
        <v>0.34076262083780884</v>
      </c>
      <c r="F49" s="24">
        <f t="shared" si="38"/>
        <v>0.14993555316863588</v>
      </c>
      <c r="G49" s="24">
        <f t="shared" si="39"/>
        <v>0.10904403866809882</v>
      </c>
      <c r="H49" s="24">
        <f t="shared" si="42"/>
        <v>0.81783029001074115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31"/>
      <c r="W49" s="24">
        <f t="shared" si="40"/>
        <v>1.8128571428571427</v>
      </c>
      <c r="X49" s="32">
        <v>5.5478181818181813</v>
      </c>
      <c r="Y49" s="32"/>
      <c r="Z49" s="32">
        <f t="shared" si="41"/>
        <v>0.94992374942198865</v>
      </c>
      <c r="AA49" s="32"/>
    </row>
    <row r="50" spans="1:32" ht="13.5" customHeight="1" x14ac:dyDescent="0.25">
      <c r="A50" s="3"/>
      <c r="B50" s="3"/>
      <c r="C50" s="92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14"/>
      <c r="W50" s="24"/>
      <c r="X50" s="32"/>
      <c r="Y50" s="32"/>
      <c r="Z50" s="32"/>
      <c r="AA50" s="32"/>
    </row>
    <row r="51" spans="1:32" x14ac:dyDescent="0.25">
      <c r="A51" s="3"/>
      <c r="B51" s="3"/>
      <c r="C51" s="92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14"/>
      <c r="W51" s="24"/>
      <c r="X51" s="32"/>
      <c r="Y51" s="32"/>
      <c r="Z51" s="32"/>
      <c r="AA51" s="32"/>
    </row>
    <row r="52" spans="1:32" ht="16.5" customHeight="1" x14ac:dyDescent="0.25">
      <c r="A52" s="3"/>
      <c r="B52" s="3"/>
      <c r="C52" s="92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14"/>
      <c r="W52" s="24"/>
      <c r="X52" s="32"/>
      <c r="Y52" s="32"/>
      <c r="Z52" s="32"/>
      <c r="AA52" s="32"/>
    </row>
    <row r="53" spans="1:32" x14ac:dyDescent="0.25">
      <c r="A53" s="3"/>
      <c r="B53" s="3"/>
      <c r="C53" s="3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32"/>
      <c r="W53" s="32">
        <f>AVERAGE(W43:W52)</f>
        <v>1.8128571428571427</v>
      </c>
      <c r="X53" s="32">
        <f>AVERAGE(X43:X52)</f>
        <v>5.2700042483842067</v>
      </c>
      <c r="Y53" s="32"/>
      <c r="Z53" s="32">
        <f>AVERAGE(Z43:Z52)</f>
        <v>1.0014814473104152</v>
      </c>
      <c r="AA53" s="32"/>
    </row>
    <row r="54" spans="1:32" ht="30.75" thickBot="1" x14ac:dyDescent="0.3">
      <c r="A54" s="3"/>
      <c r="B54" s="3"/>
      <c r="C54" s="82" t="s">
        <v>86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14"/>
      <c r="W54" s="34"/>
      <c r="X54" s="22"/>
      <c r="Y54" s="32"/>
      <c r="Z54" s="22"/>
      <c r="AA54" s="24"/>
    </row>
    <row r="55" spans="1:32" ht="15.75" thickBot="1" x14ac:dyDescent="0.3">
      <c r="C55" s="95" t="s">
        <v>101</v>
      </c>
      <c r="D55" s="24">
        <f>IF(D43="","",D43*$Z43)</f>
        <v>0.772888759185555</v>
      </c>
      <c r="E55" s="24">
        <f>IF(E43="","",E43*$Z43)</f>
        <v>0.25066662460072059</v>
      </c>
      <c r="F55" s="24">
        <f>IF(F43="","",F43*$Z43)</f>
        <v>0.18799996845054037</v>
      </c>
      <c r="G55" s="24">
        <f>IF(G43="","",G43*$Z43)</f>
        <v>0.22977773921732714</v>
      </c>
      <c r="H55" s="24">
        <f>IF(H43="","",H43*$Z43)</f>
        <v>0.31333328075090067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14"/>
      <c r="W55" s="35">
        <f>+SUM(D55:U55)</f>
        <v>1.7546663722050437</v>
      </c>
      <c r="X55" s="36">
        <f>+AVERAGE(D55:U55)</f>
        <v>0.35093327444100875</v>
      </c>
      <c r="Y55" s="20"/>
      <c r="Z55" s="32"/>
      <c r="AA55" s="37"/>
    </row>
    <row r="56" spans="1:32" ht="15.75" thickBot="1" x14ac:dyDescent="0.3">
      <c r="C56" s="95" t="s">
        <v>102</v>
      </c>
      <c r="D56" s="24">
        <f t="shared" ref="D56:H56" si="43">IF(D44="","",D44*$Z44)</f>
        <v>0.48137698945980151</v>
      </c>
      <c r="E56" s="24">
        <f>IF(E44="","",E44*$Z44)</f>
        <v>0.68768141351400214</v>
      </c>
      <c r="F56" s="24">
        <f t="shared" si="43"/>
        <v>0.15472831804065049</v>
      </c>
      <c r="G56" s="24">
        <f t="shared" si="43"/>
        <v>0.17192035337850053</v>
      </c>
      <c r="H56" s="24">
        <f t="shared" si="43"/>
        <v>0.37822477743270116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14"/>
      <c r="W56" s="35">
        <f t="shared" ref="W56:W61" si="44">+SUM(D56:U56)</f>
        <v>1.8739318518256558</v>
      </c>
      <c r="X56" s="36">
        <f t="shared" ref="X56:X61" si="45">+AVERAGE(D56:U56)</f>
        <v>0.37478637036513118</v>
      </c>
      <c r="Y56" s="38"/>
      <c r="Z56" s="32"/>
      <c r="AA56" s="37"/>
    </row>
    <row r="57" spans="1:32" ht="15.75" thickBot="1" x14ac:dyDescent="0.3">
      <c r="C57" s="95" t="s">
        <v>103</v>
      </c>
      <c r="D57" s="24">
        <f t="shared" ref="D57:H57" si="46">IF(D45="","",D45*$Z45)</f>
        <v>0.99460392600107328</v>
      </c>
      <c r="E57" s="24">
        <f t="shared" si="46"/>
        <v>0.38427878959132378</v>
      </c>
      <c r="F57" s="24">
        <f t="shared" si="46"/>
        <v>0.20344171213658316</v>
      </c>
      <c r="G57" s="24">
        <f t="shared" si="46"/>
        <v>0.15823244277289805</v>
      </c>
      <c r="H57" s="24">
        <f t="shared" si="46"/>
        <v>0.15823244277289805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14"/>
      <c r="W57" s="35">
        <f t="shared" si="44"/>
        <v>1.8987893132747764</v>
      </c>
      <c r="X57" s="36">
        <f t="shared" si="45"/>
        <v>0.37975786265495526</v>
      </c>
      <c r="Y57" s="38"/>
      <c r="Z57" s="32"/>
      <c r="AA57" s="37"/>
    </row>
    <row r="58" spans="1:32" ht="15.75" thickBot="1" x14ac:dyDescent="0.3">
      <c r="C58" s="95" t="s">
        <v>104</v>
      </c>
      <c r="D58" s="24">
        <f t="shared" ref="D58:H58" si="47">IF(D46="","",D46*$Z46)</f>
        <v>0.7364440465754637</v>
      </c>
      <c r="E58" s="24">
        <f t="shared" si="47"/>
        <v>0.22855160066135077</v>
      </c>
      <c r="F58" s="24">
        <f t="shared" si="47"/>
        <v>2.5394622295705639E-2</v>
      </c>
      <c r="G58" s="24">
        <f t="shared" si="47"/>
        <v>0.5332870682098183</v>
      </c>
      <c r="H58" s="24">
        <f t="shared" si="47"/>
        <v>0.35552471213987896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14"/>
      <c r="W58" s="35">
        <f t="shared" si="44"/>
        <v>1.8792020498822173</v>
      </c>
      <c r="X58" s="36">
        <f t="shared" si="45"/>
        <v>0.37584040997644347</v>
      </c>
      <c r="Y58" s="38"/>
      <c r="Z58" s="32"/>
      <c r="AA58" s="37"/>
    </row>
    <row r="59" spans="1:32" ht="15.75" thickBot="1" x14ac:dyDescent="0.3">
      <c r="C59" s="95" t="s">
        <v>105</v>
      </c>
      <c r="D59" s="24">
        <f t="shared" ref="D59:H59" si="48">IF(D47="","",D47*$Z47)</f>
        <v>0.22640219028520492</v>
      </c>
      <c r="E59" s="24">
        <f t="shared" si="48"/>
        <v>0.19405902024446139</v>
      </c>
      <c r="F59" s="24">
        <f t="shared" si="48"/>
        <v>0.76006449595747372</v>
      </c>
      <c r="G59" s="24">
        <f t="shared" si="48"/>
        <v>0.21023060526483314</v>
      </c>
      <c r="H59" s="24">
        <f t="shared" si="48"/>
        <v>0.45280438057040984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14"/>
      <c r="W59" s="35">
        <f t="shared" si="44"/>
        <v>1.8435606923223831</v>
      </c>
      <c r="X59" s="36">
        <f t="shared" si="45"/>
        <v>0.36871213846447659</v>
      </c>
      <c r="Y59" s="38"/>
      <c r="Z59" s="32"/>
      <c r="AA59" s="37"/>
    </row>
    <row r="60" spans="1:32" ht="15.75" thickBot="1" x14ac:dyDescent="0.3">
      <c r="C60" s="95" t="s">
        <v>106</v>
      </c>
      <c r="D60" s="24">
        <f t="shared" ref="D60:H60" si="49">IF(D48="","",D48*$Z48)</f>
        <v>0.33884355757069329</v>
      </c>
      <c r="E60" s="24">
        <f t="shared" si="49"/>
        <v>6.3533167044504985E-2</v>
      </c>
      <c r="F60" s="24">
        <f t="shared" si="49"/>
        <v>0.21177722348168329</v>
      </c>
      <c r="G60" s="24">
        <f t="shared" si="49"/>
        <v>0.65650939279321818</v>
      </c>
      <c r="H60" s="24">
        <f t="shared" si="49"/>
        <v>0.46590989165970326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14"/>
      <c r="W60" s="35">
        <f t="shared" si="44"/>
        <v>1.7365732325498029</v>
      </c>
      <c r="X60" s="36">
        <f t="shared" si="45"/>
        <v>0.34731464650996058</v>
      </c>
      <c r="Y60" s="38"/>
      <c r="Z60" s="32"/>
      <c r="AA60" s="37"/>
    </row>
    <row r="61" spans="1:32" x14ac:dyDescent="0.25">
      <c r="C61" s="95" t="s">
        <v>107</v>
      </c>
      <c r="D61" s="24">
        <f t="shared" ref="D61:H61" si="50">IF(D49="","",D49*$Z49)</f>
        <v>0.37549026748097314</v>
      </c>
      <c r="E61" s="24">
        <f t="shared" si="50"/>
        <v>0.32369850644911485</v>
      </c>
      <c r="F61" s="24">
        <f t="shared" si="50"/>
        <v>0.14242734283761052</v>
      </c>
      <c r="G61" s="24">
        <f t="shared" si="50"/>
        <v>0.10358352206371675</v>
      </c>
      <c r="H61" s="24">
        <f t="shared" si="50"/>
        <v>0.77687641547787556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14"/>
      <c r="W61" s="35">
        <f t="shared" si="44"/>
        <v>1.7220760543092908</v>
      </c>
      <c r="X61" s="36">
        <f t="shared" si="45"/>
        <v>0.34441521086185817</v>
      </c>
      <c r="Y61" s="38"/>
      <c r="Z61" s="32"/>
      <c r="AA61" s="37"/>
    </row>
    <row r="62" spans="1:32" ht="14.25" customHeight="1" x14ac:dyDescent="0.25">
      <c r="A62" s="3"/>
      <c r="B62" s="3"/>
      <c r="C62" s="92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14"/>
      <c r="W62" s="35"/>
      <c r="X62" s="36"/>
      <c r="Y62" s="38"/>
      <c r="Z62" s="32"/>
      <c r="AA62" s="37"/>
    </row>
    <row r="63" spans="1:32" x14ac:dyDescent="0.25">
      <c r="A63" s="3"/>
      <c r="B63" s="3"/>
      <c r="C63" s="92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14"/>
      <c r="W63" s="35"/>
      <c r="X63" s="36"/>
      <c r="Y63" s="38"/>
      <c r="Z63" s="32"/>
      <c r="AA63" s="43"/>
      <c r="AB63" s="40"/>
      <c r="AC63" s="40"/>
      <c r="AD63" s="40"/>
      <c r="AE63" s="40"/>
      <c r="AF63" s="40"/>
    </row>
    <row r="64" spans="1:32" x14ac:dyDescent="0.25">
      <c r="A64" s="3"/>
      <c r="B64" s="3"/>
      <c r="C64" s="92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14"/>
      <c r="W64" s="35"/>
      <c r="X64" s="36"/>
      <c r="Y64" s="38"/>
      <c r="Z64" s="32"/>
      <c r="AA64" s="43"/>
      <c r="AB64" s="40"/>
      <c r="AC64" s="40"/>
      <c r="AD64" s="40"/>
      <c r="AE64" s="40"/>
      <c r="AF64" s="40"/>
    </row>
    <row r="65" spans="3:53" x14ac:dyDescent="0.25">
      <c r="V65" s="14"/>
      <c r="W65" s="14"/>
      <c r="Y65" s="38"/>
      <c r="AA65" s="40"/>
      <c r="AB65" s="40"/>
      <c r="AC65" s="40"/>
      <c r="AD65" s="40"/>
      <c r="AE65" s="40"/>
      <c r="AF65" s="40"/>
    </row>
    <row r="66" spans="3:53" ht="15.75" thickBot="1" x14ac:dyDescent="0.3">
      <c r="F66" s="39"/>
      <c r="G66" s="39"/>
      <c r="H66" s="39"/>
      <c r="I66" s="39"/>
      <c r="J66" s="39"/>
      <c r="K66" s="39"/>
      <c r="L66" s="39"/>
      <c r="P66" s="39"/>
      <c r="S66" s="39"/>
      <c r="Y66" s="3" t="s">
        <v>12</v>
      </c>
      <c r="Z66" s="3" t="s">
        <v>13</v>
      </c>
      <c r="AA66" s="40"/>
      <c r="AB66" s="40"/>
      <c r="AC66" s="40"/>
      <c r="AD66" s="40"/>
      <c r="AE66" s="40"/>
      <c r="AF66" s="40"/>
    </row>
    <row r="67" spans="3:53" ht="15.75" thickBot="1" x14ac:dyDescent="0.3">
      <c r="C67" s="95" t="s">
        <v>101</v>
      </c>
      <c r="D67" s="24">
        <f>IF(D55="","",D$41*D55)</f>
        <v>0.18287468260845074</v>
      </c>
      <c r="E67" s="24">
        <f>IF(E55="","",E$41*E55)</f>
        <v>4.9723516210667153E-2</v>
      </c>
      <c r="F67" s="24">
        <f>IF(F55="","",F$41*F55)</f>
        <v>2.5482556132643837E-2</v>
      </c>
      <c r="G67" s="24">
        <f>IF(G55="","",G$41*G55)</f>
        <v>5.826110906649002E-2</v>
      </c>
      <c r="H67" s="24">
        <f>IF(H55="","",H$41*H55)</f>
        <v>5.5122606849713159E-2</v>
      </c>
      <c r="I67" s="24" t="str">
        <f t="shared" ref="I67:U67" si="51">IF(I55="","",I$42*I55)</f>
        <v/>
      </c>
      <c r="J67" s="24" t="str">
        <f t="shared" si="51"/>
        <v/>
      </c>
      <c r="K67" s="24" t="str">
        <f t="shared" si="51"/>
        <v/>
      </c>
      <c r="L67" s="24" t="str">
        <f t="shared" si="51"/>
        <v/>
      </c>
      <c r="M67" s="24" t="str">
        <f t="shared" si="51"/>
        <v/>
      </c>
      <c r="N67" s="24" t="str">
        <f t="shared" si="51"/>
        <v/>
      </c>
      <c r="O67" s="24" t="str">
        <f t="shared" si="51"/>
        <v/>
      </c>
      <c r="P67" s="24" t="str">
        <f t="shared" si="51"/>
        <v/>
      </c>
      <c r="Q67" s="24" t="str">
        <f t="shared" si="51"/>
        <v/>
      </c>
      <c r="R67" s="24" t="str">
        <f t="shared" si="51"/>
        <v/>
      </c>
      <c r="S67" s="24" t="str">
        <f t="shared" si="51"/>
        <v/>
      </c>
      <c r="T67" s="24" t="str">
        <f t="shared" si="51"/>
        <v/>
      </c>
      <c r="U67" s="24" t="str">
        <f t="shared" si="51"/>
        <v/>
      </c>
      <c r="V67" s="31">
        <f>+SUM(D67:H67)</f>
        <v>0.37146447086796491</v>
      </c>
      <c r="W67" s="41"/>
      <c r="Y67" s="38">
        <f>V67/MAX($V$67:$V$76)*100</f>
        <v>88.277359878116897</v>
      </c>
      <c r="Z67" s="3">
        <f>_xlfn.RANK.EQ(Y67,$Y$67:$Y$76,0)</f>
        <v>4</v>
      </c>
      <c r="AA67" s="44"/>
      <c r="AB67" s="47"/>
      <c r="AC67"/>
      <c r="AD67" s="40"/>
      <c r="AE67" s="75"/>
      <c r="AF67" s="75"/>
      <c r="BA67" s="3">
        <v>9</v>
      </c>
    </row>
    <row r="68" spans="3:53" ht="15.75" thickBot="1" x14ac:dyDescent="0.3">
      <c r="C68" s="95" t="s">
        <v>102</v>
      </c>
      <c r="D68" s="24">
        <f t="shared" ref="D68:H73" si="52">IF(D56="","",D$41*D56)</f>
        <v>0.1138995270874914</v>
      </c>
      <c r="E68" s="24">
        <f t="shared" si="52"/>
        <v>0.13641200924576413</v>
      </c>
      <c r="F68" s="24">
        <f t="shared" si="52"/>
        <v>2.0972732507759689E-2</v>
      </c>
      <c r="G68" s="24">
        <f t="shared" si="52"/>
        <v>4.3591126333873409E-2</v>
      </c>
      <c r="H68" s="24">
        <f t="shared" si="52"/>
        <v>6.6538529380853584E-2</v>
      </c>
      <c r="I68" s="24" t="str">
        <f t="shared" ref="I68:U73" si="53">IF(I56="","",I$42*I56)</f>
        <v/>
      </c>
      <c r="J68" s="24" t="str">
        <f t="shared" si="53"/>
        <v/>
      </c>
      <c r="K68" s="24" t="str">
        <f t="shared" si="53"/>
        <v/>
      </c>
      <c r="L68" s="24" t="str">
        <f t="shared" si="53"/>
        <v/>
      </c>
      <c r="M68" s="24" t="str">
        <f t="shared" si="53"/>
        <v/>
      </c>
      <c r="N68" s="24" t="str">
        <f t="shared" si="53"/>
        <v/>
      </c>
      <c r="O68" s="24" t="str">
        <f t="shared" si="53"/>
        <v/>
      </c>
      <c r="P68" s="24" t="str">
        <f t="shared" si="53"/>
        <v/>
      </c>
      <c r="Q68" s="24" t="str">
        <f t="shared" si="53"/>
        <v/>
      </c>
      <c r="R68" s="24" t="str">
        <f t="shared" si="53"/>
        <v/>
      </c>
      <c r="S68" s="24" t="str">
        <f t="shared" si="53"/>
        <v/>
      </c>
      <c r="T68" s="24" t="str">
        <f t="shared" si="53"/>
        <v/>
      </c>
      <c r="U68" s="24" t="str">
        <f t="shared" si="53"/>
        <v/>
      </c>
      <c r="V68" s="31">
        <f t="shared" ref="V68:V73" si="54">+SUM(D68:H68)</f>
        <v>0.38141392455574219</v>
      </c>
      <c r="W68" s="41"/>
      <c r="Y68" s="38">
        <f t="shared" ref="Y68:Y73" si="55">V68/MAX($V$67:$V$76)*100</f>
        <v>90.641816165778295</v>
      </c>
      <c r="Z68" s="3">
        <f t="shared" ref="Z68:Z73" si="56">_xlfn.RANK.EQ(Y68,$Y$67:$Y$76,0)</f>
        <v>3</v>
      </c>
      <c r="AA68" s="44"/>
      <c r="AB68" s="47"/>
      <c r="AC68"/>
      <c r="AD68" s="40"/>
      <c r="AE68" s="75"/>
      <c r="AF68" s="75"/>
      <c r="BA68" s="3">
        <v>6</v>
      </c>
    </row>
    <row r="69" spans="3:53" ht="15.75" thickBot="1" x14ac:dyDescent="0.3">
      <c r="C69" s="95" t="s">
        <v>103</v>
      </c>
      <c r="D69" s="24">
        <f t="shared" si="52"/>
        <v>0.23533513086699931</v>
      </c>
      <c r="E69" s="24">
        <f t="shared" si="52"/>
        <v>7.6227509961072054E-2</v>
      </c>
      <c r="F69" s="24">
        <f t="shared" si="52"/>
        <v>2.7575615527858609E-2</v>
      </c>
      <c r="G69" s="24">
        <f t="shared" si="52"/>
        <v>4.0120499216548047E-2</v>
      </c>
      <c r="H69" s="24">
        <f t="shared" si="52"/>
        <v>2.7836764460313794E-2</v>
      </c>
      <c r="I69" s="24" t="str">
        <f t="shared" si="53"/>
        <v/>
      </c>
      <c r="J69" s="24" t="str">
        <f t="shared" si="53"/>
        <v/>
      </c>
      <c r="K69" s="24" t="str">
        <f t="shared" si="53"/>
        <v/>
      </c>
      <c r="L69" s="24" t="str">
        <f t="shared" si="53"/>
        <v/>
      </c>
      <c r="M69" s="24" t="str">
        <f t="shared" si="53"/>
        <v/>
      </c>
      <c r="N69" s="24" t="str">
        <f t="shared" si="53"/>
        <v/>
      </c>
      <c r="O69" s="24" t="str">
        <f t="shared" si="53"/>
        <v/>
      </c>
      <c r="P69" s="24" t="str">
        <f t="shared" si="53"/>
        <v/>
      </c>
      <c r="Q69" s="24" t="str">
        <f t="shared" si="53"/>
        <v/>
      </c>
      <c r="R69" s="24" t="str">
        <f t="shared" si="53"/>
        <v/>
      </c>
      <c r="S69" s="24" t="str">
        <f t="shared" si="53"/>
        <v/>
      </c>
      <c r="T69" s="24" t="str">
        <f t="shared" si="53"/>
        <v/>
      </c>
      <c r="U69" s="24" t="str">
        <f t="shared" si="53"/>
        <v/>
      </c>
      <c r="V69" s="31">
        <f t="shared" si="54"/>
        <v>0.40709552003279181</v>
      </c>
      <c r="W69" s="41"/>
      <c r="Y69" s="38">
        <f t="shared" si="55"/>
        <v>96.744966329438384</v>
      </c>
      <c r="Z69" s="3">
        <f t="shared" si="56"/>
        <v>2</v>
      </c>
      <c r="AA69" s="44"/>
      <c r="AB69" s="47"/>
      <c r="AC69"/>
      <c r="AD69" s="40"/>
      <c r="AE69" s="75"/>
      <c r="AF69" s="75"/>
      <c r="BA69" s="3">
        <v>3</v>
      </c>
    </row>
    <row r="70" spans="3:53" ht="15.75" thickBot="1" x14ac:dyDescent="0.3">
      <c r="C70" s="95" t="s">
        <v>104</v>
      </c>
      <c r="D70" s="24">
        <f t="shared" si="52"/>
        <v>0.17425142968606408</v>
      </c>
      <c r="E70" s="24">
        <f t="shared" si="52"/>
        <v>4.5336666732400444E-2</v>
      </c>
      <c r="F70" s="24">
        <f t="shared" si="52"/>
        <v>3.4421276421003977E-3</v>
      </c>
      <c r="G70" s="24">
        <f t="shared" si="52"/>
        <v>0.13521717182243911</v>
      </c>
      <c r="H70" s="24">
        <f t="shared" si="52"/>
        <v>6.2545060281113021E-2</v>
      </c>
      <c r="I70" s="24" t="str">
        <f t="shared" si="53"/>
        <v/>
      </c>
      <c r="J70" s="24" t="str">
        <f t="shared" si="53"/>
        <v/>
      </c>
      <c r="K70" s="24" t="str">
        <f t="shared" si="53"/>
        <v/>
      </c>
      <c r="L70" s="24" t="str">
        <f t="shared" si="53"/>
        <v/>
      </c>
      <c r="M70" s="24" t="str">
        <f t="shared" si="53"/>
        <v/>
      </c>
      <c r="N70" s="24" t="str">
        <f t="shared" si="53"/>
        <v/>
      </c>
      <c r="O70" s="24" t="str">
        <f t="shared" si="53"/>
        <v/>
      </c>
      <c r="P70" s="24" t="str">
        <f t="shared" si="53"/>
        <v/>
      </c>
      <c r="Q70" s="24" t="str">
        <f t="shared" si="53"/>
        <v/>
      </c>
      <c r="R70" s="24" t="str">
        <f t="shared" si="53"/>
        <v/>
      </c>
      <c r="S70" s="24" t="str">
        <f t="shared" si="53"/>
        <v/>
      </c>
      <c r="T70" s="24" t="str">
        <f t="shared" si="53"/>
        <v/>
      </c>
      <c r="U70" s="24" t="str">
        <f t="shared" si="53"/>
        <v/>
      </c>
      <c r="V70" s="31">
        <f t="shared" si="54"/>
        <v>0.42079245616411703</v>
      </c>
      <c r="W70" s="41"/>
      <c r="Y70" s="38">
        <f t="shared" si="55"/>
        <v>100</v>
      </c>
      <c r="Z70" s="3">
        <f t="shared" si="56"/>
        <v>1</v>
      </c>
      <c r="AA70" s="44"/>
      <c r="AB70" s="47"/>
      <c r="AC70"/>
      <c r="AD70" s="40"/>
      <c r="AE70" s="75"/>
      <c r="AF70" s="75"/>
      <c r="BA70" s="3">
        <v>5</v>
      </c>
    </row>
    <row r="71" spans="3:53" ht="15.75" thickBot="1" x14ac:dyDescent="0.3">
      <c r="C71" s="95" t="s">
        <v>105</v>
      </c>
      <c r="D71" s="24">
        <f t="shared" si="52"/>
        <v>5.3569453816218381E-2</v>
      </c>
      <c r="E71" s="24">
        <f t="shared" si="52"/>
        <v>3.8494541721785812E-2</v>
      </c>
      <c r="F71" s="24">
        <f t="shared" si="52"/>
        <v>0.10302334804785601</v>
      </c>
      <c r="G71" s="24">
        <f t="shared" si="52"/>
        <v>5.3304851306174898E-2</v>
      </c>
      <c r="H71" s="24">
        <f t="shared" si="52"/>
        <v>7.9658815017015563E-2</v>
      </c>
      <c r="I71" s="24" t="str">
        <f t="shared" si="53"/>
        <v/>
      </c>
      <c r="J71" s="24" t="str">
        <f t="shared" si="53"/>
        <v/>
      </c>
      <c r="K71" s="24" t="str">
        <f t="shared" si="53"/>
        <v/>
      </c>
      <c r="L71" s="24" t="str">
        <f t="shared" si="53"/>
        <v/>
      </c>
      <c r="M71" s="24" t="str">
        <f t="shared" si="53"/>
        <v/>
      </c>
      <c r="N71" s="24" t="str">
        <f t="shared" si="53"/>
        <v/>
      </c>
      <c r="O71" s="24" t="str">
        <f t="shared" si="53"/>
        <v/>
      </c>
      <c r="P71" s="24" t="str">
        <f t="shared" si="53"/>
        <v/>
      </c>
      <c r="Q71" s="24" t="str">
        <f t="shared" si="53"/>
        <v/>
      </c>
      <c r="R71" s="24" t="str">
        <f t="shared" si="53"/>
        <v/>
      </c>
      <c r="S71" s="24" t="str">
        <f t="shared" si="53"/>
        <v/>
      </c>
      <c r="T71" s="24" t="str">
        <f t="shared" si="53"/>
        <v/>
      </c>
      <c r="U71" s="24" t="str">
        <f t="shared" si="53"/>
        <v/>
      </c>
      <c r="V71" s="31">
        <f t="shared" si="54"/>
        <v>0.32805100990905067</v>
      </c>
      <c r="W71" s="41"/>
      <c r="Y71" s="38">
        <f t="shared" si="55"/>
        <v>77.960287810175132</v>
      </c>
      <c r="Z71" s="3">
        <f t="shared" si="56"/>
        <v>7</v>
      </c>
      <c r="AA71" s="44"/>
      <c r="AB71" s="47"/>
      <c r="AC71"/>
      <c r="AD71" s="40"/>
      <c r="AE71" s="75"/>
      <c r="AF71" s="75"/>
      <c r="BA71" s="3">
        <v>10</v>
      </c>
    </row>
    <row r="72" spans="3:53" ht="15.75" thickBot="1" x14ac:dyDescent="0.3">
      <c r="C72" s="95" t="s">
        <v>106</v>
      </c>
      <c r="D72" s="24">
        <f t="shared" si="52"/>
        <v>8.017442006784585E-2</v>
      </c>
      <c r="E72" s="24">
        <f t="shared" si="52"/>
        <v>1.2602764594147674E-2</v>
      </c>
      <c r="F72" s="24">
        <f t="shared" si="52"/>
        <v>2.8705456865048433E-2</v>
      </c>
      <c r="G72" s="24">
        <f t="shared" si="52"/>
        <v>0.16646070880053526</v>
      </c>
      <c r="H72" s="24">
        <f t="shared" si="52"/>
        <v>8.1964379027351222E-2</v>
      </c>
      <c r="I72" s="24" t="str">
        <f t="shared" si="53"/>
        <v/>
      </c>
      <c r="J72" s="24" t="str">
        <f t="shared" si="53"/>
        <v/>
      </c>
      <c r="K72" s="24" t="str">
        <f t="shared" si="53"/>
        <v/>
      </c>
      <c r="L72" s="24" t="str">
        <f t="shared" si="53"/>
        <v/>
      </c>
      <c r="M72" s="24" t="str">
        <f t="shared" si="53"/>
        <v/>
      </c>
      <c r="N72" s="24" t="str">
        <f t="shared" si="53"/>
        <v/>
      </c>
      <c r="O72" s="24" t="str">
        <f t="shared" si="53"/>
        <v/>
      </c>
      <c r="P72" s="24" t="str">
        <f t="shared" si="53"/>
        <v/>
      </c>
      <c r="Q72" s="24" t="str">
        <f t="shared" si="53"/>
        <v/>
      </c>
      <c r="R72" s="24" t="str">
        <f t="shared" si="53"/>
        <v/>
      </c>
      <c r="S72" s="24" t="str">
        <f t="shared" si="53"/>
        <v/>
      </c>
      <c r="T72" s="24" t="str">
        <f t="shared" si="53"/>
        <v/>
      </c>
      <c r="U72" s="24" t="str">
        <f t="shared" si="53"/>
        <v/>
      </c>
      <c r="V72" s="31">
        <f t="shared" si="54"/>
        <v>0.36990772935492844</v>
      </c>
      <c r="W72" s="41"/>
      <c r="Y72" s="38">
        <f>V72/MAX($V$67:$V$76)*100</f>
        <v>87.907405167610079</v>
      </c>
      <c r="Z72" s="3">
        <f t="shared" si="56"/>
        <v>5</v>
      </c>
      <c r="AA72" s="44"/>
      <c r="AB72" s="47"/>
      <c r="AC72"/>
      <c r="AD72" s="40"/>
      <c r="AE72" s="75"/>
      <c r="AF72" s="75"/>
      <c r="BA72" s="3">
        <v>4</v>
      </c>
    </row>
    <row r="73" spans="3:53" x14ac:dyDescent="0.25">
      <c r="C73" s="95" t="s">
        <v>107</v>
      </c>
      <c r="D73" s="24">
        <f t="shared" si="52"/>
        <v>8.8845467956481836E-2</v>
      </c>
      <c r="E73" s="24">
        <f t="shared" si="52"/>
        <v>6.4210494549999372E-2</v>
      </c>
      <c r="F73" s="24">
        <f t="shared" si="52"/>
        <v>1.930539025402845E-2</v>
      </c>
      <c r="G73" s="24">
        <f t="shared" si="52"/>
        <v>2.6264036268271791E-2</v>
      </c>
      <c r="H73" s="24">
        <f t="shared" si="52"/>
        <v>0.13667061832236682</v>
      </c>
      <c r="I73" s="24" t="str">
        <f t="shared" si="53"/>
        <v/>
      </c>
      <c r="J73" s="24" t="str">
        <f t="shared" si="53"/>
        <v/>
      </c>
      <c r="K73" s="24" t="str">
        <f t="shared" si="53"/>
        <v/>
      </c>
      <c r="L73" s="24" t="str">
        <f t="shared" si="53"/>
        <v/>
      </c>
      <c r="M73" s="24" t="str">
        <f t="shared" si="53"/>
        <v/>
      </c>
      <c r="N73" s="24" t="str">
        <f t="shared" si="53"/>
        <v/>
      </c>
      <c r="O73" s="24" t="str">
        <f t="shared" si="53"/>
        <v/>
      </c>
      <c r="P73" s="24" t="str">
        <f t="shared" si="53"/>
        <v/>
      </c>
      <c r="Q73" s="24" t="str">
        <f t="shared" si="53"/>
        <v/>
      </c>
      <c r="R73" s="24" t="str">
        <f t="shared" si="53"/>
        <v/>
      </c>
      <c r="S73" s="24" t="str">
        <f t="shared" si="53"/>
        <v/>
      </c>
      <c r="T73" s="24" t="str">
        <f t="shared" si="53"/>
        <v/>
      </c>
      <c r="U73" s="24" t="str">
        <f t="shared" si="53"/>
        <v/>
      </c>
      <c r="V73" s="31">
        <f t="shared" si="54"/>
        <v>0.33529600735114828</v>
      </c>
      <c r="W73" s="41"/>
      <c r="Y73" s="38">
        <f t="shared" si="55"/>
        <v>79.682038601085679</v>
      </c>
      <c r="Z73" s="3">
        <f t="shared" si="56"/>
        <v>6</v>
      </c>
      <c r="AA73" s="44"/>
      <c r="AB73" s="47"/>
      <c r="AC73"/>
      <c r="AD73" s="40"/>
      <c r="AE73" s="75"/>
      <c r="AF73" s="75"/>
      <c r="BA73" s="3">
        <v>7</v>
      </c>
    </row>
    <row r="74" spans="3:53" ht="16.5" customHeight="1" x14ac:dyDescent="0.25">
      <c r="C74" s="92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31"/>
      <c r="W74" s="41"/>
      <c r="Y74" s="38"/>
      <c r="AA74" s="44"/>
      <c r="AB74" s="47"/>
      <c r="AC74"/>
      <c r="AD74" s="40"/>
      <c r="AE74" s="75"/>
      <c r="AF74" s="75"/>
    </row>
    <row r="75" spans="3:53" x14ac:dyDescent="0.25">
      <c r="C75" s="92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31"/>
      <c r="W75" s="41"/>
      <c r="Y75" s="38"/>
      <c r="AA75" s="44"/>
      <c r="AB75" s="47"/>
      <c r="AC75"/>
      <c r="AD75" s="40"/>
      <c r="AE75" s="75"/>
      <c r="AF75" s="75"/>
    </row>
    <row r="76" spans="3:53" x14ac:dyDescent="0.25">
      <c r="C76" s="92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31"/>
      <c r="W76" s="41"/>
      <c r="Y76" s="38"/>
      <c r="AA76" s="44"/>
      <c r="AB76" s="47"/>
      <c r="AC76"/>
      <c r="AD76" s="40"/>
      <c r="AE76" s="75"/>
      <c r="AF76" s="75"/>
    </row>
    <row r="77" spans="3:53" x14ac:dyDescent="0.25">
      <c r="V77" s="14">
        <f>AVERAGE(V67:V76)</f>
        <v>0.37343158831939188</v>
      </c>
      <c r="W77" s="14"/>
      <c r="Y77" s="24"/>
      <c r="AA77" s="40"/>
      <c r="AB77" s="40"/>
      <c r="AC77" s="40"/>
      <c r="AD77" s="40"/>
      <c r="AE77" s="40"/>
      <c r="AF77" s="40"/>
    </row>
    <row r="78" spans="3:53" x14ac:dyDescent="0.25">
      <c r="Y78" s="24"/>
      <c r="AA78" s="40"/>
      <c r="AB78" s="40"/>
      <c r="AC78" s="40"/>
      <c r="AD78" s="40"/>
      <c r="AE78" s="40"/>
      <c r="AF78" s="40"/>
    </row>
    <row r="79" spans="3:53" ht="15.75" thickBot="1" x14ac:dyDescent="0.3">
      <c r="C79" s="3" t="s">
        <v>85</v>
      </c>
      <c r="AA79" s="40"/>
      <c r="AB79" s="40"/>
      <c r="AC79" s="40"/>
      <c r="AD79" s="40"/>
      <c r="AE79" s="40"/>
      <c r="AF79" s="40"/>
    </row>
    <row r="80" spans="3:53" ht="15.75" customHeight="1" thickBot="1" x14ac:dyDescent="0.3">
      <c r="C80" s="95" t="s">
        <v>101</v>
      </c>
      <c r="D80" s="3">
        <f>IF(D55="","",D55^D$41)</f>
        <v>0.94086464212567966</v>
      </c>
      <c r="E80" s="3">
        <f>IF(E55="","",E55^E$41)</f>
        <v>0.75997919788255752</v>
      </c>
      <c r="F80" s="3">
        <f t="shared" ref="F80:G80" si="57">IF(F55="","",F55^F$41)</f>
        <v>0.79728818462486739</v>
      </c>
      <c r="G80" s="3">
        <f t="shared" si="57"/>
        <v>0.68874261262617698</v>
      </c>
      <c r="H80" s="3">
        <f>IF(H55="","",H55^H$41)</f>
        <v>0.81533452675524931</v>
      </c>
      <c r="V80" s="31">
        <f>+SUM(D80:H80)</f>
        <v>4.0022091640145305</v>
      </c>
      <c r="Y80" s="38">
        <f>V80/MAX($V$80:$V$89)*100</f>
        <v>99.340791325544615</v>
      </c>
      <c r="Z80" s="3">
        <f>_xlfn.RANK.EQ(Y80,$Y$80:$Y$89,0)</f>
        <v>2</v>
      </c>
      <c r="AA80" s="40"/>
      <c r="AB80" s="40"/>
      <c r="AC80" s="40"/>
      <c r="AD80" s="40"/>
      <c r="AE80" s="40"/>
      <c r="AF80" s="40"/>
    </row>
    <row r="81" spans="3:26" ht="15.75" thickBot="1" x14ac:dyDescent="0.3">
      <c r="C81" s="95" t="s">
        <v>102</v>
      </c>
      <c r="D81" s="3">
        <f>IF(D56="","",D56^D$41)</f>
        <v>0.8411476730884252</v>
      </c>
      <c r="E81" s="3">
        <f t="shared" ref="E81:H81" si="58">IF(E56="","",E56^E$41)</f>
        <v>0.92841748040254679</v>
      </c>
      <c r="F81" s="3">
        <f t="shared" si="58"/>
        <v>0.77651492289588697</v>
      </c>
      <c r="G81" s="3">
        <f t="shared" si="58"/>
        <v>0.63990282870668214</v>
      </c>
      <c r="H81" s="3">
        <f t="shared" si="58"/>
        <v>0.8427842414244443</v>
      </c>
      <c r="V81" s="31">
        <f>+SUM(D81:H81)</f>
        <v>4.0287671465179855</v>
      </c>
      <c r="Y81" s="38">
        <f t="shared" ref="Y81:Y86" si="59">V81/MAX($V$80:$V$89)*100</f>
        <v>100</v>
      </c>
      <c r="Z81" s="3">
        <f t="shared" ref="Z81:Z86" si="60">_xlfn.RANK.EQ(Y81,$Y$80:$Y$89,0)</f>
        <v>1</v>
      </c>
    </row>
    <row r="82" spans="3:26" ht="15.75" thickBot="1" x14ac:dyDescent="0.3">
      <c r="C82" s="95" t="s">
        <v>103</v>
      </c>
      <c r="D82" s="3">
        <f>IF(D57="","",D57^D$41)</f>
        <v>0.99872058656339568</v>
      </c>
      <c r="E82" s="3">
        <f t="shared" ref="D82:H86" si="61">IF(E57="","",E57^E$41)</f>
        <v>0.82719582575991235</v>
      </c>
      <c r="F82" s="3">
        <f t="shared" si="61"/>
        <v>0.80586469689957152</v>
      </c>
      <c r="G82" s="3">
        <f t="shared" si="61"/>
        <v>0.6265821600545991</v>
      </c>
      <c r="H82" s="3">
        <f t="shared" si="61"/>
        <v>0.72299862862867392</v>
      </c>
      <c r="V82" s="31">
        <f t="shared" ref="V82:V86" si="62">+SUM(D82:H82)</f>
        <v>3.9813618979061527</v>
      </c>
      <c r="Y82" s="38">
        <f t="shared" si="59"/>
        <v>98.823331136106873</v>
      </c>
      <c r="Z82" s="3">
        <f t="shared" si="60"/>
        <v>3</v>
      </c>
    </row>
    <row r="83" spans="3:26" ht="15.75" thickBot="1" x14ac:dyDescent="0.3">
      <c r="C83" s="95" t="s">
        <v>104</v>
      </c>
      <c r="D83" s="3">
        <f t="shared" si="61"/>
        <v>0.93017290399524155</v>
      </c>
      <c r="E83" s="3">
        <f t="shared" si="61"/>
        <v>0.74618211321441086</v>
      </c>
      <c r="F83" s="3">
        <f t="shared" si="61"/>
        <v>0.60781283897405458</v>
      </c>
      <c r="G83" s="3">
        <f t="shared" si="61"/>
        <v>0.85264810310259209</v>
      </c>
      <c r="H83" s="3">
        <f t="shared" si="61"/>
        <v>0.83365730024466655</v>
      </c>
      <c r="V83" s="31">
        <f t="shared" si="62"/>
        <v>3.9704732595309657</v>
      </c>
      <c r="Y83" s="38">
        <f t="shared" si="59"/>
        <v>98.553058916859896</v>
      </c>
      <c r="Z83" s="3">
        <f t="shared" si="60"/>
        <v>4</v>
      </c>
    </row>
    <row r="84" spans="3:26" ht="15.75" thickBot="1" x14ac:dyDescent="0.3">
      <c r="C84" s="95" t="s">
        <v>105</v>
      </c>
      <c r="D84" s="3">
        <f t="shared" si="61"/>
        <v>0.70365062007185109</v>
      </c>
      <c r="E84" s="3">
        <f t="shared" si="61"/>
        <v>0.72235537113776849</v>
      </c>
      <c r="F84" s="3">
        <f t="shared" si="61"/>
        <v>0.96349576506969004</v>
      </c>
      <c r="G84" s="3">
        <f t="shared" si="61"/>
        <v>0.67339008310338722</v>
      </c>
      <c r="H84" s="3">
        <f t="shared" si="61"/>
        <v>0.86989469108711726</v>
      </c>
      <c r="V84" s="31">
        <f t="shared" si="62"/>
        <v>3.932786530469814</v>
      </c>
      <c r="Y84" s="38">
        <f t="shared" si="59"/>
        <v>97.617618180511471</v>
      </c>
      <c r="Z84" s="3">
        <f t="shared" si="60"/>
        <v>6</v>
      </c>
    </row>
    <row r="85" spans="3:26" ht="15.75" thickBot="1" x14ac:dyDescent="0.3">
      <c r="C85" s="95" t="s">
        <v>106</v>
      </c>
      <c r="D85" s="3">
        <f t="shared" si="61"/>
        <v>0.77409136433786352</v>
      </c>
      <c r="E85" s="3">
        <f t="shared" si="61"/>
        <v>0.57883801569974691</v>
      </c>
      <c r="F85" s="3">
        <f t="shared" si="61"/>
        <v>0.81026287922497131</v>
      </c>
      <c r="G85" s="3">
        <f t="shared" si="61"/>
        <v>0.89879505671573456</v>
      </c>
      <c r="H85" s="3">
        <f t="shared" si="61"/>
        <v>0.87427206125539225</v>
      </c>
      <c r="V85" s="31">
        <f t="shared" si="62"/>
        <v>3.9362593772337084</v>
      </c>
      <c r="Y85" s="38">
        <f t="shared" si="59"/>
        <v>97.703819408767998</v>
      </c>
      <c r="Z85" s="3">
        <f t="shared" si="60"/>
        <v>5</v>
      </c>
    </row>
    <row r="86" spans="3:26" x14ac:dyDescent="0.25">
      <c r="C86" s="95" t="s">
        <v>107</v>
      </c>
      <c r="D86" s="3">
        <f t="shared" si="61"/>
        <v>0.79313110780344831</v>
      </c>
      <c r="E86" s="3">
        <f t="shared" si="61"/>
        <v>0.7995193850501171</v>
      </c>
      <c r="F86" s="3">
        <f t="shared" si="61"/>
        <v>0.76784464807479014</v>
      </c>
      <c r="G86" s="3">
        <f t="shared" si="61"/>
        <v>0.56275948328772296</v>
      </c>
      <c r="H86" s="3">
        <f t="shared" si="61"/>
        <v>0.95655590543591695</v>
      </c>
      <c r="V86" s="31">
        <f t="shared" si="62"/>
        <v>3.8798105296519951</v>
      </c>
      <c r="Y86" s="38">
        <f t="shared" si="59"/>
        <v>96.302674951201098</v>
      </c>
      <c r="Z86" s="3">
        <f t="shared" si="60"/>
        <v>7</v>
      </c>
    </row>
    <row r="87" spans="3:26" x14ac:dyDescent="0.25">
      <c r="C87" s="92"/>
      <c r="V87" s="31"/>
      <c r="Y87" s="38"/>
    </row>
    <row r="88" spans="3:26" x14ac:dyDescent="0.25">
      <c r="C88" s="92"/>
      <c r="V88" s="31"/>
      <c r="Y88" s="38"/>
    </row>
    <row r="89" spans="3:26" x14ac:dyDescent="0.25">
      <c r="C89" s="92"/>
      <c r="V89" s="31"/>
      <c r="Y89" s="38"/>
    </row>
    <row r="90" spans="3:26" x14ac:dyDescent="0.25">
      <c r="V90" s="14">
        <f>AVERAGE(V80:V89)</f>
        <v>3.9616668436178784</v>
      </c>
    </row>
    <row r="112" spans="3:11" x14ac:dyDescent="0.25"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3:14" x14ac:dyDescent="0.25">
      <c r="C113" s="37"/>
      <c r="J113" s="3" t="s">
        <v>14</v>
      </c>
      <c r="K113" s="3" t="s">
        <v>15</v>
      </c>
      <c r="L113" s="3" t="s">
        <v>16</v>
      </c>
      <c r="M113" s="3" t="s">
        <v>17</v>
      </c>
      <c r="N113" s="3" t="s">
        <v>18</v>
      </c>
    </row>
    <row r="114" spans="3:14" x14ac:dyDescent="0.25">
      <c r="D114">
        <v>0.2112</v>
      </c>
      <c r="E114">
        <v>0.19639999999999999</v>
      </c>
      <c r="F114">
        <v>0.17449999999999999</v>
      </c>
      <c r="G114">
        <v>0.20669999999999999</v>
      </c>
      <c r="H114">
        <v>0.2112</v>
      </c>
      <c r="J114" s="39">
        <f>D114/MAX($D114:$H114)*100</f>
        <v>100</v>
      </c>
      <c r="K114" s="39">
        <f>E114/MAX($D114:$H114)*100</f>
        <v>92.992424242424249</v>
      </c>
      <c r="L114" s="39">
        <f>F114/MAX($D114:$H114)*100</f>
        <v>82.623106060606062</v>
      </c>
      <c r="M114" s="39">
        <f>G114/MAX($D114:$H114)*100</f>
        <v>97.869318181818173</v>
      </c>
      <c r="N114" s="39">
        <f>H114/MAX($D114:$H114)*100</f>
        <v>100</v>
      </c>
    </row>
    <row r="115" spans="3:14" x14ac:dyDescent="0.25">
      <c r="D115">
        <v>0.28399999999999997</v>
      </c>
      <c r="E115">
        <v>0.2172</v>
      </c>
      <c r="F115">
        <v>0.22220000000000001</v>
      </c>
      <c r="G115">
        <v>0.27660000000000001</v>
      </c>
      <c r="H115" s="37"/>
      <c r="J115" s="39">
        <f t="shared" ref="J115:M117" si="63">D115/MAX($D115:$H115)*100</f>
        <v>100</v>
      </c>
      <c r="K115" s="39">
        <f t="shared" si="63"/>
        <v>76.478873239436624</v>
      </c>
      <c r="L115" s="39">
        <f t="shared" si="63"/>
        <v>78.239436619718319</v>
      </c>
      <c r="M115" s="39">
        <f t="shared" si="63"/>
        <v>97.394366197183118</v>
      </c>
      <c r="N115" s="39"/>
    </row>
    <row r="116" spans="3:14" x14ac:dyDescent="0.25">
      <c r="D116">
        <v>0.26779999999999998</v>
      </c>
      <c r="E116">
        <v>0.23799999999999999</v>
      </c>
      <c r="F116">
        <v>0.2253</v>
      </c>
      <c r="G116">
        <v>0.26889999999999997</v>
      </c>
      <c r="H116" s="37"/>
      <c r="J116" s="39">
        <f t="shared" si="63"/>
        <v>99.590925994793608</v>
      </c>
      <c r="K116" s="39">
        <f t="shared" si="63"/>
        <v>88.508739308293045</v>
      </c>
      <c r="L116" s="39">
        <f t="shared" si="63"/>
        <v>83.785793975455576</v>
      </c>
      <c r="M116" s="39">
        <f t="shared" si="63"/>
        <v>100</v>
      </c>
      <c r="N116" s="39"/>
    </row>
    <row r="117" spans="3:14" x14ac:dyDescent="0.25">
      <c r="D117">
        <v>0.31130000000000002</v>
      </c>
      <c r="E117">
        <v>0.23130000000000001</v>
      </c>
      <c r="F117">
        <v>0.2354</v>
      </c>
      <c r="G117">
        <v>0.22209999999999999</v>
      </c>
      <c r="H117" s="37"/>
      <c r="J117" s="39">
        <f t="shared" si="63"/>
        <v>100</v>
      </c>
      <c r="K117" s="39">
        <f t="shared" si="63"/>
        <v>74.30131705750081</v>
      </c>
      <c r="L117" s="39">
        <f t="shared" si="63"/>
        <v>75.618374558303884</v>
      </c>
      <c r="M117" s="39">
        <f t="shared" si="63"/>
        <v>71.345968519113384</v>
      </c>
      <c r="N117" s="39"/>
    </row>
    <row r="118" spans="3:14" x14ac:dyDescent="0.25">
      <c r="D118">
        <v>0.39369999999999999</v>
      </c>
      <c r="E118">
        <v>0.3054</v>
      </c>
      <c r="F118">
        <v>0.3009</v>
      </c>
      <c r="G118" s="37"/>
      <c r="H118" s="37"/>
      <c r="J118" s="39">
        <f t="shared" ref="J118:L119" si="64">D118/MAX($D118:$H118)*100</f>
        <v>100</v>
      </c>
      <c r="K118" s="39">
        <f t="shared" si="64"/>
        <v>77.571755143510288</v>
      </c>
      <c r="L118" s="39">
        <f t="shared" si="64"/>
        <v>76.428752857505728</v>
      </c>
      <c r="M118" s="39"/>
      <c r="N118" s="39"/>
    </row>
    <row r="119" spans="3:14" x14ac:dyDescent="0.25">
      <c r="D119">
        <v>0.29830000000000001</v>
      </c>
      <c r="E119">
        <v>0.33110000000000001</v>
      </c>
      <c r="F119">
        <v>0.37059999999999998</v>
      </c>
      <c r="G119" s="37"/>
      <c r="H119" s="37"/>
      <c r="J119" s="39">
        <f t="shared" si="64"/>
        <v>80.491095520777122</v>
      </c>
      <c r="K119" s="39">
        <f t="shared" si="64"/>
        <v>89.341608202914202</v>
      </c>
      <c r="L119" s="39">
        <f t="shared" si="64"/>
        <v>100</v>
      </c>
      <c r="M119" s="39"/>
      <c r="N119" s="39"/>
    </row>
    <row r="121" spans="3:14" x14ac:dyDescent="0.25">
      <c r="D121" s="3">
        <v>0.2</v>
      </c>
      <c r="E121" s="3">
        <v>0.2</v>
      </c>
      <c r="F121" s="3">
        <v>0.2</v>
      </c>
      <c r="G121" s="3">
        <v>0.2</v>
      </c>
      <c r="H121" s="3">
        <v>0.2</v>
      </c>
    </row>
    <row r="122" spans="3:14" x14ac:dyDescent="0.25">
      <c r="D122" s="3">
        <v>0.25</v>
      </c>
      <c r="E122" s="3">
        <v>0.25</v>
      </c>
      <c r="F122" s="3">
        <v>0.25</v>
      </c>
      <c r="G122" s="3">
        <v>0.25</v>
      </c>
    </row>
    <row r="123" spans="3:14" x14ac:dyDescent="0.25">
      <c r="D123" s="3">
        <v>0.25</v>
      </c>
      <c r="E123" s="3">
        <v>0.25</v>
      </c>
      <c r="F123" s="3">
        <v>0.25</v>
      </c>
      <c r="G123" s="3">
        <v>0.25</v>
      </c>
    </row>
    <row r="124" spans="3:14" x14ac:dyDescent="0.25">
      <c r="D124" s="3">
        <v>0.25</v>
      </c>
      <c r="E124" s="3">
        <v>0.25</v>
      </c>
      <c r="F124" s="3">
        <v>0.25</v>
      </c>
      <c r="G124" s="3">
        <v>0.25</v>
      </c>
    </row>
    <row r="125" spans="3:14" x14ac:dyDescent="0.25">
      <c r="D125" s="3">
        <v>0.33</v>
      </c>
      <c r="E125" s="3">
        <v>0.33</v>
      </c>
      <c r="F125" s="3">
        <v>0.33</v>
      </c>
    </row>
    <row r="126" spans="3:14" x14ac:dyDescent="0.25">
      <c r="D126" s="3">
        <v>0.33</v>
      </c>
      <c r="E126" s="3">
        <v>0.33</v>
      </c>
      <c r="F126" s="3">
        <v>0.33</v>
      </c>
    </row>
    <row r="128" spans="3:14" x14ac:dyDescent="0.25">
      <c r="D128" s="3">
        <v>0.3</v>
      </c>
      <c r="E128" s="3">
        <v>0.25</v>
      </c>
      <c r="F128" s="3">
        <v>0.2</v>
      </c>
      <c r="G128" s="3">
        <v>0.1</v>
      </c>
      <c r="H128" s="3">
        <v>0.15</v>
      </c>
    </row>
    <row r="129" spans="4:21" x14ac:dyDescent="0.25">
      <c r="D129" s="3">
        <v>0.3</v>
      </c>
      <c r="E129" s="3">
        <v>0.15</v>
      </c>
      <c r="F129" s="3">
        <v>0.4</v>
      </c>
      <c r="G129" s="3">
        <v>0.15</v>
      </c>
    </row>
    <row r="130" spans="4:21" x14ac:dyDescent="0.25">
      <c r="D130" s="3">
        <v>0.15</v>
      </c>
      <c r="E130" s="3">
        <v>0.4</v>
      </c>
      <c r="F130" s="3">
        <v>0.3</v>
      </c>
      <c r="G130" s="3">
        <v>0.15</v>
      </c>
    </row>
    <row r="131" spans="4:21" x14ac:dyDescent="0.25">
      <c r="D131" s="3">
        <v>0.25</v>
      </c>
      <c r="E131" s="3">
        <v>0.3</v>
      </c>
      <c r="F131" s="3">
        <v>0.2</v>
      </c>
      <c r="G131" s="3">
        <v>0.25</v>
      </c>
    </row>
    <row r="132" spans="4:21" x14ac:dyDescent="0.25">
      <c r="D132" s="3">
        <v>0.3</v>
      </c>
      <c r="E132" s="3">
        <v>0.3</v>
      </c>
      <c r="F132" s="3">
        <v>0.4</v>
      </c>
    </row>
    <row r="133" spans="4:21" x14ac:dyDescent="0.25">
      <c r="D133" s="3">
        <v>0.4</v>
      </c>
      <c r="E133" s="3">
        <v>0.4</v>
      </c>
      <c r="F133" s="3">
        <v>0.2</v>
      </c>
    </row>
    <row r="135" spans="4:21" x14ac:dyDescent="0.25">
      <c r="D135" s="3" t="s">
        <v>19</v>
      </c>
    </row>
    <row r="136" spans="4:21" x14ac:dyDescent="0.25">
      <c r="D136" s="3">
        <v>0.25</v>
      </c>
      <c r="E136" s="3">
        <v>0.25</v>
      </c>
      <c r="F136" s="3">
        <v>0.25</v>
      </c>
      <c r="G136" s="3">
        <v>0.25</v>
      </c>
      <c r="H136" s="3">
        <v>0.25</v>
      </c>
      <c r="I136" s="3">
        <v>0.25</v>
      </c>
      <c r="J136" s="3">
        <v>0.25</v>
      </c>
      <c r="K136" s="3">
        <v>0.25</v>
      </c>
      <c r="L136" s="3">
        <v>0.25</v>
      </c>
      <c r="M136" s="3">
        <v>0.25</v>
      </c>
      <c r="N136" s="3">
        <v>0.25</v>
      </c>
      <c r="O136" s="3">
        <v>0.25</v>
      </c>
      <c r="P136" s="3">
        <f>1/3</f>
        <v>0.33333333333333331</v>
      </c>
      <c r="Q136" s="3">
        <f t="shared" ref="Q136:U136" si="65">1/3</f>
        <v>0.33333333333333331</v>
      </c>
      <c r="R136" s="3">
        <f t="shared" si="65"/>
        <v>0.33333333333333331</v>
      </c>
      <c r="S136" s="3">
        <f t="shared" si="65"/>
        <v>0.33333333333333331</v>
      </c>
      <c r="T136" s="3">
        <f t="shared" si="65"/>
        <v>0.33333333333333331</v>
      </c>
      <c r="U136" s="3">
        <f t="shared" si="65"/>
        <v>0.33333333333333331</v>
      </c>
    </row>
    <row r="138" spans="4:21" x14ac:dyDescent="0.25">
      <c r="D138" s="3">
        <v>0.2112</v>
      </c>
      <c r="H138" s="3">
        <v>0.19639999999999999</v>
      </c>
      <c r="L138" s="3">
        <v>0.17449999999999999</v>
      </c>
      <c r="P138" s="3">
        <v>0.20669999999999999</v>
      </c>
      <c r="S138" s="3">
        <v>0.2112</v>
      </c>
    </row>
    <row r="139" spans="4:21" x14ac:dyDescent="0.25">
      <c r="D139" s="3">
        <v>0.28399999999999997</v>
      </c>
      <c r="E139" s="3">
        <v>0.2172</v>
      </c>
      <c r="F139" s="3">
        <v>0.22220000000000001</v>
      </c>
      <c r="G139" s="3">
        <v>0.27660000000000001</v>
      </c>
      <c r="H139" s="3">
        <v>0.26779999999999998</v>
      </c>
      <c r="I139" s="3">
        <v>0.23799999999999999</v>
      </c>
      <c r="J139" s="3">
        <v>0.2253</v>
      </c>
      <c r="K139" s="3">
        <v>0.26889999999999997</v>
      </c>
      <c r="L139" s="3">
        <v>0.31130000000000002</v>
      </c>
      <c r="M139" s="3">
        <v>0.23130000000000001</v>
      </c>
      <c r="N139" s="3">
        <v>0.2354</v>
      </c>
      <c r="O139" s="3">
        <v>0.22209999999999999</v>
      </c>
      <c r="P139" s="3">
        <v>0.39369999999999999</v>
      </c>
      <c r="Q139" s="3">
        <v>0.3054</v>
      </c>
      <c r="R139" s="3">
        <v>0.3009</v>
      </c>
      <c r="S139" s="3">
        <v>0.29830000000000001</v>
      </c>
      <c r="T139" s="3">
        <v>0.33110000000000001</v>
      </c>
      <c r="U139" s="3">
        <v>0.37059999999999998</v>
      </c>
    </row>
  </sheetData>
  <mergeCells count="7">
    <mergeCell ref="S3:U3"/>
    <mergeCell ref="C2:C3"/>
    <mergeCell ref="P3:R3"/>
    <mergeCell ref="D3:F3"/>
    <mergeCell ref="G3:I3"/>
    <mergeCell ref="J3:L3"/>
    <mergeCell ref="M3:O3"/>
  </mergeCells>
  <phoneticPr fontId="26" type="noConversion"/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8481A-D48F-4EAE-B528-2F599301455A}">
  <dimension ref="A1:AS43"/>
  <sheetViews>
    <sheetView tabSelected="1" topLeftCell="A4" workbookViewId="0">
      <selection activeCell="C27" activeCellId="2" sqref="C3:C9 C16:C22 C27:C33"/>
    </sheetView>
  </sheetViews>
  <sheetFormatPr defaultRowHeight="15" x14ac:dyDescent="0.25"/>
  <cols>
    <col min="1" max="2" width="2.85546875" style="1" customWidth="1"/>
    <col min="3" max="3" width="30.5703125" style="3" customWidth="1"/>
    <col min="4" max="21" width="8.42578125" style="3" customWidth="1"/>
    <col min="22" max="22" width="11" style="2" customWidth="1"/>
    <col min="23" max="26" width="10" style="3" customWidth="1"/>
    <col min="27" max="27" width="25.28515625" style="3" customWidth="1"/>
    <col min="28" max="28" width="9.140625" style="3" customWidth="1"/>
    <col min="29" max="32" width="9.140625" style="3"/>
    <col min="33" max="45" width="9.140625" style="40"/>
    <col min="46" max="16384" width="9.140625" style="3"/>
  </cols>
  <sheetData>
    <row r="1" spans="1:26" ht="26.25" thickBot="1" x14ac:dyDescent="0.3">
      <c r="A1" s="3"/>
      <c r="B1" s="3"/>
      <c r="C1" s="18"/>
      <c r="D1" s="64" t="s">
        <v>108</v>
      </c>
      <c r="E1" s="65" t="s">
        <v>109</v>
      </c>
      <c r="F1" s="66" t="s">
        <v>110</v>
      </c>
      <c r="G1" s="67" t="s">
        <v>111</v>
      </c>
      <c r="H1" s="68" t="s">
        <v>112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6"/>
      <c r="W1" s="17"/>
      <c r="X1" s="17"/>
      <c r="Y1" s="17"/>
      <c r="Z1" s="17"/>
    </row>
    <row r="2" spans="1:26" ht="15.75" thickBot="1" x14ac:dyDescent="0.3">
      <c r="A2" s="3"/>
      <c r="B2" s="3"/>
      <c r="C2" s="15" t="s">
        <v>7</v>
      </c>
      <c r="D2"/>
      <c r="E2"/>
      <c r="F2"/>
      <c r="G2"/>
      <c r="H2"/>
      <c r="V2" s="14"/>
      <c r="W2" s="17"/>
      <c r="X2" s="17"/>
      <c r="Y2" s="17"/>
      <c r="Z2" s="17"/>
    </row>
    <row r="3" spans="1:26" ht="15.75" thickBot="1" x14ac:dyDescent="0.3">
      <c r="A3" s="3"/>
      <c r="B3" s="3"/>
      <c r="C3" s="95" t="s">
        <v>101</v>
      </c>
      <c r="D3" s="46">
        <f>+AHP_nivel_0!D55</f>
        <v>0.772888759185555</v>
      </c>
      <c r="E3" s="46">
        <f>+AHP_nivel_0!E55</f>
        <v>0.25066662460072059</v>
      </c>
      <c r="F3" s="46">
        <f>+AHP_nivel_0!F55</f>
        <v>0.18799996845054037</v>
      </c>
      <c r="G3" s="46">
        <f>+AHP_nivel_0!G55</f>
        <v>0.22977773921732714</v>
      </c>
      <c r="H3" s="46">
        <f>+AHP_nivel_0!H55</f>
        <v>0.31333328075090067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7"/>
      <c r="X3" s="17"/>
      <c r="Y3" s="17"/>
      <c r="Z3" s="17"/>
    </row>
    <row r="4" spans="1:26" ht="15.75" thickBot="1" x14ac:dyDescent="0.3">
      <c r="A4" s="3"/>
      <c r="B4" s="3"/>
      <c r="C4" s="95" t="s">
        <v>102</v>
      </c>
      <c r="D4" s="46">
        <f>+AHP_nivel_0!D56</f>
        <v>0.48137698945980151</v>
      </c>
      <c r="E4" s="46">
        <f>+AHP_nivel_0!E56</f>
        <v>0.68768141351400214</v>
      </c>
      <c r="F4" s="46">
        <f>+AHP_nivel_0!F56</f>
        <v>0.15472831804065049</v>
      </c>
      <c r="G4" s="46">
        <f>+AHP_nivel_0!G56</f>
        <v>0.17192035337850053</v>
      </c>
      <c r="H4" s="46">
        <f>+AHP_nivel_0!H56</f>
        <v>0.37822477743270116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7"/>
      <c r="X4" s="17"/>
      <c r="Y4" s="17"/>
      <c r="Z4" s="17"/>
    </row>
    <row r="5" spans="1:26" ht="15.75" thickBot="1" x14ac:dyDescent="0.3">
      <c r="A5" s="3"/>
      <c r="B5" s="3"/>
      <c r="C5" s="95" t="s">
        <v>103</v>
      </c>
      <c r="D5" s="46">
        <f>+AHP_nivel_0!D57</f>
        <v>0.99460392600107328</v>
      </c>
      <c r="E5" s="46">
        <f>+AHP_nivel_0!E57</f>
        <v>0.38427878959132378</v>
      </c>
      <c r="F5" s="46">
        <f>+AHP_nivel_0!F57</f>
        <v>0.20344171213658316</v>
      </c>
      <c r="G5" s="46">
        <f>+AHP_nivel_0!G57</f>
        <v>0.15823244277289805</v>
      </c>
      <c r="H5" s="46">
        <f>+AHP_nivel_0!H57</f>
        <v>0.15823244277289805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7"/>
      <c r="X5" s="17"/>
      <c r="Y5" s="17"/>
      <c r="Z5" s="17"/>
    </row>
    <row r="6" spans="1:26" ht="15.75" thickBot="1" x14ac:dyDescent="0.3">
      <c r="A6" s="3"/>
      <c r="B6" s="3"/>
      <c r="C6" s="95" t="s">
        <v>104</v>
      </c>
      <c r="D6" s="46">
        <f>+AHP_nivel_0!D58</f>
        <v>0.7364440465754637</v>
      </c>
      <c r="E6" s="46">
        <f>+AHP_nivel_0!E58</f>
        <v>0.22855160066135077</v>
      </c>
      <c r="F6" s="46">
        <f>+AHP_nivel_0!F58</f>
        <v>2.5394622295705639E-2</v>
      </c>
      <c r="G6" s="46">
        <f>+AHP_nivel_0!G58</f>
        <v>0.5332870682098183</v>
      </c>
      <c r="H6" s="46">
        <f>+AHP_nivel_0!H58</f>
        <v>0.35552471213987896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7"/>
      <c r="X6" s="17"/>
      <c r="Y6" s="17"/>
      <c r="Z6" s="17"/>
    </row>
    <row r="7" spans="1:26" ht="15.75" thickBot="1" x14ac:dyDescent="0.3">
      <c r="A7" s="3"/>
      <c r="B7" s="3"/>
      <c r="C7" s="95" t="s">
        <v>105</v>
      </c>
      <c r="D7" s="46">
        <f>+AHP_nivel_0!D59</f>
        <v>0.22640219028520492</v>
      </c>
      <c r="E7" s="46">
        <f>+AHP_nivel_0!E59</f>
        <v>0.19405902024446139</v>
      </c>
      <c r="F7" s="46">
        <f>+AHP_nivel_0!F59</f>
        <v>0.76006449595747372</v>
      </c>
      <c r="G7" s="46">
        <f>+AHP_nivel_0!G59</f>
        <v>0.21023060526483314</v>
      </c>
      <c r="H7" s="46">
        <f>+AHP_nivel_0!H59</f>
        <v>0.45280438057040984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  <c r="X7" s="17"/>
      <c r="Y7" s="17"/>
      <c r="Z7" s="17"/>
    </row>
    <row r="8" spans="1:26" ht="15.75" thickBot="1" x14ac:dyDescent="0.3">
      <c r="A8" s="3"/>
      <c r="B8" s="3"/>
      <c r="C8" s="95" t="s">
        <v>106</v>
      </c>
      <c r="D8" s="46">
        <f>+AHP_nivel_0!D60</f>
        <v>0.33884355757069329</v>
      </c>
      <c r="E8" s="46">
        <f>+AHP_nivel_0!E60</f>
        <v>6.3533167044504985E-2</v>
      </c>
      <c r="F8" s="46">
        <f>+AHP_nivel_0!F60</f>
        <v>0.21177722348168329</v>
      </c>
      <c r="G8" s="46">
        <f>+AHP_nivel_0!G60</f>
        <v>0.65650939279321818</v>
      </c>
      <c r="H8" s="46">
        <f>+AHP_nivel_0!H60</f>
        <v>0.46590989165970326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  <c r="X8" s="17"/>
      <c r="Y8" s="17"/>
      <c r="Z8" s="17"/>
    </row>
    <row r="9" spans="1:26" x14ac:dyDescent="0.25">
      <c r="A9" s="3"/>
      <c r="B9" s="3"/>
      <c r="C9" s="95" t="s">
        <v>107</v>
      </c>
      <c r="D9" s="46">
        <f>+AHP_nivel_0!D61</f>
        <v>0.37549026748097314</v>
      </c>
      <c r="E9" s="46">
        <f>+AHP_nivel_0!E61</f>
        <v>0.32369850644911485</v>
      </c>
      <c r="F9" s="46">
        <f>+AHP_nivel_0!F61</f>
        <v>0.14242734283761052</v>
      </c>
      <c r="G9" s="46">
        <f>+AHP_nivel_0!G61</f>
        <v>0.10358352206371675</v>
      </c>
      <c r="H9" s="46">
        <f>+AHP_nivel_0!H61</f>
        <v>0.77687641547787556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  <c r="X9" s="17"/>
      <c r="Y9" s="17"/>
      <c r="Z9" s="17"/>
    </row>
    <row r="10" spans="1:26" x14ac:dyDescent="0.25">
      <c r="A10" s="3"/>
      <c r="B10" s="3"/>
      <c r="C10" s="90"/>
      <c r="D10" s="80"/>
      <c r="E10" s="80"/>
      <c r="F10" s="80"/>
      <c r="G10" s="80"/>
      <c r="H10" s="81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  <c r="X10" s="17"/>
      <c r="Y10" s="17"/>
      <c r="Z10" s="17"/>
    </row>
    <row r="11" spans="1:26" x14ac:dyDescent="0.25">
      <c r="A11" s="3"/>
      <c r="B11" s="3"/>
      <c r="C11" s="90"/>
      <c r="D11" s="80"/>
      <c r="E11" s="80"/>
      <c r="F11" s="80"/>
      <c r="G11" s="80"/>
      <c r="H11" s="81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  <c r="X11" s="17"/>
      <c r="Y11" s="17"/>
      <c r="Z11" s="17"/>
    </row>
    <row r="12" spans="1:26" x14ac:dyDescent="0.25">
      <c r="A12" s="3"/>
      <c r="B12" s="3"/>
      <c r="C12" s="91"/>
      <c r="D12" s="80"/>
      <c r="E12" s="80"/>
      <c r="F12" s="80"/>
      <c r="G12" s="80"/>
      <c r="H12" s="81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  <c r="X12" s="17"/>
      <c r="Y12" s="17"/>
      <c r="Z12" s="17"/>
    </row>
    <row r="13" spans="1:26" x14ac:dyDescent="0.25">
      <c r="A13" s="3"/>
      <c r="B13" s="3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6"/>
      <c r="W13" s="17"/>
      <c r="X13" s="17"/>
      <c r="Y13" s="17"/>
      <c r="Z13" s="17"/>
    </row>
    <row r="14" spans="1:26" x14ac:dyDescent="0.25">
      <c r="A14" s="3"/>
      <c r="B14" s="3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71"/>
      <c r="W14" s="17"/>
      <c r="X14" s="17"/>
      <c r="Y14" s="17"/>
      <c r="Z14" s="17"/>
    </row>
    <row r="15" spans="1:26" ht="29.25" thickBot="1" x14ac:dyDescent="0.3">
      <c r="A15" s="3"/>
      <c r="B15" s="3"/>
      <c r="C15" s="15" t="s">
        <v>72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71"/>
      <c r="W15" s="17"/>
      <c r="X15" s="17"/>
      <c r="Y15" s="17"/>
      <c r="Z15" s="17"/>
    </row>
    <row r="16" spans="1:26" ht="15.75" thickBot="1" x14ac:dyDescent="0.3">
      <c r="A16" s="3"/>
      <c r="B16" s="3"/>
      <c r="C16" s="95" t="s">
        <v>101</v>
      </c>
      <c r="D16" s="16">
        <f>+D3/((D3^2)+(D4^2)+(D5^2)+(D6^2)+(D7^2)+(D8^2)+(D9^2))^0.5</f>
        <v>0.47320112708796103</v>
      </c>
      <c r="E16" s="16">
        <f>+E3/((E3^2)+(E4^2)+(E5^2)+(E6^2)+(E7^2)+(E8^2)+(E9^2))^0.5</f>
        <v>0.26688999030895866</v>
      </c>
      <c r="F16" s="16">
        <f>+F3/((F3^2)+(F4^2)+(F5^2)+(F6^2)+(F7^2)+(F8^2)+(F9^2))^0.5</f>
        <v>0.21793506597807305</v>
      </c>
      <c r="G16" s="16">
        <f>+G3/((G3^2)+(G4^2)+(G5^2)+(G6^2)+(G7^2)+(G8^2)+(G9^2))^0.5</f>
        <v>0.24526209614397365</v>
      </c>
      <c r="H16" s="16">
        <f>+H3/((H3^2)+(H4^2)+(H5^2)+(H6^2)+(H7^2)+(H8^2)+(H9^2))^0.5</f>
        <v>0.26310025694002481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71"/>
      <c r="W16" s="17"/>
      <c r="X16" s="17"/>
      <c r="Y16" s="17"/>
      <c r="Z16" s="17"/>
    </row>
    <row r="17" spans="1:45" ht="15.75" thickBot="1" x14ac:dyDescent="0.3">
      <c r="A17" s="3"/>
      <c r="B17" s="3"/>
      <c r="C17" s="95" t="s">
        <v>102</v>
      </c>
      <c r="D17" s="16">
        <f>+D4/((D3^2)+(D4^2)+(D5^2)+(D6^2)+(D7^2)+(D8^2)+(D9^2))^0.5</f>
        <v>0.29472305200378812</v>
      </c>
      <c r="E17" s="16">
        <f>+E4/((E3^2)+(E4^2)+(E5^2)+(E6^2)+(E7^2)+(E8^2)+(E9^2))^0.5</f>
        <v>0.73218876298650015</v>
      </c>
      <c r="F17" s="16">
        <f>+F4/((F3^2)+(F4^2)+(F5^2)+(F6^2)+(F7^2)+(F8^2)+(F9^2))^0.5</f>
        <v>0.17936559499868635</v>
      </c>
      <c r="G17" s="16">
        <f>+G4/((G3^2)+(G4^2)+(G5^2)+(G6^2)+(G7^2)+(G8^2)+(G9^2))^0.5</f>
        <v>0.18350579295909486</v>
      </c>
      <c r="H17" s="16">
        <f>+H4/((H3^2)+(H4^2)+(H5^2)+(H6^2)+(H7^2)+(H8^2)+(H9^2))^0.5</f>
        <v>0.31758846645702615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71"/>
      <c r="W17" s="17"/>
      <c r="X17" s="17"/>
      <c r="Y17" s="17"/>
      <c r="Z17" s="17"/>
    </row>
    <row r="18" spans="1:45" ht="15.75" thickBot="1" x14ac:dyDescent="0.3">
      <c r="A18" s="3"/>
      <c r="B18" s="3"/>
      <c r="C18" s="95" t="s">
        <v>103</v>
      </c>
      <c r="D18" s="16">
        <f>+D5/((D3^2)+(D4^2)+(D5^2)+(D6^2)+(D7^2)+(D8^2)+(D9^2))^0.5</f>
        <v>0.60894623346026155</v>
      </c>
      <c r="E18" s="16">
        <f>+E5/((E3^2)+(E4^2)+(E5^2)+(E6^2)+(E7^2)+(E8^2)+(E9^2))^0.5</f>
        <v>0.40914965282407179</v>
      </c>
      <c r="F18" s="16">
        <f>+F5/((F3^2)+(F4^2)+(F5^2)+(F6^2)+(F7^2)+(F8^2)+(F9^2))^0.5</f>
        <v>0.2358355872216156</v>
      </c>
      <c r="G18" s="16">
        <f>+G5/((G3^2)+(G4^2)+(G5^2)+(G6^2)+(G7^2)+(G8^2)+(G9^2))^0.5</f>
        <v>0.16889547579609859</v>
      </c>
      <c r="H18" s="16">
        <f>+H5/((H3^2)+(H4^2)+(H5^2)+(H6^2)+(H7^2)+(H8^2)+(H9^2))^0.5</f>
        <v>0.13286490426433126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71"/>
      <c r="W18" s="17"/>
      <c r="X18" s="17"/>
      <c r="Y18" s="17"/>
      <c r="Z18" s="17"/>
    </row>
    <row r="19" spans="1:45" ht="15.75" thickBot="1" x14ac:dyDescent="0.3">
      <c r="A19" s="3"/>
      <c r="B19" s="3"/>
      <c r="C19" s="95" t="s">
        <v>104</v>
      </c>
      <c r="D19" s="16">
        <f>+D6/((D3^2)+(D4^2)+(D5^2)+(D6^2)+(D7^2)+(D8^2)+(D9^2))^0.5</f>
        <v>0.45088785253385189</v>
      </c>
      <c r="E19" s="16">
        <f>+E6/((E3^2)+(E4^2)+(E5^2)+(E6^2)+(E7^2)+(E8^2)+(E9^2))^0.5</f>
        <v>0.24334366245513142</v>
      </c>
      <c r="F19" s="16">
        <f>+F6/((F3^2)+(F4^2)+(F5^2)+(F6^2)+(F7^2)+(F8^2)+(F9^2))^0.5</f>
        <v>2.9438189437562885E-2</v>
      </c>
      <c r="G19" s="16">
        <f>+G6/((G3^2)+(G4^2)+(G5^2)+(G6^2)+(G7^2)+(G8^2)+(G9^2))^0.5</f>
        <v>0.56922443680197576</v>
      </c>
      <c r="H19" s="16">
        <f>+H6/((H3^2)+(H4^2)+(H5^2)+(H6^2)+(H7^2)+(H8^2)+(H9^2))^0.5</f>
        <v>0.29852763449948855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71"/>
      <c r="W19" s="17"/>
      <c r="X19" s="17"/>
      <c r="Y19" s="17"/>
      <c r="Z19" s="17"/>
    </row>
    <row r="20" spans="1:45" ht="15.75" thickBot="1" x14ac:dyDescent="0.3">
      <c r="A20" s="3"/>
      <c r="B20" s="3"/>
      <c r="C20" s="95" t="s">
        <v>105</v>
      </c>
      <c r="D20" s="16">
        <f>IFERROR(+D7/((D3^2)+(D4^2)+(D5^2)+(D6^2)+(D7^2)+(D8^2)+(D9^2))^0.5,"")</f>
        <v>0.13861473639626493</v>
      </c>
      <c r="E20" s="16">
        <f>+E7/((E3^2)+(E4^2)+(E5^2)+(E6^2)+(E7^2)+(E8^2)+(E9^2))^0.5</f>
        <v>0.2066186917181691</v>
      </c>
      <c r="F20" s="16">
        <f>+F7/((F3^2)+(F4^2)+(F5^2)+(F6^2)+(F7^2)+(F8^2)+(F9^2))^0.5</f>
        <v>0.8810890099572608</v>
      </c>
      <c r="G20" s="16">
        <f>+G7/((G3^2)+(G4^2)+(G5^2)+(G6^2)+(G7^2)+(G8^2)+(G9^2))^0.5</f>
        <v>0.22439771187800558</v>
      </c>
      <c r="H20" s="16">
        <f>+H7/((H3^2)+(H4^2)+(H5^2)+(H6^2)+(H7^2)+(H8^2)+(H9^2))^0.5</f>
        <v>0.38021160275774873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71"/>
      <c r="W20" s="17"/>
      <c r="X20" s="17"/>
      <c r="Y20" s="17"/>
      <c r="Z20" s="17"/>
    </row>
    <row r="21" spans="1:45" ht="15.75" thickBot="1" x14ac:dyDescent="0.3">
      <c r="A21" s="3"/>
      <c r="B21" s="3"/>
      <c r="C21" s="95" t="s">
        <v>106</v>
      </c>
      <c r="D21" s="16">
        <f>+D8/((D3^2)+(D4^2)+(D5^2)+(D6^2)+(D7^2)+(D8^2)+(D9^2))^0.5</f>
        <v>0.20745696122933494</v>
      </c>
      <c r="E21" s="16">
        <f>+E8/((E3^2)+(E4^2)+(E5^2)+(E6^2)+(E7^2)+(E8^2)+(E9^2))^0.5</f>
        <v>6.7645089823245033E-2</v>
      </c>
      <c r="F21" s="16">
        <f>+F8/((F3^2)+(F4^2)+(F5^2)+(F6^2)+(F7^2)+(F8^2)+(F9^2))^0.5</f>
        <v>0.24549835594401193</v>
      </c>
      <c r="G21" s="16">
        <f>+G8/((G3^2)+(G4^2)+(G5^2)+(G6^2)+(G7^2)+(G8^2)+(G9^2))^0.5</f>
        <v>0.70075051814475353</v>
      </c>
      <c r="H21" s="16">
        <f>+H8/((H3^2)+(H4^2)+(H5^2)+(H6^2)+(H7^2)+(H8^2)+(H9^2))^0.5</f>
        <v>0.39121606205635945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71"/>
      <c r="W21" s="17"/>
      <c r="X21" s="17"/>
      <c r="Y21" s="17"/>
      <c r="Z21" s="17"/>
    </row>
    <row r="22" spans="1:45" x14ac:dyDescent="0.25">
      <c r="A22" s="3"/>
      <c r="B22" s="3"/>
      <c r="C22" s="95" t="s">
        <v>107</v>
      </c>
      <c r="D22" s="16">
        <f>+D9/((D3^2)+(D4^2)+(D5^2)+(D6^2)+(D7^2)+(D8^2)+(D9^2))^0.5</f>
        <v>0.22989390862637515</v>
      </c>
      <c r="E22" s="16">
        <f>+E9/((E3^2)+(E4^2)+(E5^2)+(E6^2)+(E7^2)+(E8^2)+(E9^2))^0.5</f>
        <v>0.34464856016168777</v>
      </c>
      <c r="F22" s="16">
        <f>+F9/((F3^2)+(F4^2)+(F5^2)+(F6^2)+(F7^2)+(F8^2)+(F9^2))^0.5</f>
        <v>0.16510594450744473</v>
      </c>
      <c r="G22" s="16">
        <f>+G9/((G3^2)+(G4^2)+(G5^2)+(G6^2)+(G7^2)+(G8^2)+(G9^2))^0.5</f>
        <v>0.11056385111046023</v>
      </c>
      <c r="H22" s="16">
        <f>+H9/((H3^2)+(H4^2)+(H5^2)+(H6^2)+(H7^2)+(H8^2)+(H9^2))^0.5</f>
        <v>0.65232899624655327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71"/>
      <c r="W22" s="17"/>
      <c r="X22" s="17"/>
      <c r="Y22" s="17"/>
      <c r="Z22" s="17"/>
    </row>
    <row r="23" spans="1:45" x14ac:dyDescent="0.25">
      <c r="A23" s="3"/>
      <c r="B23" s="3"/>
      <c r="C23" s="90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71"/>
      <c r="W23" s="17"/>
      <c r="X23" s="17"/>
      <c r="Y23" s="17"/>
      <c r="Z23" s="17"/>
    </row>
    <row r="24" spans="1:45" x14ac:dyDescent="0.25">
      <c r="A24" s="3"/>
      <c r="B24" s="3"/>
      <c r="C24" s="90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71"/>
      <c r="W24" s="17"/>
      <c r="X24" s="17"/>
      <c r="Y24" s="17"/>
      <c r="Z24" s="17"/>
    </row>
    <row r="25" spans="1:45" ht="15.75" thickBot="1" x14ac:dyDescent="0.3">
      <c r="A25" s="3"/>
      <c r="B25" s="3"/>
      <c r="C25" s="9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71"/>
      <c r="X25" s="17"/>
      <c r="Y25" s="17"/>
      <c r="Z25" s="17"/>
    </row>
    <row r="26" spans="1:45" ht="15.75" customHeight="1" thickBot="1" x14ac:dyDescent="0.3">
      <c r="A26" s="3"/>
      <c r="B26" s="3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72" t="s">
        <v>73</v>
      </c>
      <c r="W26" s="99" t="s">
        <v>74</v>
      </c>
      <c r="X26" s="73" t="s">
        <v>75</v>
      </c>
      <c r="Y26" s="73" t="s">
        <v>13</v>
      </c>
      <c r="Z26" s="73"/>
      <c r="AB26" s="64" t="s">
        <v>108</v>
      </c>
      <c r="AC26" s="65" t="s">
        <v>109</v>
      </c>
      <c r="AD26" s="66" t="s">
        <v>110</v>
      </c>
      <c r="AE26" s="67" t="s">
        <v>111</v>
      </c>
      <c r="AF26" s="68" t="s">
        <v>112</v>
      </c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</row>
    <row r="27" spans="1:45" ht="15.75" thickBot="1" x14ac:dyDescent="0.3">
      <c r="A27" s="3"/>
      <c r="B27" s="3"/>
      <c r="C27" s="95" t="s">
        <v>101</v>
      </c>
      <c r="D27" s="74">
        <f>+D16*$AB$27</f>
        <v>9.4640225417592205E-2</v>
      </c>
      <c r="E27" s="74">
        <f>+E16*$AC$27</f>
        <v>5.3377998061791734E-2</v>
      </c>
      <c r="F27" s="74">
        <f>+F16*$AD$27</f>
        <v>4.3587013195614616E-2</v>
      </c>
      <c r="G27" s="74">
        <f>+G16*$AE$27</f>
        <v>4.9052419228794733E-2</v>
      </c>
      <c r="H27" s="74">
        <f>+H16*$AF$27</f>
        <v>5.2620051388004963E-2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99">
        <f>+((D27-$D$40)^2+(E27-$E$40)^2+(F27-$F$40)^2+(G27-$G$40)^2+(H27-$H$40)^2+(I27-$I$40)^2+(J27-$J$40)^2+(K27-$K$40)^2+(L27-$L$40)^2+(M27-$M$40)^2+(N27-$N$40)^2+(O27-$O$40)^2+(P27-$P$40)^2+(Q27-$Q$40)^2+(R27-$R$40)^2+(S27-$S$40)^2+(T27-$T$40)^2+(U27-$U$40)^2)^0.5</f>
        <v>7.1766622058109492E-2</v>
      </c>
      <c r="W27" s="100">
        <f t="shared" ref="W27:W33" si="0">+((D27-$D$39)^2+(E27-$E$39)^2+(F27-$F$39)^2+(G27-$G$39)^2+(H27-$H$39)^2+(I27-$I$39)^2+(J27-$J$39)^2+(K27-$K$39)^2+(L27-$L$39)^2+(M27-$M$39)^2+(N27-$N$39)^2+(O27-$O$39)^2+(P27-$P$39)^2+(Q27-$Q$39)^2+(R27-$R$39)^2+(S27-$S$39)^2+(T27-$T$39)^2+(U27-$U$39)^2)^0.5</f>
        <v>0.21233867930128836</v>
      </c>
      <c r="X27" s="73">
        <f>+W27/(V27+W27)</f>
        <v>0.74739428755916271</v>
      </c>
      <c r="Y27" s="75">
        <f>+RANK(X27,$X$27:$X$36)</f>
        <v>1</v>
      </c>
      <c r="Z27" s="75">
        <f>+X27/MAX($X$27:$X$36)*100</f>
        <v>100</v>
      </c>
      <c r="AA27" s="3" t="s">
        <v>24</v>
      </c>
      <c r="AB27" s="25">
        <v>0.2</v>
      </c>
      <c r="AC27" s="26">
        <v>0.2</v>
      </c>
      <c r="AD27" s="27">
        <v>0.2</v>
      </c>
      <c r="AE27" s="28">
        <v>0.2</v>
      </c>
      <c r="AF27" s="28">
        <v>0.2</v>
      </c>
    </row>
    <row r="28" spans="1:45" ht="15.75" thickBot="1" x14ac:dyDescent="0.3">
      <c r="A28" s="3"/>
      <c r="B28" s="3"/>
      <c r="C28" s="95" t="s">
        <v>102</v>
      </c>
      <c r="D28" s="74">
        <f t="shared" ref="D28:D33" si="1">+D17*$AB$27</f>
        <v>5.894461040075763E-2</v>
      </c>
      <c r="E28" s="74">
        <f t="shared" ref="E28:E33" si="2">+E17*$AC$27</f>
        <v>0.14643775259730005</v>
      </c>
      <c r="F28" s="74">
        <f>+F17*$AD$27</f>
        <v>3.5873118999737268E-2</v>
      </c>
      <c r="G28" s="74">
        <f t="shared" ref="G28:G33" si="3">+G17*$AE$27</f>
        <v>3.6701158591818973E-2</v>
      </c>
      <c r="H28" s="74">
        <f t="shared" ref="H28:H33" si="4">+H17*$AF$27</f>
        <v>6.3517693291405233E-2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99">
        <f t="shared" ref="V28:V33" si="5">+((D28-$D$40)^2+(E28-$E$40)^2+(F28-$F$40)^2+(G28-$G$40)^2+(H28-$H$40)^2+(I28-$I$40)^2+(J28-$J$40)^2+(K28-$K$40)^2+(L28-$L$40)^2+(M28-$M$40)^2+(N28-$N$40)^2+(O28-$O$40)^2+(P28-$P$40)^2+(Q28-$Q$40)^2+(R28-$R$40)^2+(S28-$S$40)^2+(T28-$T$40)^2+(U28-$U$40)^2)^0.5</f>
        <v>0.15521289244828046</v>
      </c>
      <c r="W28" s="100">
        <f t="shared" si="0"/>
        <v>0.18935457589602664</v>
      </c>
      <c r="X28" s="73">
        <f>+W28/(V28+W28)</f>
        <v>0.54954281321420384</v>
      </c>
      <c r="Y28" s="75">
        <f t="shared" ref="Y28:Y33" si="6">+RANK(X28,$X$27:$X$36)</f>
        <v>5</v>
      </c>
      <c r="Z28" s="75">
        <f t="shared" ref="Z28:Z33" si="7">+X28/MAX($X$27:$X$36)*100</f>
        <v>73.527831609323442</v>
      </c>
    </row>
    <row r="29" spans="1:45" ht="15.75" thickBot="1" x14ac:dyDescent="0.3">
      <c r="A29" s="3"/>
      <c r="B29" s="3"/>
      <c r="C29" s="95" t="s">
        <v>103</v>
      </c>
      <c r="D29" s="74">
        <f t="shared" si="1"/>
        <v>0.12178924669205232</v>
      </c>
      <c r="E29" s="74">
        <f t="shared" si="2"/>
        <v>8.1829930564814357E-2</v>
      </c>
      <c r="F29" s="74">
        <f t="shared" ref="F29:F33" si="8">+F18*$AD$27</f>
        <v>4.7167117444323121E-2</v>
      </c>
      <c r="G29" s="74">
        <f t="shared" si="3"/>
        <v>3.3779095159219723E-2</v>
      </c>
      <c r="H29" s="74">
        <f t="shared" si="4"/>
        <v>2.6572980852866253E-2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99">
        <f t="shared" si="5"/>
        <v>8.0654282167999067E-2</v>
      </c>
      <c r="W29" s="100">
        <f t="shared" si="0"/>
        <v>0.22756367832390681</v>
      </c>
      <c r="X29" s="73">
        <f t="shared" ref="X29:X33" si="9">+W29/(V29+W29)</f>
        <v>0.73832062856013503</v>
      </c>
      <c r="Y29" s="75">
        <f t="shared" si="6"/>
        <v>2</v>
      </c>
      <c r="Z29" s="75">
        <f t="shared" si="7"/>
        <v>98.785960884359923</v>
      </c>
    </row>
    <row r="30" spans="1:45" ht="15.75" thickBot="1" x14ac:dyDescent="0.3">
      <c r="A30" s="3"/>
      <c r="B30" s="3"/>
      <c r="C30" s="95" t="s">
        <v>104</v>
      </c>
      <c r="D30" s="74">
        <f t="shared" si="1"/>
        <v>9.0177570506770388E-2</v>
      </c>
      <c r="E30" s="74">
        <f t="shared" si="2"/>
        <v>4.8668732491026288E-2</v>
      </c>
      <c r="F30" s="74">
        <f t="shared" si="8"/>
        <v>5.8876378875125776E-3</v>
      </c>
      <c r="G30" s="74">
        <f t="shared" si="3"/>
        <v>0.11384488736039516</v>
      </c>
      <c r="H30" s="74">
        <f t="shared" si="4"/>
        <v>5.9705526899897714E-2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99">
        <f t="shared" si="5"/>
        <v>0.10838193821145864</v>
      </c>
      <c r="W30" s="100">
        <f t="shared" si="0"/>
        <v>0.21947825998172504</v>
      </c>
      <c r="X30" s="73">
        <f t="shared" si="9"/>
        <v>0.66942636279504353</v>
      </c>
      <c r="Y30" s="75">
        <f t="shared" si="6"/>
        <v>3</v>
      </c>
      <c r="Z30" s="75">
        <f t="shared" si="7"/>
        <v>89.568033090171653</v>
      </c>
    </row>
    <row r="31" spans="1:45" ht="15.75" thickBot="1" x14ac:dyDescent="0.3">
      <c r="A31" s="3"/>
      <c r="B31" s="3"/>
      <c r="C31" s="95" t="s">
        <v>105</v>
      </c>
      <c r="D31" s="74">
        <f t="shared" si="1"/>
        <v>2.7722947279252987E-2</v>
      </c>
      <c r="E31" s="74">
        <f t="shared" si="2"/>
        <v>4.1323738343633822E-2</v>
      </c>
      <c r="F31" s="74">
        <f t="shared" si="8"/>
        <v>0.17621780199145218</v>
      </c>
      <c r="G31" s="74">
        <f t="shared" si="3"/>
        <v>4.4879542375601121E-2</v>
      </c>
      <c r="H31" s="74">
        <f t="shared" si="4"/>
        <v>7.6042320551549747E-2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99">
        <f t="shared" si="5"/>
        <v>0.20395813652402522</v>
      </c>
      <c r="W31" s="100">
        <f t="shared" si="0"/>
        <v>0.1519452232471091</v>
      </c>
      <c r="X31" s="73">
        <f t="shared" si="9"/>
        <v>0.42692831937528869</v>
      </c>
      <c r="Y31" s="75">
        <f t="shared" si="6"/>
        <v>7</v>
      </c>
      <c r="Z31" s="75">
        <f t="shared" si="7"/>
        <v>57.122234740320202</v>
      </c>
    </row>
    <row r="32" spans="1:45" ht="15.75" thickBot="1" x14ac:dyDescent="0.3">
      <c r="A32" s="3"/>
      <c r="B32" s="3"/>
      <c r="C32" s="95" t="s">
        <v>106</v>
      </c>
      <c r="D32" s="74">
        <f t="shared" si="1"/>
        <v>4.1491392245866988E-2</v>
      </c>
      <c r="E32" s="74">
        <f t="shared" si="2"/>
        <v>1.3529017964649007E-2</v>
      </c>
      <c r="F32" s="74">
        <f t="shared" si="8"/>
        <v>4.9099671188802388E-2</v>
      </c>
      <c r="G32" s="74">
        <f t="shared" si="3"/>
        <v>0.14015010362895072</v>
      </c>
      <c r="H32" s="74">
        <f t="shared" si="4"/>
        <v>7.8243212411271898E-2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99">
        <f t="shared" si="5"/>
        <v>0.15785325513841558</v>
      </c>
      <c r="W32" s="100">
        <f t="shared" si="0"/>
        <v>0.19167816665772661</v>
      </c>
      <c r="X32" s="73">
        <f t="shared" si="9"/>
        <v>0.54838608120765575</v>
      </c>
      <c r="Y32" s="75">
        <f t="shared" si="6"/>
        <v>6</v>
      </c>
      <c r="Z32" s="75">
        <f t="shared" si="7"/>
        <v>73.373062965007776</v>
      </c>
    </row>
    <row r="33" spans="1:26" x14ac:dyDescent="0.25">
      <c r="A33" s="3"/>
      <c r="B33" s="3"/>
      <c r="C33" s="95" t="s">
        <v>107</v>
      </c>
      <c r="D33" s="74">
        <f t="shared" si="1"/>
        <v>4.5978781725275031E-2</v>
      </c>
      <c r="E33" s="74">
        <f t="shared" si="2"/>
        <v>6.8929712032337553E-2</v>
      </c>
      <c r="F33" s="74">
        <f t="shared" si="8"/>
        <v>3.3021188901488946E-2</v>
      </c>
      <c r="G33" s="74">
        <f t="shared" si="3"/>
        <v>2.2112770222092046E-2</v>
      </c>
      <c r="H33" s="74">
        <f t="shared" si="4"/>
        <v>0.13046579924931065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99">
        <f t="shared" si="5"/>
        <v>0.14264084550592521</v>
      </c>
      <c r="W33" s="100">
        <f t="shared" si="0"/>
        <v>0.20193774763965994</v>
      </c>
      <c r="X33" s="73">
        <f t="shared" si="9"/>
        <v>0.58604263775126864</v>
      </c>
      <c r="Y33" s="75">
        <f t="shared" si="6"/>
        <v>4</v>
      </c>
      <c r="Z33" s="75">
        <f t="shared" si="7"/>
        <v>78.411441926478247</v>
      </c>
    </row>
    <row r="34" spans="1:26" x14ac:dyDescent="0.25">
      <c r="A34" s="3"/>
      <c r="B34" s="3"/>
      <c r="C34" s="90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2"/>
      <c r="W34" s="73"/>
      <c r="X34" s="73"/>
      <c r="Y34" s="75"/>
      <c r="Z34" s="75"/>
    </row>
    <row r="35" spans="1:26" x14ac:dyDescent="0.25">
      <c r="A35" s="3"/>
      <c r="B35" s="3"/>
      <c r="C35" s="90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2"/>
      <c r="W35" s="73"/>
      <c r="X35" s="73"/>
      <c r="Y35" s="75"/>
      <c r="Z35" s="75"/>
    </row>
    <row r="36" spans="1:26" x14ac:dyDescent="0.25">
      <c r="A36" s="3"/>
      <c r="B36" s="3"/>
      <c r="C36" s="91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2"/>
      <c r="W36" s="73"/>
      <c r="X36" s="73"/>
      <c r="Y36" s="75"/>
      <c r="Z36" s="75"/>
    </row>
    <row r="37" spans="1:26" x14ac:dyDescent="0.25">
      <c r="A37" s="3"/>
      <c r="B37" s="3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71"/>
      <c r="W37" s="73"/>
      <c r="X37" s="73"/>
      <c r="Y37" s="73"/>
      <c r="Z37" s="73"/>
    </row>
    <row r="38" spans="1:26" x14ac:dyDescent="0.25">
      <c r="A38" s="3"/>
      <c r="B38" s="3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71"/>
      <c r="W38" s="17"/>
      <c r="X38" s="17"/>
      <c r="Y38" s="17"/>
      <c r="Z38" s="17"/>
    </row>
    <row r="39" spans="1:26" x14ac:dyDescent="0.25">
      <c r="A39" s="3"/>
      <c r="B39" s="3"/>
      <c r="C39" s="76" t="s">
        <v>77</v>
      </c>
      <c r="D39" s="77">
        <f>+MIN(D27:D36)</f>
        <v>2.7722947279252987E-2</v>
      </c>
      <c r="E39" s="77">
        <f>+MAX(E27:E36)</f>
        <v>0.14643775259730005</v>
      </c>
      <c r="F39" s="77">
        <f t="shared" ref="F39:H39" si="10">+MAX(F27:F36)</f>
        <v>0.17621780199145218</v>
      </c>
      <c r="G39" s="77">
        <f t="shared" si="10"/>
        <v>0.14015010362895072</v>
      </c>
      <c r="H39" s="77">
        <f t="shared" si="10"/>
        <v>0.13046579924931065</v>
      </c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1"/>
      <c r="X39" s="17"/>
      <c r="Y39" s="17"/>
      <c r="Z39" s="17"/>
    </row>
    <row r="40" spans="1:26" x14ac:dyDescent="0.25">
      <c r="A40" s="3"/>
      <c r="B40" s="3"/>
      <c r="C40" s="76" t="s">
        <v>76</v>
      </c>
      <c r="D40" s="77">
        <f>+MAX(D27:D36)</f>
        <v>0.12178924669205232</v>
      </c>
      <c r="E40" s="77">
        <f>+MIN(E27:E36)</f>
        <v>1.3529017964649007E-2</v>
      </c>
      <c r="F40" s="77">
        <f t="shared" ref="F40:H40" si="11">+MIN(F27:F36)</f>
        <v>5.8876378875125776E-3</v>
      </c>
      <c r="G40" s="77">
        <f t="shared" si="11"/>
        <v>2.2112770222092046E-2</v>
      </c>
      <c r="H40" s="77">
        <f t="shared" si="11"/>
        <v>2.6572980852866253E-2</v>
      </c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1"/>
      <c r="X40" s="17"/>
      <c r="Y40" s="17"/>
      <c r="Z40" s="17"/>
    </row>
    <row r="41" spans="1:26" x14ac:dyDescent="0.25">
      <c r="A41" s="3"/>
      <c r="B41" s="3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71"/>
      <c r="X41" s="17"/>
      <c r="Y41" s="17"/>
      <c r="Z41" s="17"/>
    </row>
    <row r="42" spans="1:26" x14ac:dyDescent="0.25">
      <c r="A42" s="3"/>
      <c r="B42" s="3"/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71"/>
      <c r="X42" s="17"/>
      <c r="Y42" s="17"/>
      <c r="Z42" s="17"/>
    </row>
    <row r="43" spans="1:26" x14ac:dyDescent="0.25">
      <c r="A43" s="3"/>
      <c r="B43" s="3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71"/>
      <c r="X43" s="17"/>
      <c r="Y43" s="17"/>
      <c r="Z43" s="17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0A65-4832-48B6-9EB3-8E989CDBD303}">
  <dimension ref="A1:BA139"/>
  <sheetViews>
    <sheetView workbookViewId="0">
      <selection activeCell="C4" sqref="C4:C10"/>
    </sheetView>
  </sheetViews>
  <sheetFormatPr defaultRowHeight="15" x14ac:dyDescent="0.25"/>
  <cols>
    <col min="1" max="2" width="2.85546875" style="1" customWidth="1"/>
    <col min="3" max="3" width="30.5703125" style="3" customWidth="1"/>
    <col min="4" max="4" width="7.28515625" style="3" customWidth="1"/>
    <col min="5" max="21" width="5.5703125" style="3" customWidth="1"/>
    <col min="22" max="22" width="11" style="2" customWidth="1"/>
    <col min="23" max="23" width="10" style="3" customWidth="1"/>
    <col min="24" max="24" width="25.28515625" style="3" customWidth="1"/>
    <col min="25" max="25" width="9.140625" style="3" customWidth="1"/>
    <col min="26" max="31" width="9.140625" style="3"/>
    <col min="32" max="32" width="8.85546875" style="3" customWidth="1"/>
    <col min="33" max="16384" width="9.140625" style="3"/>
  </cols>
  <sheetData>
    <row r="1" spans="1:24" s="1" customFormat="1" ht="7.5" customHeight="1" thickBot="1" x14ac:dyDescent="0.3">
      <c r="S1" s="3"/>
      <c r="T1" s="3"/>
      <c r="U1" s="3"/>
      <c r="V1" s="2"/>
      <c r="W1" s="3"/>
    </row>
    <row r="2" spans="1:24" ht="13.5" customHeight="1" thickBot="1" x14ac:dyDescent="0.3">
      <c r="C2" s="102" t="s">
        <v>0</v>
      </c>
      <c r="D2" s="4"/>
      <c r="E2" s="4"/>
      <c r="F2" s="4"/>
      <c r="G2" s="4"/>
      <c r="H2" s="5" t="s">
        <v>1</v>
      </c>
      <c r="I2" s="4"/>
      <c r="J2" s="4"/>
      <c r="K2" s="4"/>
      <c r="L2" s="4"/>
      <c r="M2" s="4"/>
      <c r="N2" s="4"/>
      <c r="O2" s="4"/>
      <c r="P2" s="4"/>
      <c r="Q2" s="4"/>
      <c r="R2" s="4"/>
      <c r="S2" s="98"/>
      <c r="T2" s="98"/>
      <c r="U2" s="98"/>
      <c r="V2" s="6"/>
      <c r="W2" s="6"/>
    </row>
    <row r="3" spans="1:24" ht="15.75" customHeight="1" thickBot="1" x14ac:dyDescent="0.3">
      <c r="C3" s="102"/>
      <c r="D3" s="104" t="s">
        <v>108</v>
      </c>
      <c r="E3" s="105"/>
      <c r="F3" s="106"/>
      <c r="G3" s="107" t="s">
        <v>109</v>
      </c>
      <c r="H3" s="108"/>
      <c r="I3" s="109"/>
      <c r="J3" s="110" t="s">
        <v>110</v>
      </c>
      <c r="K3" s="111"/>
      <c r="L3" s="112"/>
      <c r="M3" s="113" t="s">
        <v>111</v>
      </c>
      <c r="N3" s="113"/>
      <c r="O3" s="113"/>
      <c r="P3" s="103" t="s">
        <v>112</v>
      </c>
      <c r="Q3" s="103"/>
      <c r="R3" s="103"/>
      <c r="S3" s="101"/>
      <c r="T3" s="101"/>
      <c r="U3" s="101"/>
      <c r="V3" s="7"/>
      <c r="W3" s="8"/>
    </row>
    <row r="4" spans="1:24" s="1" customFormat="1" ht="15.75" thickBot="1" x14ac:dyDescent="0.3">
      <c r="C4" s="95" t="s">
        <v>101</v>
      </c>
      <c r="D4" s="9">
        <v>6</v>
      </c>
      <c r="E4" s="9">
        <v>3</v>
      </c>
      <c r="F4" s="9">
        <v>3.3333333333333335</v>
      </c>
      <c r="G4" s="9">
        <v>0.33333333333333331</v>
      </c>
      <c r="H4" s="9">
        <v>2</v>
      </c>
      <c r="I4" s="9">
        <v>1.6666666666666667</v>
      </c>
      <c r="J4" s="9">
        <v>1</v>
      </c>
      <c r="K4" s="9">
        <v>1</v>
      </c>
      <c r="L4" s="9">
        <v>1</v>
      </c>
      <c r="M4" s="9">
        <v>1.3333333333333333</v>
      </c>
      <c r="N4" s="9">
        <v>0.66666666666666663</v>
      </c>
      <c r="O4" s="9">
        <v>1.6666666666666667</v>
      </c>
      <c r="P4" s="9">
        <v>1</v>
      </c>
      <c r="Q4" s="9">
        <v>1</v>
      </c>
      <c r="R4" s="9">
        <v>3</v>
      </c>
      <c r="S4" s="88"/>
      <c r="T4" s="88"/>
      <c r="U4" s="88"/>
      <c r="V4" s="10">
        <f t="shared" ref="V4:V13" si="0">SUM(D4:U4)</f>
        <v>28.000000000000004</v>
      </c>
      <c r="W4" s="11">
        <f t="shared" ref="W4:W13" si="1">V4/$V$14</f>
        <v>1.4709745206199105</v>
      </c>
      <c r="X4" s="12"/>
    </row>
    <row r="5" spans="1:24" s="1" customFormat="1" ht="15.75" thickBot="1" x14ac:dyDescent="0.3">
      <c r="C5" s="95" t="s">
        <v>102</v>
      </c>
      <c r="D5" s="9">
        <v>4.75</v>
      </c>
      <c r="E5" s="9">
        <v>0.75</v>
      </c>
      <c r="F5" s="9">
        <v>1.5</v>
      </c>
      <c r="G5" s="9">
        <v>5</v>
      </c>
      <c r="H5" s="9">
        <v>2.5</v>
      </c>
      <c r="I5" s="9">
        <v>2.5</v>
      </c>
      <c r="J5" s="9">
        <v>0.25</v>
      </c>
      <c r="K5" s="9">
        <v>1</v>
      </c>
      <c r="L5" s="9">
        <v>1</v>
      </c>
      <c r="M5" s="9">
        <v>1.25</v>
      </c>
      <c r="N5" s="9">
        <v>0.5</v>
      </c>
      <c r="O5" s="9">
        <v>0.75</v>
      </c>
      <c r="P5" s="9">
        <v>0.75</v>
      </c>
      <c r="Q5" s="9">
        <v>0.75</v>
      </c>
      <c r="R5" s="9">
        <v>4</v>
      </c>
      <c r="S5" s="88"/>
      <c r="T5" s="88"/>
      <c r="U5" s="88"/>
      <c r="V5" s="10">
        <f t="shared" si="0"/>
        <v>27.25</v>
      </c>
      <c r="W5" s="13">
        <f t="shared" si="1"/>
        <v>1.43157341738902</v>
      </c>
      <c r="X5" s="12"/>
    </row>
    <row r="6" spans="1:24" s="1" customFormat="1" ht="15.75" thickBot="1" x14ac:dyDescent="0.3">
      <c r="C6" s="95" t="s">
        <v>103</v>
      </c>
      <c r="D6" s="9">
        <v>6</v>
      </c>
      <c r="E6" s="9">
        <v>3.3333333333333335</v>
      </c>
      <c r="F6" s="9">
        <v>5.333333333333333</v>
      </c>
      <c r="G6" s="9">
        <v>0.33333333333333331</v>
      </c>
      <c r="H6" s="9">
        <v>4</v>
      </c>
      <c r="I6" s="9">
        <v>1.3333333333333333</v>
      </c>
      <c r="J6" s="9">
        <v>0.33333333333333331</v>
      </c>
      <c r="K6" s="9">
        <v>0.66666666666666663</v>
      </c>
      <c r="L6" s="9">
        <v>2</v>
      </c>
      <c r="M6" s="9">
        <v>0.66666666666666663</v>
      </c>
      <c r="N6" s="9" t="s">
        <v>80</v>
      </c>
      <c r="O6" s="9">
        <v>1.6666666666666667</v>
      </c>
      <c r="P6" s="9">
        <v>0.66666666666666663</v>
      </c>
      <c r="Q6" s="9">
        <v>0.66666666666666663</v>
      </c>
      <c r="R6" s="9">
        <v>1</v>
      </c>
      <c r="S6" s="88"/>
      <c r="T6" s="88"/>
      <c r="U6" s="88"/>
      <c r="V6" s="10">
        <f t="shared" si="0"/>
        <v>28.000000000000004</v>
      </c>
      <c r="W6" s="13">
        <f t="shared" si="1"/>
        <v>1.4709745206199105</v>
      </c>
      <c r="X6" s="12"/>
    </row>
    <row r="7" spans="1:24" s="1" customFormat="1" ht="15.75" thickBot="1" x14ac:dyDescent="0.3">
      <c r="C7" s="95" t="s">
        <v>104</v>
      </c>
      <c r="D7" s="9">
        <v>2.6666666666666665</v>
      </c>
      <c r="E7" s="9">
        <v>4.666666666666667</v>
      </c>
      <c r="F7" s="9">
        <v>2.3333333333333335</v>
      </c>
      <c r="G7" s="9">
        <v>0.33333333333333331</v>
      </c>
      <c r="H7" s="9">
        <v>2.6666666666666665</v>
      </c>
      <c r="I7" s="9" t="s">
        <v>80</v>
      </c>
      <c r="J7" s="9" t="s">
        <v>80</v>
      </c>
      <c r="K7" s="9" t="s">
        <v>80</v>
      </c>
      <c r="L7" s="9">
        <v>0.33333333333333331</v>
      </c>
      <c r="M7" s="9">
        <v>2.6666666666666665</v>
      </c>
      <c r="N7" s="9">
        <v>0.66666666666666663</v>
      </c>
      <c r="O7" s="9">
        <v>3.6666666666666665</v>
      </c>
      <c r="P7" s="9">
        <v>0.66666666666666663</v>
      </c>
      <c r="Q7" s="9">
        <v>1</v>
      </c>
      <c r="R7" s="9">
        <v>3</v>
      </c>
      <c r="S7" s="88"/>
      <c r="T7" s="88"/>
      <c r="U7" s="88"/>
      <c r="V7" s="10">
        <f t="shared" si="0"/>
        <v>24.666666666666671</v>
      </c>
      <c r="W7" s="13">
        <f t="shared" si="1"/>
        <v>1.2958585062603976</v>
      </c>
      <c r="X7" s="12"/>
    </row>
    <row r="8" spans="1:24" s="1" customFormat="1" ht="15.75" thickBot="1" x14ac:dyDescent="0.3">
      <c r="C8" s="95" t="s">
        <v>105</v>
      </c>
      <c r="D8" s="9">
        <v>2.5</v>
      </c>
      <c r="E8" s="9">
        <v>0.25</v>
      </c>
      <c r="F8" s="9">
        <v>0.75</v>
      </c>
      <c r="G8" s="9">
        <v>0.5</v>
      </c>
      <c r="H8" s="9">
        <v>1.5</v>
      </c>
      <c r="I8" s="9">
        <v>1</v>
      </c>
      <c r="J8" s="9">
        <v>3.5</v>
      </c>
      <c r="K8" s="9">
        <v>5.5</v>
      </c>
      <c r="L8" s="9">
        <v>2.75</v>
      </c>
      <c r="M8" s="9">
        <v>1.5</v>
      </c>
      <c r="N8" s="9">
        <v>1.5</v>
      </c>
      <c r="O8" s="9">
        <v>0.25</v>
      </c>
      <c r="P8" s="9">
        <v>1.75</v>
      </c>
      <c r="Q8" s="9">
        <v>3.25</v>
      </c>
      <c r="R8" s="9">
        <v>2</v>
      </c>
      <c r="S8" s="88"/>
      <c r="T8" s="88"/>
      <c r="U8" s="88"/>
      <c r="V8" s="10">
        <f t="shared" si="0"/>
        <v>28.5</v>
      </c>
      <c r="W8" s="13">
        <f t="shared" si="1"/>
        <v>1.4972419227738374</v>
      </c>
      <c r="X8" s="12"/>
    </row>
    <row r="9" spans="1:24" s="1" customFormat="1" ht="15.75" thickBot="1" x14ac:dyDescent="0.3">
      <c r="C9" s="95" t="s">
        <v>106</v>
      </c>
      <c r="D9" s="9">
        <v>2</v>
      </c>
      <c r="E9" s="9">
        <v>2</v>
      </c>
      <c r="F9" s="9">
        <v>1.3333333333333333</v>
      </c>
      <c r="G9" s="9" t="s">
        <v>80</v>
      </c>
      <c r="H9" s="9">
        <v>0.66666666666666663</v>
      </c>
      <c r="I9" s="9">
        <v>0.33333333333333331</v>
      </c>
      <c r="J9" s="9">
        <v>1.6666666666666667</v>
      </c>
      <c r="K9" s="9">
        <v>0.33333333333333331</v>
      </c>
      <c r="L9" s="9">
        <v>1.3333333333333333</v>
      </c>
      <c r="M9" s="9">
        <v>4.333333333333333</v>
      </c>
      <c r="N9" s="9">
        <v>4</v>
      </c>
      <c r="O9" s="9">
        <v>2</v>
      </c>
      <c r="P9" s="9">
        <v>3.3333333333333335</v>
      </c>
      <c r="Q9" s="9">
        <v>2</v>
      </c>
      <c r="R9" s="9">
        <v>2</v>
      </c>
      <c r="S9" s="88"/>
      <c r="T9" s="88"/>
      <c r="U9" s="88"/>
      <c r="V9" s="10">
        <f t="shared" si="0"/>
        <v>27.333333333333332</v>
      </c>
      <c r="W9" s="13">
        <f t="shared" si="1"/>
        <v>1.4359513177480077</v>
      </c>
      <c r="X9" s="12"/>
    </row>
    <row r="10" spans="1:24" s="1" customFormat="1" x14ac:dyDescent="0.25">
      <c r="C10" s="95" t="s">
        <v>107</v>
      </c>
      <c r="D10" s="9">
        <v>3.8</v>
      </c>
      <c r="E10" s="9">
        <v>0.8</v>
      </c>
      <c r="F10" s="9">
        <v>1.2</v>
      </c>
      <c r="G10" s="9">
        <v>1.2</v>
      </c>
      <c r="H10" s="9">
        <v>2.6</v>
      </c>
      <c r="I10" s="9">
        <v>1.2</v>
      </c>
      <c r="J10" s="9">
        <v>0.8</v>
      </c>
      <c r="K10" s="9">
        <v>0.8</v>
      </c>
      <c r="L10" s="9">
        <v>0.6</v>
      </c>
      <c r="M10" s="9">
        <v>1.2</v>
      </c>
      <c r="N10" s="9">
        <v>0.2</v>
      </c>
      <c r="O10" s="9">
        <v>0.2</v>
      </c>
      <c r="P10" s="9">
        <v>4.2</v>
      </c>
      <c r="Q10" s="9">
        <v>4.2</v>
      </c>
      <c r="R10" s="9">
        <v>3.6</v>
      </c>
      <c r="S10" s="88"/>
      <c r="T10" s="88"/>
      <c r="U10" s="88"/>
      <c r="V10" s="10">
        <f t="shared" si="0"/>
        <v>26.599999999999998</v>
      </c>
      <c r="W10" s="13">
        <f t="shared" si="1"/>
        <v>1.3974257945889148</v>
      </c>
      <c r="X10" s="12"/>
    </row>
    <row r="11" spans="1:24" s="1" customFormat="1" x14ac:dyDescent="0.25">
      <c r="C11" s="87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10">
        <f t="shared" si="0"/>
        <v>0</v>
      </c>
      <c r="W11" s="13">
        <f t="shared" si="1"/>
        <v>0</v>
      </c>
      <c r="X11" s="12"/>
    </row>
    <row r="12" spans="1:24" s="1" customFormat="1" x14ac:dyDescent="0.25">
      <c r="C12" s="87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10">
        <f t="shared" si="0"/>
        <v>0</v>
      </c>
      <c r="W12" s="13">
        <f t="shared" si="1"/>
        <v>0</v>
      </c>
      <c r="X12" s="12"/>
    </row>
    <row r="13" spans="1:24" s="1" customFormat="1" x14ac:dyDescent="0.25">
      <c r="C13" s="8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10">
        <f t="shared" si="0"/>
        <v>0</v>
      </c>
      <c r="W13" s="13">
        <f t="shared" si="1"/>
        <v>0</v>
      </c>
      <c r="X13" s="12"/>
    </row>
    <row r="14" spans="1:24" x14ac:dyDescent="0.25">
      <c r="A14" s="3"/>
      <c r="V14" s="14">
        <f>+AVERAGE(V13,V12,V11,V10,V9,V8,V7,V6,V5,V4)</f>
        <v>19.035000000000004</v>
      </c>
      <c r="W14" s="3">
        <v>1</v>
      </c>
      <c r="X14" s="3">
        <f>_xlfn.STDEV.P(W5:W13)</f>
        <v>0.67216142898868103</v>
      </c>
    </row>
    <row r="15" spans="1:24" x14ac:dyDescent="0.25">
      <c r="A15" s="3"/>
      <c r="V15" s="14"/>
    </row>
    <row r="16" spans="1:24" x14ac:dyDescent="0.25">
      <c r="A16" s="3"/>
      <c r="D16" s="89" t="s">
        <v>19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14" t="s">
        <v>93</v>
      </c>
      <c r="X16" s="30" t="s">
        <v>10</v>
      </c>
    </row>
    <row r="17" spans="1:30" x14ac:dyDescent="0.25">
      <c r="A17" s="3"/>
      <c r="D17" s="89">
        <f t="shared" ref="D17:O17" si="2">1/3</f>
        <v>0.33333333333333331</v>
      </c>
      <c r="E17" s="89">
        <f t="shared" si="2"/>
        <v>0.33333333333333331</v>
      </c>
      <c r="F17" s="89">
        <f t="shared" si="2"/>
        <v>0.33333333333333331</v>
      </c>
      <c r="G17" s="89">
        <f t="shared" si="2"/>
        <v>0.33333333333333331</v>
      </c>
      <c r="H17" s="89">
        <f t="shared" si="2"/>
        <v>0.33333333333333331</v>
      </c>
      <c r="I17" s="89">
        <f t="shared" si="2"/>
        <v>0.33333333333333331</v>
      </c>
      <c r="J17" s="89">
        <f t="shared" si="2"/>
        <v>0.33333333333333331</v>
      </c>
      <c r="K17" s="89">
        <f t="shared" si="2"/>
        <v>0.33333333333333331</v>
      </c>
      <c r="L17" s="89">
        <f t="shared" si="2"/>
        <v>0.33333333333333331</v>
      </c>
      <c r="M17" s="89">
        <f t="shared" si="2"/>
        <v>0.33333333333333331</v>
      </c>
      <c r="N17" s="89">
        <f t="shared" si="2"/>
        <v>0.33333333333333331</v>
      </c>
      <c r="O17" s="89">
        <f t="shared" si="2"/>
        <v>0.33333333333333331</v>
      </c>
      <c r="P17" s="89">
        <f>1/3</f>
        <v>0.33333333333333331</v>
      </c>
      <c r="Q17" s="89">
        <f t="shared" ref="Q17:R17" si="3">1/3</f>
        <v>0.33333333333333331</v>
      </c>
      <c r="R17" s="89">
        <f t="shared" si="3"/>
        <v>0.33333333333333331</v>
      </c>
      <c r="S17" s="89"/>
      <c r="T17" s="89"/>
      <c r="U17" s="89"/>
      <c r="V17" s="14"/>
    </row>
    <row r="18" spans="1:30" ht="15.75" thickBot="1" x14ac:dyDescent="0.3">
      <c r="A18" s="3"/>
      <c r="V18" s="14"/>
    </row>
    <row r="19" spans="1:30" ht="15.75" thickBot="1" x14ac:dyDescent="0.3">
      <c r="A19" s="3"/>
      <c r="C19" s="95" t="s">
        <v>101</v>
      </c>
      <c r="D19" s="3">
        <f>+D4*$D$17</f>
        <v>2</v>
      </c>
      <c r="E19" s="3">
        <f>+E4*$E$17</f>
        <v>1</v>
      </c>
      <c r="F19" s="3">
        <f>+F4*$F$17</f>
        <v>1.1111111111111112</v>
      </c>
      <c r="G19" s="3">
        <f>+G4*$G$17</f>
        <v>0.1111111111111111</v>
      </c>
      <c r="H19" s="3">
        <f>+H4*$H$17</f>
        <v>0.66666666666666663</v>
      </c>
      <c r="I19" s="3">
        <f>+I4*$I$17</f>
        <v>0.55555555555555558</v>
      </c>
      <c r="J19" s="3">
        <f>+J4*$J$17</f>
        <v>0.33333333333333331</v>
      </c>
      <c r="K19" s="3">
        <f>+K4*$K$17</f>
        <v>0.33333333333333331</v>
      </c>
      <c r="L19" s="3">
        <f>+L4*$L$17</f>
        <v>0.33333333333333331</v>
      </c>
      <c r="M19" s="3">
        <f>+M4*$M$17</f>
        <v>0.44444444444444442</v>
      </c>
      <c r="N19" s="3">
        <f>+N4*$N$17</f>
        <v>0.22222222222222221</v>
      </c>
      <c r="O19" s="3">
        <f>+O4*$O$17</f>
        <v>0.55555555555555558</v>
      </c>
      <c r="P19" s="3">
        <f>+P4*$P$17</f>
        <v>0.33333333333333331</v>
      </c>
      <c r="Q19" s="3">
        <f>+Q4*$Q$17</f>
        <v>0.33333333333333331</v>
      </c>
      <c r="R19" s="3">
        <f>+R4*$R$17</f>
        <v>1</v>
      </c>
      <c r="V19" s="14">
        <f>+SUM(D19:U19)</f>
        <v>9.3333333333333321</v>
      </c>
      <c r="X19" s="3">
        <f>$V$26/V19</f>
        <v>0.97117346938775506</v>
      </c>
    </row>
    <row r="20" spans="1:30" ht="15.75" thickBot="1" x14ac:dyDescent="0.3">
      <c r="A20" s="3"/>
      <c r="C20" s="95" t="s">
        <v>102</v>
      </c>
      <c r="D20" s="3">
        <f t="shared" ref="D20:D25" si="4">+D5*$D$17</f>
        <v>1.5833333333333333</v>
      </c>
      <c r="E20" s="3">
        <f t="shared" ref="E20:E25" si="5">+E5*$E$17</f>
        <v>0.25</v>
      </c>
      <c r="F20" s="3">
        <f t="shared" ref="F20:F25" si="6">+F5*$F$17</f>
        <v>0.5</v>
      </c>
      <c r="G20" s="3">
        <f t="shared" ref="G20:G25" si="7">+G5*$G$17</f>
        <v>1.6666666666666665</v>
      </c>
      <c r="H20" s="3">
        <f t="shared" ref="H20:H25" si="8">+H5*$H$17</f>
        <v>0.83333333333333326</v>
      </c>
      <c r="I20" s="3">
        <f t="shared" ref="I20:I25" si="9">+I5*$I$17</f>
        <v>0.83333333333333326</v>
      </c>
      <c r="J20" s="3">
        <f t="shared" ref="J20:J25" si="10">+J5*$J$17</f>
        <v>8.3333333333333329E-2</v>
      </c>
      <c r="K20" s="3">
        <f t="shared" ref="K20:K25" si="11">+K5*$K$17</f>
        <v>0.33333333333333331</v>
      </c>
      <c r="L20" s="3">
        <f t="shared" ref="L20:L25" si="12">+L5*$L$17</f>
        <v>0.33333333333333331</v>
      </c>
      <c r="M20" s="3">
        <f t="shared" ref="M20:M25" si="13">+M5*$M$17</f>
        <v>0.41666666666666663</v>
      </c>
      <c r="N20" s="3">
        <f t="shared" ref="N20:N25" si="14">+N5*$N$17</f>
        <v>0.16666666666666666</v>
      </c>
      <c r="O20" s="3">
        <f t="shared" ref="O20:O25" si="15">+O5*$O$17</f>
        <v>0.25</v>
      </c>
      <c r="P20" s="3">
        <f t="shared" ref="P20:P25" si="16">+P5*$P$17</f>
        <v>0.25</v>
      </c>
      <c r="Q20" s="3">
        <f t="shared" ref="Q20:Q25" si="17">+Q5*$Q$17</f>
        <v>0.25</v>
      </c>
      <c r="R20" s="3">
        <f t="shared" ref="R20:R25" si="18">+R5*$R$17</f>
        <v>1.3333333333333333</v>
      </c>
      <c r="V20" s="14">
        <f t="shared" ref="V20:V25" si="19">+SUM(D20:U20)</f>
        <v>9.0833333333333321</v>
      </c>
      <c r="X20" s="3">
        <f t="shared" ref="X20:X25" si="20">$V$26/V20</f>
        <v>0.99790301441677587</v>
      </c>
    </row>
    <row r="21" spans="1:30" ht="15.75" thickBot="1" x14ac:dyDescent="0.3">
      <c r="A21" s="3"/>
      <c r="C21" s="95" t="s">
        <v>103</v>
      </c>
      <c r="D21" s="3">
        <f t="shared" si="4"/>
        <v>2</v>
      </c>
      <c r="E21" s="3">
        <f t="shared" si="5"/>
        <v>1.1111111111111112</v>
      </c>
      <c r="F21" s="3">
        <f t="shared" si="6"/>
        <v>1.7777777777777777</v>
      </c>
      <c r="G21" s="3">
        <f t="shared" si="7"/>
        <v>0.1111111111111111</v>
      </c>
      <c r="H21" s="3">
        <f t="shared" si="8"/>
        <v>1.3333333333333333</v>
      </c>
      <c r="I21" s="3">
        <f t="shared" si="9"/>
        <v>0.44444444444444442</v>
      </c>
      <c r="J21" s="3">
        <f t="shared" si="10"/>
        <v>0.1111111111111111</v>
      </c>
      <c r="K21" s="3">
        <f t="shared" si="11"/>
        <v>0.22222222222222221</v>
      </c>
      <c r="L21" s="3">
        <f t="shared" si="12"/>
        <v>0.66666666666666663</v>
      </c>
      <c r="M21" s="3">
        <f t="shared" si="13"/>
        <v>0.22222222222222221</v>
      </c>
      <c r="O21" s="3">
        <f t="shared" si="15"/>
        <v>0.55555555555555558</v>
      </c>
      <c r="P21" s="3">
        <f t="shared" si="16"/>
        <v>0.22222222222222221</v>
      </c>
      <c r="Q21" s="3">
        <f t="shared" si="17"/>
        <v>0.22222222222222221</v>
      </c>
      <c r="R21" s="3">
        <f t="shared" si="18"/>
        <v>0.33333333333333331</v>
      </c>
      <c r="V21" s="14">
        <f t="shared" si="19"/>
        <v>9.3333333333333321</v>
      </c>
      <c r="X21" s="3">
        <f t="shared" si="20"/>
        <v>0.97117346938775506</v>
      </c>
    </row>
    <row r="22" spans="1:30" ht="15.75" thickBot="1" x14ac:dyDescent="0.3">
      <c r="A22" s="3"/>
      <c r="C22" s="95" t="s">
        <v>104</v>
      </c>
      <c r="D22" s="3">
        <f t="shared" si="4"/>
        <v>0.88888888888888884</v>
      </c>
      <c r="E22" s="3">
        <f t="shared" si="5"/>
        <v>1.5555555555555556</v>
      </c>
      <c r="F22" s="3">
        <f t="shared" si="6"/>
        <v>0.77777777777777779</v>
      </c>
      <c r="G22" s="3">
        <f t="shared" si="7"/>
        <v>0.1111111111111111</v>
      </c>
      <c r="H22" s="3">
        <f t="shared" si="8"/>
        <v>0.88888888888888884</v>
      </c>
      <c r="L22" s="3">
        <f t="shared" si="12"/>
        <v>0.1111111111111111</v>
      </c>
      <c r="M22" s="3">
        <f t="shared" si="13"/>
        <v>0.88888888888888884</v>
      </c>
      <c r="N22" s="3">
        <f t="shared" si="14"/>
        <v>0.22222222222222221</v>
      </c>
      <c r="O22" s="3">
        <f t="shared" si="15"/>
        <v>1.2222222222222221</v>
      </c>
      <c r="P22" s="3">
        <f t="shared" si="16"/>
        <v>0.22222222222222221</v>
      </c>
      <c r="Q22" s="3">
        <f t="shared" si="17"/>
        <v>0.33333333333333331</v>
      </c>
      <c r="R22" s="3">
        <f t="shared" si="18"/>
        <v>1</v>
      </c>
      <c r="V22" s="14">
        <f t="shared" si="19"/>
        <v>8.2222222222222214</v>
      </c>
      <c r="X22" s="3">
        <f t="shared" si="20"/>
        <v>1.1024131274131275</v>
      </c>
    </row>
    <row r="23" spans="1:30" ht="15.75" thickBot="1" x14ac:dyDescent="0.3">
      <c r="A23" s="3"/>
      <c r="C23" s="95" t="s">
        <v>105</v>
      </c>
      <c r="D23" s="3">
        <f t="shared" si="4"/>
        <v>0.83333333333333326</v>
      </c>
      <c r="E23" s="3">
        <f t="shared" si="5"/>
        <v>8.3333333333333329E-2</v>
      </c>
      <c r="F23" s="3">
        <f t="shared" si="6"/>
        <v>0.25</v>
      </c>
      <c r="G23" s="3">
        <f t="shared" si="7"/>
        <v>0.16666666666666666</v>
      </c>
      <c r="H23" s="3">
        <f t="shared" si="8"/>
        <v>0.5</v>
      </c>
      <c r="I23" s="3">
        <f t="shared" si="9"/>
        <v>0.33333333333333331</v>
      </c>
      <c r="J23" s="3">
        <f t="shared" si="10"/>
        <v>1.1666666666666665</v>
      </c>
      <c r="K23" s="3">
        <f t="shared" si="11"/>
        <v>1.8333333333333333</v>
      </c>
      <c r="L23" s="3">
        <f t="shared" si="12"/>
        <v>0.91666666666666663</v>
      </c>
      <c r="M23" s="3">
        <f t="shared" si="13"/>
        <v>0.5</v>
      </c>
      <c r="N23" s="3">
        <f t="shared" si="14"/>
        <v>0.5</v>
      </c>
      <c r="O23" s="3">
        <f t="shared" si="15"/>
        <v>8.3333333333333329E-2</v>
      </c>
      <c r="P23" s="3">
        <f t="shared" si="16"/>
        <v>0.58333333333333326</v>
      </c>
      <c r="Q23" s="3">
        <f t="shared" si="17"/>
        <v>1.0833333333333333</v>
      </c>
      <c r="R23" s="3">
        <f t="shared" si="18"/>
        <v>0.66666666666666663</v>
      </c>
      <c r="V23" s="14">
        <f t="shared" si="19"/>
        <v>9.4999999999999982</v>
      </c>
      <c r="X23" s="3">
        <f t="shared" si="20"/>
        <v>0.95413533834586473</v>
      </c>
    </row>
    <row r="24" spans="1:30" ht="15.75" thickBot="1" x14ac:dyDescent="0.3">
      <c r="A24" s="3"/>
      <c r="C24" s="95" t="s">
        <v>106</v>
      </c>
      <c r="D24" s="3">
        <f t="shared" si="4"/>
        <v>0.66666666666666663</v>
      </c>
      <c r="E24" s="3">
        <f t="shared" si="5"/>
        <v>0.66666666666666663</v>
      </c>
      <c r="F24" s="3">
        <f t="shared" si="6"/>
        <v>0.44444444444444442</v>
      </c>
      <c r="H24" s="3">
        <f t="shared" si="8"/>
        <v>0.22222222222222221</v>
      </c>
      <c r="I24" s="3">
        <f t="shared" si="9"/>
        <v>0.1111111111111111</v>
      </c>
      <c r="J24" s="3">
        <f t="shared" si="10"/>
        <v>0.55555555555555558</v>
      </c>
      <c r="K24" s="3">
        <f t="shared" si="11"/>
        <v>0.1111111111111111</v>
      </c>
      <c r="L24" s="3">
        <f t="shared" si="12"/>
        <v>0.44444444444444442</v>
      </c>
      <c r="M24" s="3">
        <f t="shared" si="13"/>
        <v>1.4444444444444442</v>
      </c>
      <c r="N24" s="3">
        <f t="shared" si="14"/>
        <v>1.3333333333333333</v>
      </c>
      <c r="O24" s="3">
        <f t="shared" si="15"/>
        <v>0.66666666666666663</v>
      </c>
      <c r="P24" s="3">
        <f t="shared" si="16"/>
        <v>1.1111111111111112</v>
      </c>
      <c r="Q24" s="3">
        <f t="shared" si="17"/>
        <v>0.66666666666666663</v>
      </c>
      <c r="R24" s="3">
        <f t="shared" si="18"/>
        <v>0.66666666666666663</v>
      </c>
      <c r="V24" s="14">
        <f t="shared" si="19"/>
        <v>9.1111111111111089</v>
      </c>
      <c r="X24" s="3">
        <f t="shared" si="20"/>
        <v>0.99486062717770052</v>
      </c>
    </row>
    <row r="25" spans="1:30" x14ac:dyDescent="0.25">
      <c r="A25" s="3"/>
      <c r="C25" s="95" t="s">
        <v>107</v>
      </c>
      <c r="D25" s="3">
        <f t="shared" si="4"/>
        <v>1.2666666666666666</v>
      </c>
      <c r="E25" s="3">
        <f t="shared" si="5"/>
        <v>0.26666666666666666</v>
      </c>
      <c r="F25" s="3">
        <f t="shared" si="6"/>
        <v>0.39999999999999997</v>
      </c>
      <c r="G25" s="3">
        <f t="shared" si="7"/>
        <v>0.39999999999999997</v>
      </c>
      <c r="H25" s="3">
        <f t="shared" si="8"/>
        <v>0.8666666666666667</v>
      </c>
      <c r="I25" s="3">
        <f t="shared" si="9"/>
        <v>0.39999999999999997</v>
      </c>
      <c r="J25" s="3">
        <f t="shared" si="10"/>
        <v>0.26666666666666666</v>
      </c>
      <c r="K25" s="3">
        <f t="shared" si="11"/>
        <v>0.26666666666666666</v>
      </c>
      <c r="L25" s="3">
        <f t="shared" si="12"/>
        <v>0.19999999999999998</v>
      </c>
      <c r="M25" s="3">
        <f t="shared" si="13"/>
        <v>0.39999999999999997</v>
      </c>
      <c r="N25" s="3">
        <f t="shared" si="14"/>
        <v>6.6666666666666666E-2</v>
      </c>
      <c r="O25" s="3">
        <f t="shared" si="15"/>
        <v>6.6666666666666666E-2</v>
      </c>
      <c r="P25" s="3">
        <f t="shared" si="16"/>
        <v>1.4</v>
      </c>
      <c r="Q25" s="3">
        <f t="shared" si="17"/>
        <v>1.4</v>
      </c>
      <c r="R25" s="3">
        <f t="shared" si="18"/>
        <v>1.2</v>
      </c>
      <c r="V25" s="14">
        <f t="shared" si="19"/>
        <v>8.8666666666666654</v>
      </c>
      <c r="X25" s="3">
        <f t="shared" si="20"/>
        <v>1.0222878625134264</v>
      </c>
    </row>
    <row r="26" spans="1:30" x14ac:dyDescent="0.25">
      <c r="A26" s="3"/>
      <c r="V26" s="14">
        <f>+AVERAGE(V17:V25)</f>
        <v>9.0642857142857132</v>
      </c>
    </row>
    <row r="27" spans="1:30" x14ac:dyDescent="0.25">
      <c r="A27" s="3"/>
    </row>
    <row r="28" spans="1:30" ht="26.25" customHeight="1" thickBot="1" x14ac:dyDescent="0.3">
      <c r="A28" s="3"/>
      <c r="C28" s="15" t="s">
        <v>81</v>
      </c>
      <c r="V28" s="14"/>
      <c r="Z28" s="3" t="s">
        <v>84</v>
      </c>
    </row>
    <row r="29" spans="1:30" ht="15.75" thickBot="1" x14ac:dyDescent="0.3">
      <c r="A29" s="3"/>
      <c r="C29" s="95" t="s">
        <v>101</v>
      </c>
      <c r="D29" s="24">
        <f>IF(D19="","",D19*$X19)</f>
        <v>1.9423469387755101</v>
      </c>
      <c r="E29" s="24">
        <f t="shared" ref="E29:U29" si="21">IF(E19="","",E19*$X19)</f>
        <v>0.97117346938775506</v>
      </c>
      <c r="F29" s="24">
        <f t="shared" si="21"/>
        <v>1.0790816326530612</v>
      </c>
      <c r="G29" s="24">
        <f t="shared" si="21"/>
        <v>0.10790816326530611</v>
      </c>
      <c r="H29" s="24">
        <f t="shared" si="21"/>
        <v>0.64744897959183667</v>
      </c>
      <c r="I29" s="24">
        <f t="shared" si="21"/>
        <v>0.53954081632653061</v>
      </c>
      <c r="J29" s="24">
        <f t="shared" si="21"/>
        <v>0.32372448979591834</v>
      </c>
      <c r="K29" s="24">
        <f t="shared" si="21"/>
        <v>0.32372448979591834</v>
      </c>
      <c r="L29" s="24">
        <f t="shared" si="21"/>
        <v>0.32372448979591834</v>
      </c>
      <c r="M29" s="24">
        <f t="shared" si="21"/>
        <v>0.43163265306122445</v>
      </c>
      <c r="N29" s="24">
        <f t="shared" si="21"/>
        <v>0.21581632653061222</v>
      </c>
      <c r="O29" s="24">
        <f t="shared" si="21"/>
        <v>0.53954081632653061</v>
      </c>
      <c r="P29" s="24">
        <f t="shared" si="21"/>
        <v>0.32372448979591834</v>
      </c>
      <c r="Q29" s="24">
        <f t="shared" si="21"/>
        <v>0.32372448979591834</v>
      </c>
      <c r="R29" s="24">
        <f t="shared" si="21"/>
        <v>0.97117346938775506</v>
      </c>
      <c r="S29" s="24" t="str">
        <f t="shared" si="21"/>
        <v/>
      </c>
      <c r="T29" s="24" t="str">
        <f t="shared" si="21"/>
        <v/>
      </c>
      <c r="U29" s="24" t="str">
        <f t="shared" si="21"/>
        <v/>
      </c>
      <c r="V29" s="16">
        <f>SUM(D29:U29)/18</f>
        <v>0.50357142857142856</v>
      </c>
      <c r="W29" s="17"/>
      <c r="Z29" s="39">
        <f>+SUM(D29:F29)</f>
        <v>3.9926020408163261</v>
      </c>
      <c r="AA29" s="39">
        <f>+SUM(G29:I29)</f>
        <v>1.2948979591836736</v>
      </c>
      <c r="AB29" s="39">
        <f>+SUM(J29:L29)</f>
        <v>0.97117346938775495</v>
      </c>
      <c r="AC29" s="39">
        <f>+SUM(M29:O29)</f>
        <v>1.1869897959183673</v>
      </c>
      <c r="AD29" s="39">
        <f>+SUM(P29:R29)</f>
        <v>1.6186224489795917</v>
      </c>
    </row>
    <row r="30" spans="1:30" ht="15.75" thickBot="1" x14ac:dyDescent="0.3">
      <c r="A30" s="3"/>
      <c r="C30" s="95" t="s">
        <v>102</v>
      </c>
      <c r="D30" s="24">
        <f t="shared" ref="D30:U35" si="22">IF(D20="","",D20*$X20)</f>
        <v>1.580013106159895</v>
      </c>
      <c r="E30" s="24">
        <f t="shared" si="22"/>
        <v>0.24947575360419397</v>
      </c>
      <c r="F30" s="24">
        <f t="shared" si="22"/>
        <v>0.49895150720838793</v>
      </c>
      <c r="G30" s="24">
        <f t="shared" si="22"/>
        <v>1.6631716906946263</v>
      </c>
      <c r="H30" s="24">
        <f t="shared" si="22"/>
        <v>0.83158584534731317</v>
      </c>
      <c r="I30" s="24">
        <f t="shared" si="22"/>
        <v>0.83158584534731317</v>
      </c>
      <c r="J30" s="24">
        <f t="shared" si="22"/>
        <v>8.3158584534731322E-2</v>
      </c>
      <c r="K30" s="24">
        <f t="shared" si="22"/>
        <v>0.33263433813892529</v>
      </c>
      <c r="L30" s="24">
        <f t="shared" si="22"/>
        <v>0.33263433813892529</v>
      </c>
      <c r="M30" s="24">
        <f t="shared" si="22"/>
        <v>0.41579292267365658</v>
      </c>
      <c r="N30" s="24">
        <f t="shared" si="22"/>
        <v>0.16631716906946264</v>
      </c>
      <c r="O30" s="24">
        <f t="shared" si="22"/>
        <v>0.24947575360419397</v>
      </c>
      <c r="P30" s="24">
        <f t="shared" si="22"/>
        <v>0.24947575360419397</v>
      </c>
      <c r="Q30" s="24">
        <f t="shared" si="22"/>
        <v>0.24947575360419397</v>
      </c>
      <c r="R30" s="24">
        <f t="shared" si="22"/>
        <v>1.3305373525557012</v>
      </c>
      <c r="S30" s="24" t="str">
        <f t="shared" si="22"/>
        <v/>
      </c>
      <c r="T30" s="24" t="str">
        <f t="shared" si="22"/>
        <v/>
      </c>
      <c r="U30" s="24" t="str">
        <f t="shared" si="22"/>
        <v/>
      </c>
      <c r="V30" s="16">
        <f t="shared" ref="V30:V35" si="23">SUM(D30:U30)/18</f>
        <v>0.50357142857142856</v>
      </c>
      <c r="W30" s="17"/>
      <c r="Z30" s="39">
        <f t="shared" ref="Z30:Z38" si="24">+SUM(D30:F30)</f>
        <v>2.3284403669724769</v>
      </c>
      <c r="AA30" s="39">
        <f t="shared" ref="AA30:AA38" si="25">+SUM(G30:I30)</f>
        <v>3.3263433813892527</v>
      </c>
      <c r="AB30" s="39">
        <f t="shared" ref="AB30:AB38" si="26">+SUM(J30:L30)</f>
        <v>0.74842726081258193</v>
      </c>
      <c r="AC30" s="39">
        <f t="shared" ref="AC30:AC38" si="27">+SUM(M30:O30)</f>
        <v>0.83158584534731317</v>
      </c>
      <c r="AD30" s="39">
        <f t="shared" ref="AD30:AD38" si="28">+SUM(P30:R30)</f>
        <v>1.829488859764089</v>
      </c>
    </row>
    <row r="31" spans="1:30" ht="15.75" thickBot="1" x14ac:dyDescent="0.3">
      <c r="A31" s="3"/>
      <c r="C31" s="95" t="s">
        <v>103</v>
      </c>
      <c r="D31" s="24">
        <f t="shared" si="22"/>
        <v>1.9423469387755101</v>
      </c>
      <c r="E31" s="24">
        <f t="shared" si="22"/>
        <v>1.0790816326530612</v>
      </c>
      <c r="F31" s="24">
        <f t="shared" si="22"/>
        <v>1.7265306122448978</v>
      </c>
      <c r="G31" s="24">
        <f t="shared" si="22"/>
        <v>0.10790816326530611</v>
      </c>
      <c r="H31" s="24">
        <f>IF(H21="","",H21*$X21)</f>
        <v>1.2948979591836733</v>
      </c>
      <c r="I31" s="24">
        <f t="shared" si="22"/>
        <v>0.43163265306122445</v>
      </c>
      <c r="J31" s="24">
        <f t="shared" si="22"/>
        <v>0.10790816326530611</v>
      </c>
      <c r="K31" s="24">
        <f t="shared" si="22"/>
        <v>0.21581632653061222</v>
      </c>
      <c r="L31" s="24">
        <f t="shared" si="22"/>
        <v>0.64744897959183667</v>
      </c>
      <c r="M31" s="24">
        <f t="shared" si="22"/>
        <v>0.21581632653061222</v>
      </c>
      <c r="N31" s="24" t="str">
        <f t="shared" si="22"/>
        <v/>
      </c>
      <c r="O31" s="24">
        <f t="shared" si="22"/>
        <v>0.53954081632653061</v>
      </c>
      <c r="P31" s="24">
        <f t="shared" si="22"/>
        <v>0.21581632653061222</v>
      </c>
      <c r="Q31" s="24">
        <f t="shared" si="22"/>
        <v>0.21581632653061222</v>
      </c>
      <c r="R31" s="24">
        <f t="shared" si="22"/>
        <v>0.32372448979591834</v>
      </c>
      <c r="S31" s="24" t="str">
        <f t="shared" si="22"/>
        <v/>
      </c>
      <c r="T31" s="24" t="str">
        <f t="shared" si="22"/>
        <v/>
      </c>
      <c r="U31" s="24" t="str">
        <f t="shared" si="22"/>
        <v/>
      </c>
      <c r="V31" s="16">
        <f t="shared" si="23"/>
        <v>0.50357142857142856</v>
      </c>
      <c r="W31" s="17"/>
      <c r="Z31" s="39">
        <f t="shared" si="24"/>
        <v>4.7479591836734691</v>
      </c>
      <c r="AA31" s="39">
        <f t="shared" si="25"/>
        <v>1.8344387755102038</v>
      </c>
      <c r="AB31" s="39">
        <f t="shared" si="26"/>
        <v>0.97117346938775495</v>
      </c>
      <c r="AC31" s="39">
        <f t="shared" si="27"/>
        <v>0.75535714285714284</v>
      </c>
      <c r="AD31" s="39">
        <f t="shared" si="28"/>
        <v>0.75535714285714284</v>
      </c>
    </row>
    <row r="32" spans="1:30" ht="15.75" thickBot="1" x14ac:dyDescent="0.3">
      <c r="A32" s="3"/>
      <c r="C32" s="95" t="s">
        <v>104</v>
      </c>
      <c r="D32" s="24">
        <f t="shared" si="22"/>
        <v>0.97992277992277987</v>
      </c>
      <c r="E32" s="24">
        <f t="shared" si="22"/>
        <v>1.714864864864865</v>
      </c>
      <c r="F32" s="24">
        <f t="shared" si="22"/>
        <v>0.8574324324324325</v>
      </c>
      <c r="G32" s="24">
        <f t="shared" si="22"/>
        <v>0.12249034749034748</v>
      </c>
      <c r="H32" s="24">
        <f t="shared" si="22"/>
        <v>0.97992277992277987</v>
      </c>
      <c r="I32" s="24" t="str">
        <f t="shared" si="22"/>
        <v/>
      </c>
      <c r="J32" s="24" t="str">
        <f t="shared" si="22"/>
        <v/>
      </c>
      <c r="K32" s="24" t="str">
        <f t="shared" si="22"/>
        <v/>
      </c>
      <c r="L32" s="24">
        <f t="shared" si="22"/>
        <v>0.12249034749034748</v>
      </c>
      <c r="M32" s="24">
        <f t="shared" si="22"/>
        <v>0.97992277992277987</v>
      </c>
      <c r="N32" s="24">
        <f t="shared" si="22"/>
        <v>0.24498069498069497</v>
      </c>
      <c r="O32" s="24">
        <f t="shared" si="22"/>
        <v>1.3473938223938222</v>
      </c>
      <c r="P32" s="24">
        <f t="shared" si="22"/>
        <v>0.24498069498069497</v>
      </c>
      <c r="Q32" s="24">
        <f t="shared" si="22"/>
        <v>0.36747104247104245</v>
      </c>
      <c r="R32" s="24">
        <f t="shared" si="22"/>
        <v>1.1024131274131275</v>
      </c>
      <c r="S32" s="24" t="str">
        <f t="shared" si="22"/>
        <v/>
      </c>
      <c r="T32" s="24" t="str">
        <f t="shared" si="22"/>
        <v/>
      </c>
      <c r="U32" s="24" t="str">
        <f t="shared" si="22"/>
        <v/>
      </c>
      <c r="V32" s="16">
        <f t="shared" si="23"/>
        <v>0.50357142857142867</v>
      </c>
      <c r="W32" s="17"/>
      <c r="Z32" s="39">
        <f t="shared" si="24"/>
        <v>3.5522200772200776</v>
      </c>
      <c r="AA32" s="39">
        <f t="shared" si="25"/>
        <v>1.1024131274131275</v>
      </c>
      <c r="AB32" s="39">
        <f t="shared" si="26"/>
        <v>0.12249034749034748</v>
      </c>
      <c r="AC32" s="39">
        <f t="shared" si="27"/>
        <v>2.5722972972972968</v>
      </c>
      <c r="AD32" s="39">
        <f t="shared" si="28"/>
        <v>1.714864864864865</v>
      </c>
    </row>
    <row r="33" spans="1:36" ht="15.75" thickBot="1" x14ac:dyDescent="0.3">
      <c r="A33" s="3"/>
      <c r="C33" s="95" t="s">
        <v>105</v>
      </c>
      <c r="D33" s="24">
        <f t="shared" si="22"/>
        <v>0.79511278195488722</v>
      </c>
      <c r="E33" s="24">
        <f t="shared" si="22"/>
        <v>7.9511278195488727E-2</v>
      </c>
      <c r="F33" s="24">
        <f t="shared" si="22"/>
        <v>0.23853383458646618</v>
      </c>
      <c r="G33" s="24">
        <f t="shared" si="22"/>
        <v>0.15902255639097745</v>
      </c>
      <c r="H33" s="24">
        <f t="shared" si="22"/>
        <v>0.47706766917293236</v>
      </c>
      <c r="I33" s="24">
        <f t="shared" si="22"/>
        <v>0.31804511278195491</v>
      </c>
      <c r="J33" s="24">
        <f t="shared" si="22"/>
        <v>1.1131578947368421</v>
      </c>
      <c r="K33" s="24">
        <f t="shared" si="22"/>
        <v>1.7492481203007519</v>
      </c>
      <c r="L33" s="24">
        <f t="shared" si="22"/>
        <v>0.87462406015037597</v>
      </c>
      <c r="M33" s="24">
        <f t="shared" si="22"/>
        <v>0.47706766917293236</v>
      </c>
      <c r="N33" s="24">
        <f t="shared" si="22"/>
        <v>0.47706766917293236</v>
      </c>
      <c r="O33" s="24">
        <f t="shared" si="22"/>
        <v>7.9511278195488727E-2</v>
      </c>
      <c r="P33" s="24">
        <f t="shared" si="22"/>
        <v>0.55657894736842106</v>
      </c>
      <c r="Q33" s="24">
        <f t="shared" si="22"/>
        <v>1.0336466165413534</v>
      </c>
      <c r="R33" s="24">
        <f t="shared" si="22"/>
        <v>0.63609022556390982</v>
      </c>
      <c r="S33" s="24" t="str">
        <f t="shared" si="22"/>
        <v/>
      </c>
      <c r="T33" s="24" t="str">
        <f t="shared" si="22"/>
        <v/>
      </c>
      <c r="U33" s="24" t="str">
        <f t="shared" si="22"/>
        <v/>
      </c>
      <c r="V33" s="16">
        <f t="shared" si="23"/>
        <v>0.50357142857142856</v>
      </c>
      <c r="W33" s="17"/>
      <c r="Z33" s="39">
        <f t="shared" si="24"/>
        <v>1.1131578947368421</v>
      </c>
      <c r="AA33" s="39">
        <f t="shared" si="25"/>
        <v>0.95413533834586473</v>
      </c>
      <c r="AB33" s="39">
        <f t="shared" si="26"/>
        <v>3.7370300751879704</v>
      </c>
      <c r="AC33" s="39">
        <f t="shared" si="27"/>
        <v>1.0336466165413534</v>
      </c>
      <c r="AD33" s="39">
        <f t="shared" si="28"/>
        <v>2.2263157894736842</v>
      </c>
    </row>
    <row r="34" spans="1:36" ht="15.75" thickBot="1" x14ac:dyDescent="0.3">
      <c r="A34" s="3"/>
      <c r="C34" s="95" t="s">
        <v>106</v>
      </c>
      <c r="D34" s="24">
        <f t="shared" si="22"/>
        <v>0.66324041811846701</v>
      </c>
      <c r="E34" s="24">
        <f t="shared" si="22"/>
        <v>0.66324041811846701</v>
      </c>
      <c r="F34" s="24">
        <f t="shared" si="22"/>
        <v>0.44216027874564467</v>
      </c>
      <c r="G34" s="24" t="str">
        <f t="shared" si="22"/>
        <v/>
      </c>
      <c r="H34" s="24">
        <f t="shared" si="22"/>
        <v>0.22108013937282234</v>
      </c>
      <c r="I34" s="24">
        <f t="shared" si="22"/>
        <v>0.11054006968641117</v>
      </c>
      <c r="J34" s="24">
        <f t="shared" si="22"/>
        <v>0.55270034843205584</v>
      </c>
      <c r="K34" s="24">
        <f t="shared" si="22"/>
        <v>0.11054006968641117</v>
      </c>
      <c r="L34" s="24">
        <f t="shared" si="22"/>
        <v>0.44216027874564467</v>
      </c>
      <c r="M34" s="24">
        <f t="shared" si="22"/>
        <v>1.437020905923345</v>
      </c>
      <c r="N34" s="24">
        <f t="shared" si="22"/>
        <v>1.326480836236934</v>
      </c>
      <c r="O34" s="24">
        <f t="shared" si="22"/>
        <v>0.66324041811846701</v>
      </c>
      <c r="P34" s="24">
        <f t="shared" si="22"/>
        <v>1.1054006968641117</v>
      </c>
      <c r="Q34" s="24">
        <f t="shared" si="22"/>
        <v>0.66324041811846701</v>
      </c>
      <c r="R34" s="24">
        <f t="shared" si="22"/>
        <v>0.66324041811846701</v>
      </c>
      <c r="S34" s="24" t="str">
        <f t="shared" si="22"/>
        <v/>
      </c>
      <c r="T34" s="24" t="str">
        <f t="shared" si="22"/>
        <v/>
      </c>
      <c r="U34" s="24" t="str">
        <f t="shared" si="22"/>
        <v/>
      </c>
      <c r="V34" s="16">
        <f t="shared" si="23"/>
        <v>0.50357142857142867</v>
      </c>
      <c r="W34" s="17"/>
      <c r="Z34" s="39">
        <f t="shared" si="24"/>
        <v>1.7686411149825787</v>
      </c>
      <c r="AA34" s="39">
        <f t="shared" si="25"/>
        <v>0.33162020905923351</v>
      </c>
      <c r="AB34" s="39">
        <f t="shared" si="26"/>
        <v>1.1054006968641117</v>
      </c>
      <c r="AC34" s="39">
        <f t="shared" si="27"/>
        <v>3.4267421602787458</v>
      </c>
      <c r="AD34" s="39">
        <f t="shared" si="28"/>
        <v>2.4318815331010457</v>
      </c>
    </row>
    <row r="35" spans="1:36" x14ac:dyDescent="0.25">
      <c r="A35" s="3"/>
      <c r="C35" s="95" t="s">
        <v>107</v>
      </c>
      <c r="D35" s="24">
        <f t="shared" si="22"/>
        <v>1.2948979591836733</v>
      </c>
      <c r="E35" s="24">
        <f t="shared" si="22"/>
        <v>0.27261009667024705</v>
      </c>
      <c r="F35" s="24">
        <f>IF(F25="","",F25*$X25)</f>
        <v>0.40891514500537052</v>
      </c>
      <c r="G35" s="24">
        <f t="shared" si="22"/>
        <v>0.40891514500537052</v>
      </c>
      <c r="H35" s="24">
        <f t="shared" si="22"/>
        <v>0.88598281417830294</v>
      </c>
      <c r="I35" s="24">
        <f t="shared" si="22"/>
        <v>0.40891514500537052</v>
      </c>
      <c r="J35" s="24">
        <f t="shared" si="22"/>
        <v>0.27261009667024705</v>
      </c>
      <c r="K35" s="24">
        <f t="shared" si="22"/>
        <v>0.27261009667024705</v>
      </c>
      <c r="L35" s="24">
        <f t="shared" si="22"/>
        <v>0.20445757250268526</v>
      </c>
      <c r="M35" s="24">
        <f t="shared" si="22"/>
        <v>0.40891514500537052</v>
      </c>
      <c r="N35" s="24">
        <f t="shared" si="22"/>
        <v>6.8152524167561762E-2</v>
      </c>
      <c r="O35" s="24">
        <f t="shared" si="22"/>
        <v>6.8152524167561762E-2</v>
      </c>
      <c r="P35" s="24">
        <f t="shared" si="22"/>
        <v>1.4312030075187969</v>
      </c>
      <c r="Q35" s="24">
        <f t="shared" si="22"/>
        <v>1.4312030075187969</v>
      </c>
      <c r="R35" s="24">
        <f t="shared" si="22"/>
        <v>1.2267454350161116</v>
      </c>
      <c r="S35" s="24" t="str">
        <f t="shared" si="22"/>
        <v/>
      </c>
      <c r="T35" s="24" t="str">
        <f t="shared" si="22"/>
        <v/>
      </c>
      <c r="U35" s="24" t="str">
        <f>IF(U25="","",U25*$X25)</f>
        <v/>
      </c>
      <c r="V35" s="16">
        <f t="shared" si="23"/>
        <v>0.50357142857142856</v>
      </c>
      <c r="W35" s="17"/>
      <c r="Z35" s="39">
        <f t="shared" si="24"/>
        <v>1.9764232008592908</v>
      </c>
      <c r="AA35" s="39">
        <f t="shared" si="25"/>
        <v>1.7038131041890441</v>
      </c>
      <c r="AB35" s="39">
        <f t="shared" si="26"/>
        <v>0.74967776584317936</v>
      </c>
      <c r="AC35" s="39">
        <f t="shared" si="27"/>
        <v>0.5452201933404941</v>
      </c>
      <c r="AD35" s="39">
        <f t="shared" si="28"/>
        <v>4.0891514500537056</v>
      </c>
    </row>
    <row r="36" spans="1:36" ht="18.75" customHeight="1" x14ac:dyDescent="0.25">
      <c r="A36" s="3"/>
      <c r="C36" s="9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16"/>
      <c r="W36" s="17"/>
      <c r="Z36" s="39">
        <f t="shared" si="24"/>
        <v>0</v>
      </c>
      <c r="AA36" s="39">
        <f t="shared" si="25"/>
        <v>0</v>
      </c>
      <c r="AB36" s="39">
        <f t="shared" si="26"/>
        <v>0</v>
      </c>
      <c r="AC36" s="39">
        <f t="shared" si="27"/>
        <v>0</v>
      </c>
      <c r="AD36" s="39">
        <f t="shared" si="28"/>
        <v>0</v>
      </c>
    </row>
    <row r="37" spans="1:36" ht="18.75" customHeight="1" x14ac:dyDescent="0.25">
      <c r="A37" s="3"/>
      <c r="C37" s="9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16"/>
      <c r="W37" s="17"/>
      <c r="Z37" s="39">
        <f t="shared" si="24"/>
        <v>0</v>
      </c>
      <c r="AA37" s="39">
        <f t="shared" si="25"/>
        <v>0</v>
      </c>
      <c r="AB37" s="39">
        <f t="shared" si="26"/>
        <v>0</v>
      </c>
      <c r="AC37" s="39">
        <f t="shared" si="27"/>
        <v>0</v>
      </c>
      <c r="AD37" s="39">
        <f t="shared" si="28"/>
        <v>0</v>
      </c>
    </row>
    <row r="38" spans="1:36" ht="18.75" customHeight="1" x14ac:dyDescent="0.25">
      <c r="A38" s="3"/>
      <c r="B38" s="3"/>
      <c r="C38" s="91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16"/>
      <c r="W38" s="17"/>
      <c r="Z38" s="39">
        <f t="shared" si="24"/>
        <v>0</v>
      </c>
      <c r="AA38" s="39">
        <f t="shared" si="25"/>
        <v>0</v>
      </c>
      <c r="AB38" s="39">
        <f t="shared" si="26"/>
        <v>0</v>
      </c>
      <c r="AC38" s="39">
        <f t="shared" si="27"/>
        <v>0</v>
      </c>
      <c r="AD38" s="39">
        <f t="shared" si="28"/>
        <v>0</v>
      </c>
    </row>
    <row r="39" spans="1:36" x14ac:dyDescent="0.25">
      <c r="A39" s="3"/>
      <c r="B39" s="3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6"/>
      <c r="W39" s="17"/>
    </row>
    <row r="40" spans="1:36" ht="30" x14ac:dyDescent="0.25">
      <c r="A40" s="3"/>
      <c r="B40" s="3"/>
      <c r="C40" s="42" t="s">
        <v>20</v>
      </c>
      <c r="D40" s="20"/>
      <c r="E40" s="20"/>
      <c r="F40" s="20"/>
      <c r="G40" s="20"/>
      <c r="H40" s="20"/>
      <c r="I40" s="20" t="s">
        <v>82</v>
      </c>
      <c r="J40" s="25">
        <v>0.2</v>
      </c>
      <c r="K40" s="26">
        <v>0.2</v>
      </c>
      <c r="L40" s="27">
        <v>0.2</v>
      </c>
      <c r="M40" s="28">
        <v>0.2</v>
      </c>
      <c r="N40" s="28">
        <v>0.2</v>
      </c>
      <c r="O40" s="20"/>
      <c r="P40" s="20"/>
      <c r="Q40" s="20"/>
      <c r="R40" s="20"/>
      <c r="S40" s="20"/>
      <c r="T40" s="20"/>
      <c r="U40" s="20"/>
      <c r="V40" s="21"/>
      <c r="W40" s="22"/>
    </row>
    <row r="41" spans="1:36" x14ac:dyDescent="0.25">
      <c r="A41" s="3"/>
      <c r="B41" s="3"/>
      <c r="C41" s="23" t="s">
        <v>8</v>
      </c>
      <c r="D41" s="25">
        <v>0.2</v>
      </c>
      <c r="E41" s="26">
        <v>0.2</v>
      </c>
      <c r="F41" s="27">
        <v>0.2</v>
      </c>
      <c r="G41" s="28">
        <v>0.2</v>
      </c>
      <c r="H41" s="28">
        <v>0.2</v>
      </c>
      <c r="I41" s="24"/>
      <c r="J41" s="24"/>
      <c r="K41" s="24"/>
      <c r="M41" s="24"/>
      <c r="N41" s="24"/>
      <c r="O41" s="24"/>
      <c r="Q41" s="24"/>
      <c r="R41" s="24"/>
      <c r="T41" s="24"/>
      <c r="U41" s="24"/>
      <c r="Z41" t="s">
        <v>9</v>
      </c>
    </row>
    <row r="42" spans="1:36" ht="18" customHeight="1" thickBot="1" x14ac:dyDescent="0.3">
      <c r="A42" s="3"/>
      <c r="B42" s="3"/>
      <c r="C42" s="23"/>
      <c r="D42" s="25"/>
      <c r="E42" s="25"/>
      <c r="F42" s="25"/>
      <c r="G42" s="25"/>
      <c r="H42" s="26"/>
      <c r="I42" s="26"/>
      <c r="J42" s="26"/>
      <c r="K42" s="26"/>
      <c r="L42" s="27"/>
      <c r="M42" s="27"/>
      <c r="N42" s="27"/>
      <c r="O42" s="27"/>
      <c r="P42" s="28"/>
      <c r="Q42" s="28"/>
      <c r="R42" s="28"/>
      <c r="S42" s="37"/>
      <c r="T42" s="37"/>
      <c r="U42" s="37"/>
      <c r="X42" t="s">
        <v>83</v>
      </c>
      <c r="Z42" s="30" t="s">
        <v>10</v>
      </c>
      <c r="AE42" t="s">
        <v>11</v>
      </c>
      <c r="AF42"/>
      <c r="AG42"/>
      <c r="AH42"/>
      <c r="AI42"/>
      <c r="AJ42"/>
    </row>
    <row r="43" spans="1:36" ht="15.75" thickBot="1" x14ac:dyDescent="0.3">
      <c r="A43" s="3"/>
      <c r="B43" s="3"/>
      <c r="C43" s="95" t="s">
        <v>101</v>
      </c>
      <c r="D43" s="24">
        <f>IF(Z29="","",Z29*$J$40)</f>
        <v>0.79852040816326531</v>
      </c>
      <c r="E43" s="24">
        <f>IF(AA29="","",AA29*$K$40)</f>
        <v>0.25897959183673475</v>
      </c>
      <c r="F43" s="24">
        <f>IF(AB29="","",AB29*$L$40)</f>
        <v>0.19423469387755099</v>
      </c>
      <c r="G43" s="24">
        <f>IF(AC29="","",AC29*$M$40)</f>
        <v>0.23739795918367346</v>
      </c>
      <c r="H43" s="24">
        <f>IF(AD29="","",AD29*$N$40)</f>
        <v>0.32372448979591839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31"/>
      <c r="W43" s="24">
        <f>+SUM(D43:U43)</f>
        <v>1.8128571428571429</v>
      </c>
      <c r="X43" s="32">
        <v>5.4447757111597399</v>
      </c>
      <c r="Z43" s="32">
        <f>$X$53/X43</f>
        <v>0.96790107213832199</v>
      </c>
      <c r="AA43" s="32"/>
      <c r="AB43" s="24"/>
      <c r="AE43"/>
      <c r="AF43">
        <v>0.2112</v>
      </c>
      <c r="AG43">
        <v>0.19639999999999999</v>
      </c>
      <c r="AH43">
        <v>0.17449999999999999</v>
      </c>
      <c r="AI43">
        <v>0.20669999999999999</v>
      </c>
      <c r="AJ43">
        <v>0.2112</v>
      </c>
    </row>
    <row r="44" spans="1:36" ht="15.75" thickBot="1" x14ac:dyDescent="0.3">
      <c r="A44" s="3"/>
      <c r="B44" s="3"/>
      <c r="C44" s="95" t="s">
        <v>102</v>
      </c>
      <c r="D44" s="24">
        <f t="shared" ref="D44:D49" si="29">IF(Z30="","",Z30*$J$40)</f>
        <v>0.46568807339449542</v>
      </c>
      <c r="E44" s="24">
        <f t="shared" ref="E44:E49" si="30">IF(AA30="","",AA30*$K$40)</f>
        <v>0.66526867627785058</v>
      </c>
      <c r="F44" s="24">
        <f t="shared" ref="F44:F49" si="31">IF(AB30="","",AB30*$L$40)</f>
        <v>0.14968545216251639</v>
      </c>
      <c r="G44" s="24">
        <f t="shared" ref="G44:G49" si="32">IF(AC30="","",AC30*$M$40)</f>
        <v>0.16631716906946264</v>
      </c>
      <c r="H44" s="24">
        <f>IF(AD30="","",AD30*$N$40)</f>
        <v>0.36589777195281781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31"/>
      <c r="W44" s="24">
        <f t="shared" ref="W44:W49" si="33">+SUM(D44:U44)</f>
        <v>1.8128571428571429</v>
      </c>
      <c r="X44" s="32">
        <v>5.0982456140350862</v>
      </c>
      <c r="Y44" s="32"/>
      <c r="Z44" s="32">
        <f t="shared" ref="Z44:Z49" si="34">$X$53/X44</f>
        <v>1.0336897527801097</v>
      </c>
      <c r="AA44" s="32"/>
      <c r="AB44" s="24"/>
      <c r="AE44"/>
      <c r="AF44">
        <v>0.28399999999999997</v>
      </c>
      <c r="AG44">
        <v>0.2172</v>
      </c>
      <c r="AH44">
        <v>0.22220000000000001</v>
      </c>
      <c r="AI44">
        <v>0.27660000000000001</v>
      </c>
      <c r="AJ44"/>
    </row>
    <row r="45" spans="1:36" ht="15.75" thickBot="1" x14ac:dyDescent="0.3">
      <c r="A45" s="3"/>
      <c r="B45" s="3"/>
      <c r="C45" s="95" t="s">
        <v>103</v>
      </c>
      <c r="D45" s="24">
        <f t="shared" si="29"/>
        <v>0.94959183673469383</v>
      </c>
      <c r="E45" s="24">
        <f t="shared" si="30"/>
        <v>0.3668877551020408</v>
      </c>
      <c r="F45" s="24">
        <f t="shared" si="31"/>
        <v>0.19423469387755099</v>
      </c>
      <c r="G45" s="24">
        <f t="shared" si="32"/>
        <v>0.15107142857142858</v>
      </c>
      <c r="H45" s="24">
        <f t="shared" ref="H45:H49" si="35">IF(AD31="","",AD31*$N$40)</f>
        <v>0.15107142857142858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31"/>
      <c r="W45" s="24">
        <f t="shared" si="33"/>
        <v>1.8128571428571427</v>
      </c>
      <c r="X45" s="32">
        <v>5.0315033783783774</v>
      </c>
      <c r="Y45" s="32"/>
      <c r="Z45" s="32">
        <f t="shared" si="34"/>
        <v>1.0474015124447151</v>
      </c>
      <c r="AA45" s="32"/>
      <c r="AE45"/>
      <c r="AF45">
        <v>0.26779999999999998</v>
      </c>
      <c r="AG45">
        <v>0.23799999999999999</v>
      </c>
      <c r="AH45">
        <v>0.2253</v>
      </c>
      <c r="AI45">
        <v>0.26889999999999997</v>
      </c>
      <c r="AJ45"/>
    </row>
    <row r="46" spans="1:36" ht="15.75" thickBot="1" x14ac:dyDescent="0.3">
      <c r="A46" s="3"/>
      <c r="B46" s="3"/>
      <c r="C46" s="95" t="s">
        <v>104</v>
      </c>
      <c r="D46" s="24">
        <f t="shared" si="29"/>
        <v>0.71044401544401559</v>
      </c>
      <c r="E46" s="24">
        <f t="shared" si="30"/>
        <v>0.22048262548262551</v>
      </c>
      <c r="F46" s="24">
        <f t="shared" si="31"/>
        <v>2.44980694980695E-2</v>
      </c>
      <c r="G46" s="24">
        <f t="shared" si="32"/>
        <v>0.51445945945945937</v>
      </c>
      <c r="H46" s="24">
        <f t="shared" si="35"/>
        <v>0.34297297297297302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31"/>
      <c r="W46" s="24">
        <f t="shared" si="33"/>
        <v>1.8128571428571432</v>
      </c>
      <c r="X46" s="32">
        <v>5.0839476495726466</v>
      </c>
      <c r="Y46" s="32"/>
      <c r="Z46" s="32">
        <f t="shared" si="34"/>
        <v>1.036596875427543</v>
      </c>
      <c r="AA46" s="32"/>
      <c r="AE46"/>
      <c r="AF46">
        <v>0.31130000000000002</v>
      </c>
      <c r="AG46">
        <v>0.23130000000000001</v>
      </c>
      <c r="AH46">
        <v>0.2354</v>
      </c>
      <c r="AI46">
        <v>0.22209999999999999</v>
      </c>
      <c r="AJ46"/>
    </row>
    <row r="47" spans="1:36" ht="15.75" thickBot="1" x14ac:dyDescent="0.3">
      <c r="A47" s="3"/>
      <c r="B47" s="3"/>
      <c r="C47" s="95" t="s">
        <v>105</v>
      </c>
      <c r="D47" s="24">
        <f t="shared" si="29"/>
        <v>0.22263157894736843</v>
      </c>
      <c r="E47" s="24">
        <f t="shared" si="30"/>
        <v>0.19082706766917296</v>
      </c>
      <c r="F47" s="24">
        <f t="shared" si="31"/>
        <v>0.74740601503759407</v>
      </c>
      <c r="G47" s="24">
        <f t="shared" si="32"/>
        <v>0.20672932330827068</v>
      </c>
      <c r="H47" s="24">
        <f>IF(AD33="","",AD33*$N$40)</f>
        <v>0.44526315789473686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31"/>
      <c r="W47" s="24">
        <f t="shared" si="33"/>
        <v>1.8128571428571432</v>
      </c>
      <c r="X47" s="32">
        <v>5.1822350543478244</v>
      </c>
      <c r="Y47" s="32"/>
      <c r="Z47" s="32">
        <f t="shared" si="34"/>
        <v>1.0169365521084854</v>
      </c>
      <c r="AA47" s="32"/>
      <c r="AE47"/>
      <c r="AF47">
        <v>0.39369999999999999</v>
      </c>
      <c r="AG47">
        <v>0.3054</v>
      </c>
      <c r="AH47">
        <v>0.3009</v>
      </c>
      <c r="AI47"/>
      <c r="AJ47"/>
    </row>
    <row r="48" spans="1:36" ht="15.75" thickBot="1" x14ac:dyDescent="0.3">
      <c r="A48" s="3"/>
      <c r="B48" s="3"/>
      <c r="C48" s="95" t="s">
        <v>106</v>
      </c>
      <c r="D48" s="24">
        <f t="shared" si="29"/>
        <v>0.35372822299651574</v>
      </c>
      <c r="E48" s="24">
        <f t="shared" si="30"/>
        <v>6.6324041811846701E-2</v>
      </c>
      <c r="F48" s="24">
        <f t="shared" si="31"/>
        <v>0.22108013937282234</v>
      </c>
      <c r="G48" s="24">
        <f t="shared" si="32"/>
        <v>0.68534843205574925</v>
      </c>
      <c r="H48" s="24">
        <f t="shared" si="35"/>
        <v>0.48637630662020914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31"/>
      <c r="W48" s="24">
        <f t="shared" si="33"/>
        <v>1.8128571428571432</v>
      </c>
      <c r="X48" s="32">
        <v>5.5015041493775918</v>
      </c>
      <c r="Y48" s="32"/>
      <c r="Z48" s="32">
        <f t="shared" si="34"/>
        <v>0.95792061685174301</v>
      </c>
      <c r="AA48" s="32"/>
      <c r="AE48"/>
      <c r="AF48">
        <v>0.29830000000000001</v>
      </c>
      <c r="AG48">
        <v>0.33110000000000001</v>
      </c>
      <c r="AH48">
        <v>0.37059999999999998</v>
      </c>
      <c r="AI48"/>
      <c r="AJ48"/>
    </row>
    <row r="49" spans="1:32" x14ac:dyDescent="0.25">
      <c r="A49" s="3"/>
      <c r="B49" s="3"/>
      <c r="C49" s="95" t="s">
        <v>107</v>
      </c>
      <c r="D49" s="24">
        <f t="shared" si="29"/>
        <v>0.39528464017185816</v>
      </c>
      <c r="E49" s="24">
        <f t="shared" si="30"/>
        <v>0.34076262083780884</v>
      </c>
      <c r="F49" s="24">
        <f t="shared" si="31"/>
        <v>0.14993555316863588</v>
      </c>
      <c r="G49" s="24">
        <f t="shared" si="32"/>
        <v>0.10904403866809882</v>
      </c>
      <c r="H49" s="24">
        <f t="shared" si="35"/>
        <v>0.81783029001074115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31"/>
      <c r="W49" s="24">
        <f t="shared" si="33"/>
        <v>1.8128571428571427</v>
      </c>
      <c r="X49" s="32">
        <v>5.5478181818181813</v>
      </c>
      <c r="Y49" s="32"/>
      <c r="Z49" s="32">
        <f t="shared" si="34"/>
        <v>0.94992374942198865</v>
      </c>
      <c r="AA49" s="32"/>
    </row>
    <row r="50" spans="1:32" ht="13.5" customHeight="1" x14ac:dyDescent="0.25">
      <c r="A50" s="3"/>
      <c r="B50" s="3"/>
      <c r="C50" s="92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14"/>
      <c r="W50" s="24"/>
      <c r="X50" s="32"/>
      <c r="Y50" s="32"/>
      <c r="Z50" s="32"/>
      <c r="AA50" s="32"/>
    </row>
    <row r="51" spans="1:32" x14ac:dyDescent="0.25">
      <c r="A51" s="3"/>
      <c r="B51" s="3"/>
      <c r="C51" s="92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14"/>
      <c r="W51" s="24"/>
      <c r="X51" s="32"/>
      <c r="Y51" s="32"/>
      <c r="Z51" s="32"/>
      <c r="AA51" s="32"/>
    </row>
    <row r="52" spans="1:32" ht="16.5" customHeight="1" x14ac:dyDescent="0.25">
      <c r="A52" s="3"/>
      <c r="B52" s="3"/>
      <c r="C52" s="92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14"/>
      <c r="W52" s="24"/>
      <c r="X52" s="32"/>
      <c r="Y52" s="32"/>
      <c r="Z52" s="32"/>
      <c r="AA52" s="32"/>
    </row>
    <row r="53" spans="1:32" x14ac:dyDescent="0.25">
      <c r="A53" s="3"/>
      <c r="B53" s="3"/>
      <c r="C53" s="3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32"/>
      <c r="W53" s="32">
        <f>AVERAGE(W43:W52)</f>
        <v>1.8128571428571427</v>
      </c>
      <c r="X53" s="32">
        <f>AVERAGE(X43:X52)</f>
        <v>5.2700042483842067</v>
      </c>
      <c r="Y53" s="32"/>
      <c r="Z53" s="32">
        <f>AVERAGE(Z43:Z52)</f>
        <v>1.0014814473104152</v>
      </c>
      <c r="AA53" s="32"/>
    </row>
    <row r="54" spans="1:32" ht="30.75" thickBot="1" x14ac:dyDescent="0.3">
      <c r="A54" s="3"/>
      <c r="B54" s="3"/>
      <c r="C54" s="82" t="s">
        <v>86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14"/>
      <c r="W54" s="34"/>
      <c r="X54" s="22"/>
      <c r="Y54" s="32"/>
      <c r="Z54" s="22"/>
      <c r="AA54" s="24"/>
    </row>
    <row r="55" spans="1:32" ht="15.75" thickBot="1" x14ac:dyDescent="0.3">
      <c r="C55" s="95" t="s">
        <v>101</v>
      </c>
      <c r="D55" s="24">
        <f>IF(D43="","",D43*$Z43)</f>
        <v>0.772888759185555</v>
      </c>
      <c r="E55" s="24">
        <f>IF(E43="","",E43*$Z43)</f>
        <v>0.25066662460072059</v>
      </c>
      <c r="F55" s="24">
        <f>IF(F43="","",F43*$Z43)</f>
        <v>0.18799996845054037</v>
      </c>
      <c r="G55" s="24">
        <f>IF(G43="","",G43*$Z43)</f>
        <v>0.22977773921732714</v>
      </c>
      <c r="H55" s="24">
        <f>IF(H43="","",H43*$Z43)</f>
        <v>0.31333328075090067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14"/>
      <c r="W55" s="35">
        <f>+SUM(D55:U55)</f>
        <v>1.7546663722050437</v>
      </c>
      <c r="X55" s="36">
        <f>+AVERAGE(D55:U55)</f>
        <v>0.35093327444100875</v>
      </c>
      <c r="Y55" s="20"/>
      <c r="Z55" s="32"/>
      <c r="AA55" s="37"/>
    </row>
    <row r="56" spans="1:32" ht="15.75" thickBot="1" x14ac:dyDescent="0.3">
      <c r="C56" s="95" t="s">
        <v>102</v>
      </c>
      <c r="D56" s="24">
        <f t="shared" ref="D56:H61" si="36">IF(D44="","",D44*$Z44)</f>
        <v>0.48137698945980151</v>
      </c>
      <c r="E56" s="24">
        <f>IF(E44="","",E44*$Z44)</f>
        <v>0.68768141351400214</v>
      </c>
      <c r="F56" s="24">
        <f t="shared" si="36"/>
        <v>0.15472831804065049</v>
      </c>
      <c r="G56" s="24">
        <f t="shared" si="36"/>
        <v>0.17192035337850053</v>
      </c>
      <c r="H56" s="24">
        <f t="shared" si="36"/>
        <v>0.37822477743270116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14"/>
      <c r="W56" s="35">
        <f t="shared" ref="W56:W61" si="37">+SUM(D56:U56)</f>
        <v>1.8739318518256558</v>
      </c>
      <c r="X56" s="36">
        <f t="shared" ref="X56:X61" si="38">+AVERAGE(D56:U56)</f>
        <v>0.37478637036513118</v>
      </c>
      <c r="Y56" s="38"/>
      <c r="Z56" s="32"/>
      <c r="AA56" s="37"/>
    </row>
    <row r="57" spans="1:32" ht="15.75" thickBot="1" x14ac:dyDescent="0.3">
      <c r="C57" s="95" t="s">
        <v>103</v>
      </c>
      <c r="D57" s="24">
        <f t="shared" si="36"/>
        <v>0.99460392600107328</v>
      </c>
      <c r="E57" s="24">
        <f t="shared" si="36"/>
        <v>0.38427878959132378</v>
      </c>
      <c r="F57" s="24">
        <f t="shared" si="36"/>
        <v>0.20344171213658316</v>
      </c>
      <c r="G57" s="24">
        <f t="shared" si="36"/>
        <v>0.15823244277289805</v>
      </c>
      <c r="H57" s="24">
        <f t="shared" si="36"/>
        <v>0.15823244277289805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14"/>
      <c r="W57" s="35">
        <f t="shared" si="37"/>
        <v>1.8987893132747764</v>
      </c>
      <c r="X57" s="36">
        <f t="shared" si="38"/>
        <v>0.37975786265495526</v>
      </c>
      <c r="Y57" s="38"/>
      <c r="Z57" s="32"/>
      <c r="AA57" s="37"/>
    </row>
    <row r="58" spans="1:32" ht="15.75" thickBot="1" x14ac:dyDescent="0.3">
      <c r="C58" s="95" t="s">
        <v>104</v>
      </c>
      <c r="D58" s="24">
        <f t="shared" si="36"/>
        <v>0.7364440465754637</v>
      </c>
      <c r="E58" s="24">
        <f t="shared" si="36"/>
        <v>0.22855160066135077</v>
      </c>
      <c r="F58" s="24">
        <f t="shared" si="36"/>
        <v>2.5394622295705639E-2</v>
      </c>
      <c r="G58" s="24">
        <f t="shared" si="36"/>
        <v>0.5332870682098183</v>
      </c>
      <c r="H58" s="24">
        <f t="shared" si="36"/>
        <v>0.35552471213987896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14"/>
      <c r="W58" s="35">
        <f t="shared" si="37"/>
        <v>1.8792020498822173</v>
      </c>
      <c r="X58" s="36">
        <f t="shared" si="38"/>
        <v>0.37584040997644347</v>
      </c>
      <c r="Y58" s="38"/>
      <c r="Z58" s="32"/>
      <c r="AA58" s="37"/>
    </row>
    <row r="59" spans="1:32" ht="15.75" thickBot="1" x14ac:dyDescent="0.3">
      <c r="C59" s="95" t="s">
        <v>105</v>
      </c>
      <c r="D59" s="24">
        <f t="shared" si="36"/>
        <v>0.22640219028520492</v>
      </c>
      <c r="E59" s="24">
        <f t="shared" si="36"/>
        <v>0.19405902024446139</v>
      </c>
      <c r="F59" s="24">
        <f t="shared" si="36"/>
        <v>0.76006449595747372</v>
      </c>
      <c r="G59" s="24">
        <f t="shared" si="36"/>
        <v>0.21023060526483314</v>
      </c>
      <c r="H59" s="24">
        <f t="shared" si="36"/>
        <v>0.45280438057040984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14"/>
      <c r="W59" s="35">
        <f t="shared" si="37"/>
        <v>1.8435606923223831</v>
      </c>
      <c r="X59" s="36">
        <f t="shared" si="38"/>
        <v>0.36871213846447659</v>
      </c>
      <c r="Y59" s="38"/>
      <c r="Z59" s="32"/>
      <c r="AA59" s="37"/>
    </row>
    <row r="60" spans="1:32" ht="15.75" thickBot="1" x14ac:dyDescent="0.3">
      <c r="C60" s="95" t="s">
        <v>106</v>
      </c>
      <c r="D60" s="24">
        <f t="shared" si="36"/>
        <v>0.33884355757069329</v>
      </c>
      <c r="E60" s="24">
        <f t="shared" si="36"/>
        <v>6.3533167044504985E-2</v>
      </c>
      <c r="F60" s="24">
        <f t="shared" si="36"/>
        <v>0.21177722348168329</v>
      </c>
      <c r="G60" s="24">
        <f t="shared" si="36"/>
        <v>0.65650939279321818</v>
      </c>
      <c r="H60" s="24">
        <f t="shared" si="36"/>
        <v>0.46590989165970326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14"/>
      <c r="W60" s="35">
        <f t="shared" si="37"/>
        <v>1.7365732325498029</v>
      </c>
      <c r="X60" s="36">
        <f t="shared" si="38"/>
        <v>0.34731464650996058</v>
      </c>
      <c r="Y60" s="38"/>
      <c r="Z60" s="32"/>
      <c r="AA60" s="37"/>
    </row>
    <row r="61" spans="1:32" x14ac:dyDescent="0.25">
      <c r="C61" s="95" t="s">
        <v>107</v>
      </c>
      <c r="D61" s="24">
        <f t="shared" si="36"/>
        <v>0.37549026748097314</v>
      </c>
      <c r="E61" s="24">
        <f t="shared" si="36"/>
        <v>0.32369850644911485</v>
      </c>
      <c r="F61" s="24">
        <f t="shared" si="36"/>
        <v>0.14242734283761052</v>
      </c>
      <c r="G61" s="24">
        <f t="shared" si="36"/>
        <v>0.10358352206371675</v>
      </c>
      <c r="H61" s="24">
        <f t="shared" si="36"/>
        <v>0.77687641547787556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14"/>
      <c r="W61" s="35">
        <f t="shared" si="37"/>
        <v>1.7220760543092908</v>
      </c>
      <c r="X61" s="36">
        <f t="shared" si="38"/>
        <v>0.34441521086185817</v>
      </c>
      <c r="Y61" s="38"/>
      <c r="Z61" s="32"/>
      <c r="AA61" s="37"/>
    </row>
    <row r="62" spans="1:32" ht="14.25" customHeight="1" x14ac:dyDescent="0.25">
      <c r="A62" s="3"/>
      <c r="B62" s="3"/>
      <c r="C62" s="92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14"/>
      <c r="W62" s="35"/>
      <c r="X62" s="36"/>
      <c r="Y62" s="38"/>
      <c r="Z62" s="32"/>
      <c r="AA62" s="37"/>
    </row>
    <row r="63" spans="1:32" x14ac:dyDescent="0.25">
      <c r="A63" s="3"/>
      <c r="B63" s="3"/>
      <c r="C63" s="92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14"/>
      <c r="W63" s="35"/>
      <c r="X63" s="36"/>
      <c r="Y63" s="38"/>
      <c r="Z63" s="32"/>
      <c r="AA63" s="43"/>
      <c r="AB63" s="40"/>
      <c r="AC63" s="40"/>
      <c r="AD63" s="40"/>
      <c r="AE63" s="40"/>
      <c r="AF63" s="40"/>
    </row>
    <row r="64" spans="1:32" x14ac:dyDescent="0.25">
      <c r="A64" s="3"/>
      <c r="B64" s="3"/>
      <c r="C64" s="92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14"/>
      <c r="W64" s="35"/>
      <c r="X64" s="36"/>
      <c r="Y64" s="38"/>
      <c r="Z64" s="32"/>
      <c r="AA64" s="43"/>
      <c r="AB64" s="40"/>
      <c r="AC64" s="40"/>
      <c r="AD64" s="40"/>
      <c r="AE64" s="40"/>
      <c r="AF64" s="40"/>
    </row>
    <row r="65" spans="3:53" x14ac:dyDescent="0.25">
      <c r="V65" s="14"/>
      <c r="W65" s="14"/>
      <c r="Y65" s="38"/>
      <c r="AA65" s="40"/>
      <c r="AB65" s="40"/>
      <c r="AC65" s="40"/>
      <c r="AD65" s="40"/>
      <c r="AE65" s="40"/>
      <c r="AF65" s="40"/>
    </row>
    <row r="66" spans="3:53" ht="15.75" thickBot="1" x14ac:dyDescent="0.3">
      <c r="F66" s="39"/>
      <c r="G66" s="39"/>
      <c r="H66" s="39"/>
      <c r="I66" s="39"/>
      <c r="J66" s="39"/>
      <c r="K66" s="39"/>
      <c r="L66" s="39"/>
      <c r="P66" s="39"/>
      <c r="S66" s="39"/>
      <c r="Y66" s="3" t="s">
        <v>12</v>
      </c>
      <c r="Z66" s="3" t="s">
        <v>13</v>
      </c>
      <c r="AA66" s="40"/>
      <c r="AB66" s="40"/>
      <c r="AC66" s="40"/>
      <c r="AD66" s="40"/>
      <c r="AE66" s="40"/>
      <c r="AF66" s="40"/>
    </row>
    <row r="67" spans="3:53" ht="15.75" thickBot="1" x14ac:dyDescent="0.3">
      <c r="C67" s="95" t="s">
        <v>101</v>
      </c>
      <c r="D67" s="24">
        <f>IF(D55="","",D$41*D55)</f>
        <v>0.154577751837111</v>
      </c>
      <c r="E67" s="24">
        <f>IF(E55="","",E$41*E55)</f>
        <v>5.0133324920144121E-2</v>
      </c>
      <c r="F67" s="24">
        <f>IF(F55="","",F$41*F55)</f>
        <v>3.759999369010808E-2</v>
      </c>
      <c r="G67" s="24">
        <f>IF(G55="","",G$41*G55)</f>
        <v>4.5955547843465429E-2</v>
      </c>
      <c r="H67" s="24">
        <f>IF(H55="","",H$41*H55)</f>
        <v>6.2666656150180133E-2</v>
      </c>
      <c r="I67" s="24" t="str">
        <f t="shared" ref="I67:U73" si="39">IF(I55="","",I$42*I55)</f>
        <v/>
      </c>
      <c r="J67" s="24" t="str">
        <f t="shared" si="39"/>
        <v/>
      </c>
      <c r="K67" s="24" t="str">
        <f t="shared" si="39"/>
        <v/>
      </c>
      <c r="L67" s="24" t="str">
        <f t="shared" si="39"/>
        <v/>
      </c>
      <c r="M67" s="24" t="str">
        <f t="shared" si="39"/>
        <v/>
      </c>
      <c r="N67" s="24" t="str">
        <f t="shared" si="39"/>
        <v/>
      </c>
      <c r="O67" s="24" t="str">
        <f t="shared" si="39"/>
        <v/>
      </c>
      <c r="P67" s="24" t="str">
        <f t="shared" si="39"/>
        <v/>
      </c>
      <c r="Q67" s="24" t="str">
        <f t="shared" si="39"/>
        <v/>
      </c>
      <c r="R67" s="24" t="str">
        <f t="shared" si="39"/>
        <v/>
      </c>
      <c r="S67" s="24" t="str">
        <f t="shared" si="39"/>
        <v/>
      </c>
      <c r="T67" s="24" t="str">
        <f t="shared" si="39"/>
        <v/>
      </c>
      <c r="U67" s="24" t="str">
        <f t="shared" si="39"/>
        <v/>
      </c>
      <c r="V67" s="31">
        <f>+SUM(D67:H67)</f>
        <v>0.3509332744410088</v>
      </c>
      <c r="W67" s="41"/>
      <c r="Y67" s="38">
        <f>V67/MAX($V$67:$V$76)*100</f>
        <v>92.409745511935242</v>
      </c>
      <c r="Z67" s="3">
        <f>_xlfn.RANK.EQ(Y67,$Y$67:$Y$76,0)</f>
        <v>5</v>
      </c>
      <c r="AA67" s="44"/>
      <c r="AB67" s="47"/>
      <c r="AC67"/>
      <c r="AD67" s="40"/>
      <c r="AE67" s="75"/>
      <c r="AF67" s="75"/>
      <c r="BA67" s="3">
        <v>9</v>
      </c>
    </row>
    <row r="68" spans="3:53" ht="15.75" thickBot="1" x14ac:dyDescent="0.3">
      <c r="C68" s="95" t="s">
        <v>102</v>
      </c>
      <c r="D68" s="24">
        <f t="shared" ref="D68:H73" si="40">IF(D56="","",D$41*D56)</f>
        <v>9.627539789196031E-2</v>
      </c>
      <c r="E68" s="24">
        <f t="shared" si="40"/>
        <v>0.13753628270280044</v>
      </c>
      <c r="F68" s="24">
        <f t="shared" si="40"/>
        <v>3.09456636081301E-2</v>
      </c>
      <c r="G68" s="24">
        <f t="shared" si="40"/>
        <v>3.438407067570011E-2</v>
      </c>
      <c r="H68" s="24">
        <f t="shared" si="40"/>
        <v>7.5644955486540238E-2</v>
      </c>
      <c r="I68" s="24" t="str">
        <f t="shared" si="39"/>
        <v/>
      </c>
      <c r="J68" s="24" t="str">
        <f t="shared" si="39"/>
        <v/>
      </c>
      <c r="K68" s="24" t="str">
        <f t="shared" si="39"/>
        <v/>
      </c>
      <c r="L68" s="24" t="str">
        <f t="shared" si="39"/>
        <v/>
      </c>
      <c r="M68" s="24" t="str">
        <f t="shared" si="39"/>
        <v/>
      </c>
      <c r="N68" s="24" t="str">
        <f t="shared" si="39"/>
        <v/>
      </c>
      <c r="O68" s="24" t="str">
        <f t="shared" si="39"/>
        <v/>
      </c>
      <c r="P68" s="24" t="str">
        <f t="shared" si="39"/>
        <v/>
      </c>
      <c r="Q68" s="24" t="str">
        <f t="shared" si="39"/>
        <v/>
      </c>
      <c r="R68" s="24" t="str">
        <f t="shared" si="39"/>
        <v/>
      </c>
      <c r="S68" s="24" t="str">
        <f t="shared" si="39"/>
        <v/>
      </c>
      <c r="T68" s="24" t="str">
        <f t="shared" si="39"/>
        <v/>
      </c>
      <c r="U68" s="24" t="str">
        <f t="shared" si="39"/>
        <v/>
      </c>
      <c r="V68" s="31">
        <f t="shared" ref="V68:V73" si="41">+SUM(D68:H68)</f>
        <v>0.37478637036513118</v>
      </c>
      <c r="W68" s="41"/>
      <c r="Y68" s="38">
        <f t="shared" ref="Y68:Y73" si="42">V68/MAX($V$67:$V$76)*100</f>
        <v>98.690878378378386</v>
      </c>
      <c r="Z68" s="3">
        <f t="shared" ref="Z68:Z73" si="43">_xlfn.RANK.EQ(Y68,$Y$67:$Y$76,0)</f>
        <v>3</v>
      </c>
      <c r="AA68" s="44"/>
      <c r="AB68" s="47"/>
      <c r="AC68"/>
      <c r="AD68" s="40"/>
      <c r="AE68" s="75"/>
      <c r="AF68" s="75"/>
      <c r="BA68" s="3">
        <v>6</v>
      </c>
    </row>
    <row r="69" spans="3:53" ht="15.75" thickBot="1" x14ac:dyDescent="0.3">
      <c r="C69" s="95" t="s">
        <v>103</v>
      </c>
      <c r="D69" s="24">
        <f t="shared" si="40"/>
        <v>0.19892078520021467</v>
      </c>
      <c r="E69" s="24">
        <f t="shared" si="40"/>
        <v>7.6855757918264767E-2</v>
      </c>
      <c r="F69" s="24">
        <f t="shared" si="40"/>
        <v>4.0688342427316636E-2</v>
      </c>
      <c r="G69" s="24">
        <f t="shared" si="40"/>
        <v>3.1646488554579612E-2</v>
      </c>
      <c r="H69" s="24">
        <f t="shared" si="40"/>
        <v>3.1646488554579612E-2</v>
      </c>
      <c r="I69" s="24" t="str">
        <f t="shared" si="39"/>
        <v/>
      </c>
      <c r="J69" s="24" t="str">
        <f t="shared" si="39"/>
        <v/>
      </c>
      <c r="K69" s="24" t="str">
        <f t="shared" si="39"/>
        <v/>
      </c>
      <c r="L69" s="24" t="str">
        <f t="shared" si="39"/>
        <v/>
      </c>
      <c r="M69" s="24" t="str">
        <f t="shared" si="39"/>
        <v/>
      </c>
      <c r="N69" s="24" t="str">
        <f t="shared" si="39"/>
        <v/>
      </c>
      <c r="O69" s="24" t="str">
        <f t="shared" si="39"/>
        <v/>
      </c>
      <c r="P69" s="24" t="str">
        <f t="shared" si="39"/>
        <v/>
      </c>
      <c r="Q69" s="24" t="str">
        <f t="shared" si="39"/>
        <v/>
      </c>
      <c r="R69" s="24" t="str">
        <f t="shared" si="39"/>
        <v/>
      </c>
      <c r="S69" s="24" t="str">
        <f t="shared" si="39"/>
        <v/>
      </c>
      <c r="T69" s="24" t="str">
        <f t="shared" si="39"/>
        <v/>
      </c>
      <c r="U69" s="24" t="str">
        <f t="shared" si="39"/>
        <v/>
      </c>
      <c r="V69" s="31">
        <f t="shared" si="41"/>
        <v>0.37975786265495531</v>
      </c>
      <c r="W69" s="41"/>
      <c r="Y69" s="38">
        <f t="shared" si="42"/>
        <v>100</v>
      </c>
      <c r="Z69" s="3">
        <f t="shared" si="43"/>
        <v>1</v>
      </c>
      <c r="AA69" s="44"/>
      <c r="AB69" s="47"/>
      <c r="AC69"/>
      <c r="AD69" s="40"/>
      <c r="AE69" s="75"/>
      <c r="AF69" s="75"/>
      <c r="BA69" s="3">
        <v>3</v>
      </c>
    </row>
    <row r="70" spans="3:53" ht="15.75" thickBot="1" x14ac:dyDescent="0.3">
      <c r="C70" s="95" t="s">
        <v>104</v>
      </c>
      <c r="D70" s="24">
        <f t="shared" si="40"/>
        <v>0.14728880931509275</v>
      </c>
      <c r="E70" s="24">
        <f t="shared" si="40"/>
        <v>4.5710320132270159E-2</v>
      </c>
      <c r="F70" s="24">
        <f t="shared" si="40"/>
        <v>5.0789244591411282E-3</v>
      </c>
      <c r="G70" s="24">
        <f t="shared" si="40"/>
        <v>0.10665741364196367</v>
      </c>
      <c r="H70" s="24">
        <f t="shared" si="40"/>
        <v>7.1104942427975798E-2</v>
      </c>
      <c r="I70" s="24" t="str">
        <f t="shared" si="39"/>
        <v/>
      </c>
      <c r="J70" s="24" t="str">
        <f t="shared" si="39"/>
        <v/>
      </c>
      <c r="K70" s="24" t="str">
        <f t="shared" si="39"/>
        <v/>
      </c>
      <c r="L70" s="24" t="str">
        <f t="shared" si="39"/>
        <v/>
      </c>
      <c r="M70" s="24" t="str">
        <f t="shared" si="39"/>
        <v/>
      </c>
      <c r="N70" s="24" t="str">
        <f t="shared" si="39"/>
        <v/>
      </c>
      <c r="O70" s="24" t="str">
        <f t="shared" si="39"/>
        <v/>
      </c>
      <c r="P70" s="24" t="str">
        <f t="shared" si="39"/>
        <v/>
      </c>
      <c r="Q70" s="24" t="str">
        <f t="shared" si="39"/>
        <v/>
      </c>
      <c r="R70" s="24" t="str">
        <f t="shared" si="39"/>
        <v/>
      </c>
      <c r="S70" s="24" t="str">
        <f t="shared" si="39"/>
        <v/>
      </c>
      <c r="T70" s="24" t="str">
        <f t="shared" si="39"/>
        <v/>
      </c>
      <c r="U70" s="24" t="str">
        <f t="shared" si="39"/>
        <v/>
      </c>
      <c r="V70" s="31">
        <f t="shared" si="41"/>
        <v>0.37584040997644352</v>
      </c>
      <c r="W70" s="41"/>
      <c r="Y70" s="38">
        <f t="shared" si="42"/>
        <v>98.968434082937961</v>
      </c>
      <c r="Z70" s="3">
        <f t="shared" si="43"/>
        <v>2</v>
      </c>
      <c r="AA70" s="44"/>
      <c r="AB70" s="47"/>
      <c r="AC70"/>
      <c r="AD70" s="40"/>
      <c r="AE70" s="75"/>
      <c r="AF70" s="75"/>
      <c r="BA70" s="3">
        <v>5</v>
      </c>
    </row>
    <row r="71" spans="3:53" ht="15.75" thickBot="1" x14ac:dyDescent="0.3">
      <c r="C71" s="95" t="s">
        <v>105</v>
      </c>
      <c r="D71" s="24">
        <f t="shared" si="40"/>
        <v>4.5280438057040989E-2</v>
      </c>
      <c r="E71" s="24">
        <f t="shared" si="40"/>
        <v>3.8811804048892284E-2</v>
      </c>
      <c r="F71" s="24">
        <f t="shared" si="40"/>
        <v>0.15201289919149474</v>
      </c>
      <c r="G71" s="24">
        <f t="shared" si="40"/>
        <v>4.204612105296663E-2</v>
      </c>
      <c r="H71" s="24">
        <f t="shared" si="40"/>
        <v>9.0560876114081978E-2</v>
      </c>
      <c r="I71" s="24" t="str">
        <f t="shared" si="39"/>
        <v/>
      </c>
      <c r="J71" s="24" t="str">
        <f t="shared" si="39"/>
        <v/>
      </c>
      <c r="K71" s="24" t="str">
        <f t="shared" si="39"/>
        <v/>
      </c>
      <c r="L71" s="24" t="str">
        <f t="shared" si="39"/>
        <v/>
      </c>
      <c r="M71" s="24" t="str">
        <f t="shared" si="39"/>
        <v/>
      </c>
      <c r="N71" s="24" t="str">
        <f t="shared" si="39"/>
        <v/>
      </c>
      <c r="O71" s="24" t="str">
        <f t="shared" si="39"/>
        <v/>
      </c>
      <c r="P71" s="24" t="str">
        <f t="shared" si="39"/>
        <v/>
      </c>
      <c r="Q71" s="24" t="str">
        <f t="shared" si="39"/>
        <v/>
      </c>
      <c r="R71" s="24" t="str">
        <f t="shared" si="39"/>
        <v/>
      </c>
      <c r="S71" s="24" t="str">
        <f t="shared" si="39"/>
        <v/>
      </c>
      <c r="T71" s="24" t="str">
        <f t="shared" si="39"/>
        <v/>
      </c>
      <c r="U71" s="24" t="str">
        <f t="shared" si="39"/>
        <v/>
      </c>
      <c r="V71" s="31">
        <f t="shared" si="41"/>
        <v>0.36871213846447665</v>
      </c>
      <c r="W71" s="41"/>
      <c r="Y71" s="38">
        <f t="shared" si="42"/>
        <v>97.091377091377112</v>
      </c>
      <c r="Z71" s="3">
        <f t="shared" si="43"/>
        <v>4</v>
      </c>
      <c r="AA71" s="44"/>
      <c r="AB71" s="47"/>
      <c r="AC71"/>
      <c r="AD71" s="40"/>
      <c r="AE71" s="75"/>
      <c r="AF71" s="75"/>
      <c r="BA71" s="3">
        <v>10</v>
      </c>
    </row>
    <row r="72" spans="3:53" ht="15.75" thickBot="1" x14ac:dyDescent="0.3">
      <c r="C72" s="95" t="s">
        <v>106</v>
      </c>
      <c r="D72" s="24">
        <f t="shared" si="40"/>
        <v>6.7768711514138658E-2</v>
      </c>
      <c r="E72" s="24">
        <f t="shared" si="40"/>
        <v>1.2706633408900998E-2</v>
      </c>
      <c r="F72" s="24">
        <f t="shared" si="40"/>
        <v>4.2355444696336661E-2</v>
      </c>
      <c r="G72" s="24">
        <f t="shared" si="40"/>
        <v>0.13130187855864364</v>
      </c>
      <c r="H72" s="24">
        <f t="shared" si="40"/>
        <v>9.3181978331940654E-2</v>
      </c>
      <c r="I72" s="24" t="str">
        <f t="shared" si="39"/>
        <v/>
      </c>
      <c r="J72" s="24" t="str">
        <f t="shared" si="39"/>
        <v/>
      </c>
      <c r="K72" s="24" t="str">
        <f t="shared" si="39"/>
        <v/>
      </c>
      <c r="L72" s="24" t="str">
        <f t="shared" si="39"/>
        <v/>
      </c>
      <c r="M72" s="24" t="str">
        <f t="shared" si="39"/>
        <v/>
      </c>
      <c r="N72" s="24" t="str">
        <f t="shared" si="39"/>
        <v/>
      </c>
      <c r="O72" s="24" t="str">
        <f t="shared" si="39"/>
        <v/>
      </c>
      <c r="P72" s="24" t="str">
        <f t="shared" si="39"/>
        <v/>
      </c>
      <c r="Q72" s="24" t="str">
        <f t="shared" si="39"/>
        <v/>
      </c>
      <c r="R72" s="24" t="str">
        <f t="shared" si="39"/>
        <v/>
      </c>
      <c r="S72" s="24" t="str">
        <f t="shared" si="39"/>
        <v/>
      </c>
      <c r="T72" s="24" t="str">
        <f t="shared" si="39"/>
        <v/>
      </c>
      <c r="U72" s="24" t="str">
        <f t="shared" si="39"/>
        <v/>
      </c>
      <c r="V72" s="31">
        <f t="shared" si="41"/>
        <v>0.34731464650996058</v>
      </c>
      <c r="W72" s="41"/>
      <c r="Y72" s="38">
        <f>V72/MAX($V$67:$V$76)*100</f>
        <v>91.456867826730857</v>
      </c>
      <c r="Z72" s="3">
        <f t="shared" si="43"/>
        <v>6</v>
      </c>
      <c r="AA72" s="44"/>
      <c r="AB72" s="47"/>
      <c r="AC72"/>
      <c r="AD72" s="40"/>
      <c r="AE72" s="75"/>
      <c r="AF72" s="75"/>
      <c r="BA72" s="3">
        <v>4</v>
      </c>
    </row>
    <row r="73" spans="3:53" x14ac:dyDescent="0.25">
      <c r="C73" s="95" t="s">
        <v>107</v>
      </c>
      <c r="D73" s="24">
        <f t="shared" si="40"/>
        <v>7.5098053496194639E-2</v>
      </c>
      <c r="E73" s="24">
        <f t="shared" si="40"/>
        <v>6.4739701289822968E-2</v>
      </c>
      <c r="F73" s="24">
        <f t="shared" si="40"/>
        <v>2.8485468567522106E-2</v>
      </c>
      <c r="G73" s="24">
        <f t="shared" si="40"/>
        <v>2.0716704412743352E-2</v>
      </c>
      <c r="H73" s="24">
        <f t="shared" si="40"/>
        <v>0.15537528309557513</v>
      </c>
      <c r="I73" s="24" t="str">
        <f t="shared" si="39"/>
        <v/>
      </c>
      <c r="J73" s="24" t="str">
        <f t="shared" si="39"/>
        <v/>
      </c>
      <c r="K73" s="24" t="str">
        <f t="shared" si="39"/>
        <v/>
      </c>
      <c r="L73" s="24" t="str">
        <f t="shared" si="39"/>
        <v/>
      </c>
      <c r="M73" s="24" t="str">
        <f t="shared" si="39"/>
        <v/>
      </c>
      <c r="N73" s="24" t="str">
        <f t="shared" si="39"/>
        <v/>
      </c>
      <c r="O73" s="24" t="str">
        <f t="shared" si="39"/>
        <v/>
      </c>
      <c r="P73" s="24" t="str">
        <f t="shared" si="39"/>
        <v/>
      </c>
      <c r="Q73" s="24" t="str">
        <f t="shared" si="39"/>
        <v/>
      </c>
      <c r="R73" s="24" t="str">
        <f t="shared" si="39"/>
        <v/>
      </c>
      <c r="S73" s="24" t="str">
        <f t="shared" si="39"/>
        <v/>
      </c>
      <c r="T73" s="24" t="str">
        <f t="shared" si="39"/>
        <v/>
      </c>
      <c r="U73" s="24" t="str">
        <f t="shared" si="39"/>
        <v/>
      </c>
      <c r="V73" s="31">
        <f t="shared" si="41"/>
        <v>0.34441521086185822</v>
      </c>
      <c r="W73" s="41"/>
      <c r="Y73" s="38">
        <f t="shared" si="42"/>
        <v>90.693371943371943</v>
      </c>
      <c r="Z73" s="3">
        <f t="shared" si="43"/>
        <v>7</v>
      </c>
      <c r="AA73" s="44"/>
      <c r="AB73" s="47"/>
      <c r="AC73"/>
      <c r="AD73" s="40"/>
      <c r="AE73" s="75"/>
      <c r="AF73" s="75"/>
      <c r="BA73" s="3">
        <v>7</v>
      </c>
    </row>
    <row r="74" spans="3:53" ht="16.5" customHeight="1" x14ac:dyDescent="0.25">
      <c r="C74" s="92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31"/>
      <c r="W74" s="41"/>
      <c r="Y74" s="38"/>
      <c r="AA74" s="44"/>
      <c r="AB74" s="47"/>
      <c r="AC74"/>
      <c r="AD74" s="40"/>
      <c r="AE74" s="75"/>
      <c r="AF74" s="75"/>
    </row>
    <row r="75" spans="3:53" x14ac:dyDescent="0.25">
      <c r="C75" s="92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31"/>
      <c r="W75" s="41"/>
      <c r="Y75" s="38"/>
      <c r="AA75" s="44"/>
      <c r="AB75" s="47"/>
      <c r="AC75"/>
      <c r="AD75" s="40"/>
      <c r="AE75" s="75"/>
      <c r="AF75" s="75"/>
    </row>
    <row r="76" spans="3:53" x14ac:dyDescent="0.25">
      <c r="C76" s="92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31"/>
      <c r="W76" s="41"/>
      <c r="Y76" s="38"/>
      <c r="AA76" s="44"/>
      <c r="AB76" s="47"/>
      <c r="AC76"/>
      <c r="AD76" s="40"/>
      <c r="AE76" s="75"/>
      <c r="AF76" s="75"/>
    </row>
    <row r="77" spans="3:53" x14ac:dyDescent="0.25">
      <c r="V77" s="14">
        <f>AVERAGE(V67:V76)</f>
        <v>0.36310855903911926</v>
      </c>
      <c r="W77" s="14"/>
      <c r="Y77" s="24"/>
      <c r="AA77" s="40"/>
      <c r="AB77" s="40"/>
      <c r="AC77" s="40"/>
      <c r="AD77" s="40"/>
      <c r="AE77" s="40"/>
      <c r="AF77" s="40"/>
    </row>
    <row r="78" spans="3:53" x14ac:dyDescent="0.25">
      <c r="Y78" s="24"/>
      <c r="AA78" s="40"/>
      <c r="AB78" s="40"/>
      <c r="AC78" s="40"/>
      <c r="AD78" s="40"/>
      <c r="AE78" s="40"/>
      <c r="AF78" s="40"/>
    </row>
    <row r="79" spans="3:53" ht="15.75" thickBot="1" x14ac:dyDescent="0.3">
      <c r="C79" s="3" t="s">
        <v>85</v>
      </c>
      <c r="AA79" s="40"/>
      <c r="AB79" s="40"/>
      <c r="AC79" s="40"/>
      <c r="AD79" s="40"/>
      <c r="AE79" s="40"/>
      <c r="AF79" s="40"/>
    </row>
    <row r="80" spans="3:53" ht="15.75" customHeight="1" thickBot="1" x14ac:dyDescent="0.3">
      <c r="C80" s="95" t="s">
        <v>101</v>
      </c>
      <c r="D80" s="3">
        <f>IF(D55="","",D55^D$41)</f>
        <v>0.94978082670916819</v>
      </c>
      <c r="E80" s="3">
        <f>IF(E55="","",E55^E$41)</f>
        <v>0.75826201844123553</v>
      </c>
      <c r="F80" s="3">
        <f t="shared" ref="F80:G80" si="44">IF(F55="","",F55^F$41)</f>
        <v>0.71586570189963517</v>
      </c>
      <c r="G80" s="3">
        <f t="shared" si="44"/>
        <v>0.74518068656910097</v>
      </c>
      <c r="H80" s="3">
        <f>IF(H55="","",H55^H$41)</f>
        <v>0.79286875770984933</v>
      </c>
      <c r="V80" s="31">
        <f>+SUM(D80:H80)</f>
        <v>3.9619579913289895</v>
      </c>
      <c r="Y80" s="38">
        <f>V80/MAX($V$80:$V$89)*100</f>
        <v>98.880977347186629</v>
      </c>
      <c r="Z80" s="3">
        <f>_xlfn.RANK.EQ(Y80,$Y$80:$Y$89,0)</f>
        <v>3</v>
      </c>
      <c r="AA80" s="40"/>
      <c r="AB80" s="40"/>
      <c r="AC80" s="40"/>
      <c r="AD80" s="40"/>
      <c r="AE80" s="40"/>
      <c r="AF80" s="40"/>
    </row>
    <row r="81" spans="3:26" ht="15.75" thickBot="1" x14ac:dyDescent="0.3">
      <c r="C81" s="95" t="s">
        <v>102</v>
      </c>
      <c r="D81" s="3">
        <f>IF(D56="","",D56^D$41)</f>
        <v>0.86396682250199464</v>
      </c>
      <c r="E81" s="3">
        <f t="shared" ref="D81:H86" si="45">IF(E56="","",E56^E$41)</f>
        <v>0.9278493274780566</v>
      </c>
      <c r="F81" s="3">
        <f t="shared" si="45"/>
        <v>0.68851587936727321</v>
      </c>
      <c r="G81" s="3">
        <f t="shared" si="45"/>
        <v>0.70317829844201096</v>
      </c>
      <c r="H81" s="3">
        <f t="shared" si="45"/>
        <v>0.82328460650619972</v>
      </c>
      <c r="V81" s="31">
        <f>+SUM(D81:H81)</f>
        <v>4.0067949342955353</v>
      </c>
      <c r="Y81" s="38">
        <f t="shared" ref="Y81:Y86" si="46">V81/MAX($V$80:$V$89)*100</f>
        <v>100</v>
      </c>
      <c r="Z81" s="3">
        <f t="shared" ref="Z81:Z86" si="47">_xlfn.RANK.EQ(Y81,$Y$80:$Y$89,0)</f>
        <v>1</v>
      </c>
    </row>
    <row r="82" spans="3:26" ht="15.75" thickBot="1" x14ac:dyDescent="0.3">
      <c r="C82" s="95" t="s">
        <v>103</v>
      </c>
      <c r="D82" s="3">
        <f>IF(D57="","",D57^D$41)</f>
        <v>0.99891844822064335</v>
      </c>
      <c r="E82" s="3">
        <f t="shared" si="45"/>
        <v>0.82590345484150429</v>
      </c>
      <c r="F82" s="3">
        <f t="shared" si="45"/>
        <v>0.72725715123849677</v>
      </c>
      <c r="G82" s="3">
        <f t="shared" si="45"/>
        <v>0.69160656409103605</v>
      </c>
      <c r="H82" s="3">
        <f t="shared" si="45"/>
        <v>0.69160656409103605</v>
      </c>
      <c r="V82" s="31">
        <f t="shared" ref="V82:V86" si="48">+SUM(D82:H82)</f>
        <v>3.9352921824827165</v>
      </c>
      <c r="Y82" s="38">
        <f t="shared" si="46"/>
        <v>98.215462658175937</v>
      </c>
      <c r="Z82" s="3">
        <f t="shared" si="47"/>
        <v>4</v>
      </c>
    </row>
    <row r="83" spans="3:26" ht="15.75" thickBot="1" x14ac:dyDescent="0.3">
      <c r="C83" s="95" t="s">
        <v>104</v>
      </c>
      <c r="D83" s="3">
        <f t="shared" si="45"/>
        <v>0.94064976457345639</v>
      </c>
      <c r="E83" s="3">
        <f t="shared" si="45"/>
        <v>0.74438369787676362</v>
      </c>
      <c r="F83" s="3">
        <f t="shared" si="45"/>
        <v>0.47967639975842313</v>
      </c>
      <c r="G83" s="3">
        <f t="shared" si="45"/>
        <v>0.8818449059265473</v>
      </c>
      <c r="H83" s="3">
        <f t="shared" si="45"/>
        <v>0.81315616445472927</v>
      </c>
      <c r="V83" s="31">
        <f t="shared" si="48"/>
        <v>3.8597109325899197</v>
      </c>
      <c r="Y83" s="38">
        <f t="shared" si="46"/>
        <v>96.329135777659275</v>
      </c>
      <c r="Z83" s="3">
        <f t="shared" si="47"/>
        <v>7</v>
      </c>
    </row>
    <row r="84" spans="3:26" ht="15.75" thickBot="1" x14ac:dyDescent="0.3">
      <c r="C84" s="95" t="s">
        <v>105</v>
      </c>
      <c r="D84" s="3">
        <f t="shared" si="45"/>
        <v>0.74297829179288277</v>
      </c>
      <c r="E84" s="3">
        <f t="shared" si="45"/>
        <v>0.72042166855728962</v>
      </c>
      <c r="F84" s="3">
        <f t="shared" si="45"/>
        <v>0.94660782299020474</v>
      </c>
      <c r="G84" s="3">
        <f t="shared" si="45"/>
        <v>0.73204737579054757</v>
      </c>
      <c r="H84" s="3">
        <f t="shared" si="45"/>
        <v>0.85345794158099153</v>
      </c>
      <c r="V84" s="31">
        <f t="shared" si="48"/>
        <v>3.9955131007119165</v>
      </c>
      <c r="Y84" s="38">
        <f t="shared" si="46"/>
        <v>99.718432468628379</v>
      </c>
      <c r="Z84" s="3">
        <f t="shared" si="47"/>
        <v>2</v>
      </c>
    </row>
    <row r="85" spans="3:26" ht="15.75" thickBot="1" x14ac:dyDescent="0.3">
      <c r="C85" s="95" t="s">
        <v>106</v>
      </c>
      <c r="D85" s="3">
        <f t="shared" si="45"/>
        <v>0.80537815665851609</v>
      </c>
      <c r="E85" s="3">
        <f t="shared" si="45"/>
        <v>0.57623562038794063</v>
      </c>
      <c r="F85" s="3">
        <f t="shared" si="45"/>
        <v>0.73312132095581251</v>
      </c>
      <c r="G85" s="3">
        <f t="shared" si="45"/>
        <v>0.91928079833977605</v>
      </c>
      <c r="H85" s="3">
        <f t="shared" si="45"/>
        <v>0.858342044374377</v>
      </c>
      <c r="V85" s="31">
        <f t="shared" si="48"/>
        <v>3.8923579407164222</v>
      </c>
      <c r="Y85" s="38">
        <f t="shared" si="46"/>
        <v>97.14392686784123</v>
      </c>
      <c r="Z85" s="3">
        <f t="shared" si="47"/>
        <v>5</v>
      </c>
    </row>
    <row r="86" spans="3:26" x14ac:dyDescent="0.25">
      <c r="C86" s="95" t="s">
        <v>107</v>
      </c>
      <c r="D86" s="3">
        <f t="shared" si="45"/>
        <v>0.82209070328222744</v>
      </c>
      <c r="E86" s="3">
        <f t="shared" si="45"/>
        <v>0.79804639317490333</v>
      </c>
      <c r="F86" s="3">
        <f t="shared" si="45"/>
        <v>0.67720268977442311</v>
      </c>
      <c r="G86" s="3">
        <f t="shared" si="45"/>
        <v>0.63541598311456915</v>
      </c>
      <c r="H86" s="3">
        <f t="shared" si="45"/>
        <v>0.95075887361268119</v>
      </c>
      <c r="V86" s="31">
        <f t="shared" si="48"/>
        <v>3.8835146429588043</v>
      </c>
      <c r="Y86" s="38">
        <f t="shared" si="46"/>
        <v>96.923219347176143</v>
      </c>
      <c r="Z86" s="3">
        <f t="shared" si="47"/>
        <v>6</v>
      </c>
    </row>
    <row r="87" spans="3:26" x14ac:dyDescent="0.25">
      <c r="C87" s="92"/>
      <c r="V87" s="31"/>
      <c r="Y87" s="38"/>
    </row>
    <row r="88" spans="3:26" x14ac:dyDescent="0.25">
      <c r="C88" s="92"/>
      <c r="V88" s="31"/>
      <c r="Y88" s="38"/>
    </row>
    <row r="89" spans="3:26" x14ac:dyDescent="0.25">
      <c r="C89" s="92"/>
      <c r="V89" s="31"/>
      <c r="Y89" s="38"/>
    </row>
    <row r="90" spans="3:26" x14ac:dyDescent="0.25">
      <c r="V90" s="14">
        <f>AVERAGE(V80:V89)</f>
        <v>3.9335916750120434</v>
      </c>
    </row>
    <row r="112" spans="3:11" x14ac:dyDescent="0.25"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3:14" x14ac:dyDescent="0.25">
      <c r="C113" s="37"/>
      <c r="J113" s="3" t="s">
        <v>14</v>
      </c>
      <c r="K113" s="3" t="s">
        <v>15</v>
      </c>
      <c r="L113" s="3" t="s">
        <v>16</v>
      </c>
      <c r="M113" s="3" t="s">
        <v>17</v>
      </c>
      <c r="N113" s="3" t="s">
        <v>18</v>
      </c>
    </row>
    <row r="114" spans="3:14" x14ac:dyDescent="0.25">
      <c r="D114">
        <v>0.2112</v>
      </c>
      <c r="E114">
        <v>0.19639999999999999</v>
      </c>
      <c r="F114">
        <v>0.17449999999999999</v>
      </c>
      <c r="G114">
        <v>0.20669999999999999</v>
      </c>
      <c r="H114">
        <v>0.2112</v>
      </c>
      <c r="J114" s="39">
        <f>D114/MAX($D114:$H114)*100</f>
        <v>100</v>
      </c>
      <c r="K114" s="39">
        <f>E114/MAX($D114:$H114)*100</f>
        <v>92.992424242424249</v>
      </c>
      <c r="L114" s="39">
        <f>F114/MAX($D114:$H114)*100</f>
        <v>82.623106060606062</v>
      </c>
      <c r="M114" s="39">
        <f>G114/MAX($D114:$H114)*100</f>
        <v>97.869318181818173</v>
      </c>
      <c r="N114" s="39">
        <f>H114/MAX($D114:$H114)*100</f>
        <v>100</v>
      </c>
    </row>
    <row r="115" spans="3:14" x14ac:dyDescent="0.25">
      <c r="D115">
        <v>0.28399999999999997</v>
      </c>
      <c r="E115">
        <v>0.2172</v>
      </c>
      <c r="F115">
        <v>0.22220000000000001</v>
      </c>
      <c r="G115">
        <v>0.27660000000000001</v>
      </c>
      <c r="H115" s="37"/>
      <c r="J115" s="39">
        <f t="shared" ref="J115:M119" si="49">D115/MAX($D115:$H115)*100</f>
        <v>100</v>
      </c>
      <c r="K115" s="39">
        <f t="shared" si="49"/>
        <v>76.478873239436624</v>
      </c>
      <c r="L115" s="39">
        <f t="shared" si="49"/>
        <v>78.239436619718319</v>
      </c>
      <c r="M115" s="39">
        <f t="shared" si="49"/>
        <v>97.394366197183118</v>
      </c>
      <c r="N115" s="39"/>
    </row>
    <row r="116" spans="3:14" x14ac:dyDescent="0.25">
      <c r="D116">
        <v>0.26779999999999998</v>
      </c>
      <c r="E116">
        <v>0.23799999999999999</v>
      </c>
      <c r="F116">
        <v>0.2253</v>
      </c>
      <c r="G116">
        <v>0.26889999999999997</v>
      </c>
      <c r="H116" s="37"/>
      <c r="J116" s="39">
        <f t="shared" si="49"/>
        <v>99.590925994793608</v>
      </c>
      <c r="K116" s="39">
        <f t="shared" si="49"/>
        <v>88.508739308293045</v>
      </c>
      <c r="L116" s="39">
        <f t="shared" si="49"/>
        <v>83.785793975455576</v>
      </c>
      <c r="M116" s="39">
        <f t="shared" si="49"/>
        <v>100</v>
      </c>
      <c r="N116" s="39"/>
    </row>
    <row r="117" spans="3:14" x14ac:dyDescent="0.25">
      <c r="D117">
        <v>0.31130000000000002</v>
      </c>
      <c r="E117">
        <v>0.23130000000000001</v>
      </c>
      <c r="F117">
        <v>0.2354</v>
      </c>
      <c r="G117">
        <v>0.22209999999999999</v>
      </c>
      <c r="H117" s="37"/>
      <c r="J117" s="39">
        <f t="shared" si="49"/>
        <v>100</v>
      </c>
      <c r="K117" s="39">
        <f t="shared" si="49"/>
        <v>74.30131705750081</v>
      </c>
      <c r="L117" s="39">
        <f t="shared" si="49"/>
        <v>75.618374558303884</v>
      </c>
      <c r="M117" s="39">
        <f t="shared" si="49"/>
        <v>71.345968519113384</v>
      </c>
      <c r="N117" s="39"/>
    </row>
    <row r="118" spans="3:14" x14ac:dyDescent="0.25">
      <c r="D118">
        <v>0.39369999999999999</v>
      </c>
      <c r="E118">
        <v>0.3054</v>
      </c>
      <c r="F118">
        <v>0.3009</v>
      </c>
      <c r="G118" s="37"/>
      <c r="H118" s="37"/>
      <c r="J118" s="39">
        <f t="shared" si="49"/>
        <v>100</v>
      </c>
      <c r="K118" s="39">
        <f t="shared" si="49"/>
        <v>77.571755143510288</v>
      </c>
      <c r="L118" s="39">
        <f t="shared" si="49"/>
        <v>76.428752857505728</v>
      </c>
      <c r="M118" s="39"/>
      <c r="N118" s="39"/>
    </row>
    <row r="119" spans="3:14" x14ac:dyDescent="0.25">
      <c r="D119">
        <v>0.29830000000000001</v>
      </c>
      <c r="E119">
        <v>0.33110000000000001</v>
      </c>
      <c r="F119">
        <v>0.37059999999999998</v>
      </c>
      <c r="G119" s="37"/>
      <c r="H119" s="37"/>
      <c r="J119" s="39">
        <f t="shared" si="49"/>
        <v>80.491095520777122</v>
      </c>
      <c r="K119" s="39">
        <f t="shared" si="49"/>
        <v>89.341608202914202</v>
      </c>
      <c r="L119" s="39">
        <f t="shared" si="49"/>
        <v>100</v>
      </c>
      <c r="M119" s="39"/>
      <c r="N119" s="39"/>
    </row>
    <row r="121" spans="3:14" x14ac:dyDescent="0.25">
      <c r="D121" s="3">
        <v>0.2</v>
      </c>
      <c r="E121" s="3">
        <v>0.2</v>
      </c>
      <c r="F121" s="3">
        <v>0.2</v>
      </c>
      <c r="G121" s="3">
        <v>0.2</v>
      </c>
      <c r="H121" s="3">
        <v>0.2</v>
      </c>
    </row>
    <row r="122" spans="3:14" x14ac:dyDescent="0.25">
      <c r="D122" s="3">
        <v>0.25</v>
      </c>
      <c r="E122" s="3">
        <v>0.25</v>
      </c>
      <c r="F122" s="3">
        <v>0.25</v>
      </c>
      <c r="G122" s="3">
        <v>0.25</v>
      </c>
    </row>
    <row r="123" spans="3:14" x14ac:dyDescent="0.25">
      <c r="D123" s="3">
        <v>0.25</v>
      </c>
      <c r="E123" s="3">
        <v>0.25</v>
      </c>
      <c r="F123" s="3">
        <v>0.25</v>
      </c>
      <c r="G123" s="3">
        <v>0.25</v>
      </c>
    </row>
    <row r="124" spans="3:14" x14ac:dyDescent="0.25">
      <c r="D124" s="3">
        <v>0.25</v>
      </c>
      <c r="E124" s="3">
        <v>0.25</v>
      </c>
      <c r="F124" s="3">
        <v>0.25</v>
      </c>
      <c r="G124" s="3">
        <v>0.25</v>
      </c>
    </row>
    <row r="125" spans="3:14" x14ac:dyDescent="0.25">
      <c r="D125" s="3">
        <v>0.33</v>
      </c>
      <c r="E125" s="3">
        <v>0.33</v>
      </c>
      <c r="F125" s="3">
        <v>0.33</v>
      </c>
    </row>
    <row r="126" spans="3:14" x14ac:dyDescent="0.25">
      <c r="D126" s="3">
        <v>0.33</v>
      </c>
      <c r="E126" s="3">
        <v>0.33</v>
      </c>
      <c r="F126" s="3">
        <v>0.33</v>
      </c>
    </row>
    <row r="128" spans="3:14" x14ac:dyDescent="0.25">
      <c r="D128" s="3">
        <v>0.3</v>
      </c>
      <c r="E128" s="3">
        <v>0.25</v>
      </c>
      <c r="F128" s="3">
        <v>0.2</v>
      </c>
      <c r="G128" s="3">
        <v>0.1</v>
      </c>
      <c r="H128" s="3">
        <v>0.15</v>
      </c>
    </row>
    <row r="129" spans="4:21" x14ac:dyDescent="0.25">
      <c r="D129" s="3">
        <v>0.3</v>
      </c>
      <c r="E129" s="3">
        <v>0.15</v>
      </c>
      <c r="F129" s="3">
        <v>0.4</v>
      </c>
      <c r="G129" s="3">
        <v>0.15</v>
      </c>
    </row>
    <row r="130" spans="4:21" x14ac:dyDescent="0.25">
      <c r="D130" s="3">
        <v>0.15</v>
      </c>
      <c r="E130" s="3">
        <v>0.4</v>
      </c>
      <c r="F130" s="3">
        <v>0.3</v>
      </c>
      <c r="G130" s="3">
        <v>0.15</v>
      </c>
    </row>
    <row r="131" spans="4:21" x14ac:dyDescent="0.25">
      <c r="D131" s="3">
        <v>0.25</v>
      </c>
      <c r="E131" s="3">
        <v>0.3</v>
      </c>
      <c r="F131" s="3">
        <v>0.2</v>
      </c>
      <c r="G131" s="3">
        <v>0.25</v>
      </c>
    </row>
    <row r="132" spans="4:21" x14ac:dyDescent="0.25">
      <c r="D132" s="3">
        <v>0.3</v>
      </c>
      <c r="E132" s="3">
        <v>0.3</v>
      </c>
      <c r="F132" s="3">
        <v>0.4</v>
      </c>
    </row>
    <row r="133" spans="4:21" x14ac:dyDescent="0.25">
      <c r="D133" s="3">
        <v>0.4</v>
      </c>
      <c r="E133" s="3">
        <v>0.4</v>
      </c>
      <c r="F133" s="3">
        <v>0.2</v>
      </c>
    </row>
    <row r="135" spans="4:21" x14ac:dyDescent="0.25">
      <c r="D135" s="3" t="s">
        <v>19</v>
      </c>
    </row>
    <row r="136" spans="4:21" x14ac:dyDescent="0.25">
      <c r="D136" s="3">
        <v>0.25</v>
      </c>
      <c r="E136" s="3">
        <v>0.25</v>
      </c>
      <c r="F136" s="3">
        <v>0.25</v>
      </c>
      <c r="G136" s="3">
        <v>0.25</v>
      </c>
      <c r="H136" s="3">
        <v>0.25</v>
      </c>
      <c r="I136" s="3">
        <v>0.25</v>
      </c>
      <c r="J136" s="3">
        <v>0.25</v>
      </c>
      <c r="K136" s="3">
        <v>0.25</v>
      </c>
      <c r="L136" s="3">
        <v>0.25</v>
      </c>
      <c r="M136" s="3">
        <v>0.25</v>
      </c>
      <c r="N136" s="3">
        <v>0.25</v>
      </c>
      <c r="O136" s="3">
        <v>0.25</v>
      </c>
      <c r="P136" s="3">
        <f>1/3</f>
        <v>0.33333333333333331</v>
      </c>
      <c r="Q136" s="3">
        <f t="shared" ref="Q136:U136" si="50">1/3</f>
        <v>0.33333333333333331</v>
      </c>
      <c r="R136" s="3">
        <f t="shared" si="50"/>
        <v>0.33333333333333331</v>
      </c>
      <c r="S136" s="3">
        <f t="shared" si="50"/>
        <v>0.33333333333333331</v>
      </c>
      <c r="T136" s="3">
        <f t="shared" si="50"/>
        <v>0.33333333333333331</v>
      </c>
      <c r="U136" s="3">
        <f t="shared" si="50"/>
        <v>0.33333333333333331</v>
      </c>
    </row>
    <row r="138" spans="4:21" x14ac:dyDescent="0.25">
      <c r="D138" s="3">
        <v>0.2112</v>
      </c>
      <c r="H138" s="3">
        <v>0.19639999999999999</v>
      </c>
      <c r="L138" s="3">
        <v>0.17449999999999999</v>
      </c>
      <c r="P138" s="3">
        <v>0.20669999999999999</v>
      </c>
      <c r="S138" s="3">
        <v>0.2112</v>
      </c>
    </row>
    <row r="139" spans="4:21" x14ac:dyDescent="0.25">
      <c r="D139" s="3">
        <v>0.28399999999999997</v>
      </c>
      <c r="E139" s="3">
        <v>0.2172</v>
      </c>
      <c r="F139" s="3">
        <v>0.22220000000000001</v>
      </c>
      <c r="G139" s="3">
        <v>0.27660000000000001</v>
      </c>
      <c r="H139" s="3">
        <v>0.26779999999999998</v>
      </c>
      <c r="I139" s="3">
        <v>0.23799999999999999</v>
      </c>
      <c r="J139" s="3">
        <v>0.2253</v>
      </c>
      <c r="K139" s="3">
        <v>0.26889999999999997</v>
      </c>
      <c r="L139" s="3">
        <v>0.31130000000000002</v>
      </c>
      <c r="M139" s="3">
        <v>0.23130000000000001</v>
      </c>
      <c r="N139" s="3">
        <v>0.2354</v>
      </c>
      <c r="O139" s="3">
        <v>0.22209999999999999</v>
      </c>
      <c r="P139" s="3">
        <v>0.39369999999999999</v>
      </c>
      <c r="Q139" s="3">
        <v>0.3054</v>
      </c>
      <c r="R139" s="3">
        <v>0.3009</v>
      </c>
      <c r="S139" s="3">
        <v>0.29830000000000001</v>
      </c>
      <c r="T139" s="3">
        <v>0.33110000000000001</v>
      </c>
      <c r="U139" s="3">
        <v>0.37059999999999998</v>
      </c>
    </row>
  </sheetData>
  <mergeCells count="7">
    <mergeCell ref="S3:U3"/>
    <mergeCell ref="C2:C3"/>
    <mergeCell ref="D3:F3"/>
    <mergeCell ref="G3:I3"/>
    <mergeCell ref="J3:L3"/>
    <mergeCell ref="M3:O3"/>
    <mergeCell ref="P3:R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69"/>
  <sheetViews>
    <sheetView topLeftCell="A10" zoomScale="85" zoomScaleNormal="85" workbookViewId="0">
      <selection activeCell="A4" sqref="A4:A10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29" customWidth="1"/>
    <col min="32" max="44" width="10.5703125" bestFit="1" customWidth="1"/>
  </cols>
  <sheetData>
    <row r="1" spans="1:44" ht="15.75" thickBot="1" x14ac:dyDescent="0.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44" ht="18" customHeight="1" thickBot="1" x14ac:dyDescent="0.3">
      <c r="B2" s="64" t="s">
        <v>108</v>
      </c>
      <c r="C2" s="65" t="s">
        <v>109</v>
      </c>
      <c r="D2" s="66" t="s">
        <v>110</v>
      </c>
      <c r="E2" s="67" t="s">
        <v>111</v>
      </c>
      <c r="F2" s="68" t="s">
        <v>112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44" ht="31.5" customHeight="1" thickBot="1" x14ac:dyDescent="0.3">
      <c r="A3" s="45" t="s">
        <v>21</v>
      </c>
    </row>
    <row r="4" spans="1:44" ht="18" customHeight="1" thickBot="1" x14ac:dyDescent="0.3">
      <c r="A4" s="95" t="s">
        <v>101</v>
      </c>
      <c r="B4" s="46">
        <f>+AHP_nivel_0!D55</f>
        <v>0.772888759185555</v>
      </c>
      <c r="C4" s="46">
        <f>+AHP_nivel_0!E55</f>
        <v>0.25066662460072059</v>
      </c>
      <c r="D4" s="46">
        <f>+AHP_nivel_0!F55</f>
        <v>0.18799996845054037</v>
      </c>
      <c r="E4" s="46">
        <f>+AHP_nivel_0!G55</f>
        <v>0.22977773921732714</v>
      </c>
      <c r="F4" s="46">
        <f>+AHP_nivel_0!H55</f>
        <v>0.31333328075090067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U4" s="47"/>
    </row>
    <row r="5" spans="1:44" ht="18" customHeight="1" thickBot="1" x14ac:dyDescent="0.3">
      <c r="A5" s="95" t="s">
        <v>102</v>
      </c>
      <c r="B5" s="46">
        <f>+AHP_nivel_0!D56</f>
        <v>0.48137698945980151</v>
      </c>
      <c r="C5" s="46">
        <f>+AHP_nivel_0!E56</f>
        <v>0.68768141351400214</v>
      </c>
      <c r="D5" s="46">
        <f>+AHP_nivel_0!F56</f>
        <v>0.15472831804065049</v>
      </c>
      <c r="E5" s="46">
        <f>+AHP_nivel_0!G56</f>
        <v>0.17192035337850053</v>
      </c>
      <c r="F5" s="46">
        <f>+AHP_nivel_0!H56</f>
        <v>0.37822477743270116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8" customHeight="1" thickBot="1" x14ac:dyDescent="0.3">
      <c r="A6" s="95" t="s">
        <v>103</v>
      </c>
      <c r="B6" s="46">
        <f>+AHP_nivel_0!D57</f>
        <v>0.99460392600107328</v>
      </c>
      <c r="C6" s="46">
        <f>+AHP_nivel_0!E57</f>
        <v>0.38427878959132378</v>
      </c>
      <c r="D6" s="46">
        <f>+AHP_nivel_0!F57</f>
        <v>0.20344171213658316</v>
      </c>
      <c r="E6" s="46">
        <f>+AHP_nivel_0!G57</f>
        <v>0.15823244277289805</v>
      </c>
      <c r="F6" s="46">
        <f>+AHP_nivel_0!H57</f>
        <v>0.15823244277289805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1:44" ht="18" customHeight="1" thickBot="1" x14ac:dyDescent="0.3">
      <c r="A7" s="95" t="s">
        <v>104</v>
      </c>
      <c r="B7" s="46">
        <f>+AHP_nivel_0!D58</f>
        <v>0.7364440465754637</v>
      </c>
      <c r="C7" s="46">
        <f>+AHP_nivel_0!E58</f>
        <v>0.22855160066135077</v>
      </c>
      <c r="D7" s="46">
        <f>+AHP_nivel_0!F58</f>
        <v>2.5394622295705639E-2</v>
      </c>
      <c r="E7" s="46">
        <f>+AHP_nivel_0!G58</f>
        <v>0.5332870682098183</v>
      </c>
      <c r="F7" s="46">
        <f>+AHP_nivel_0!H58</f>
        <v>0.35552471213987896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spans="1:44" ht="18" customHeight="1" thickBot="1" x14ac:dyDescent="0.3">
      <c r="A8" s="95" t="s">
        <v>105</v>
      </c>
      <c r="B8" s="46">
        <f>+AHP_nivel_0!D59</f>
        <v>0.22640219028520492</v>
      </c>
      <c r="C8" s="46">
        <f>+AHP_nivel_0!E59</f>
        <v>0.19405902024446139</v>
      </c>
      <c r="D8" s="46">
        <f>+AHP_nivel_0!F59</f>
        <v>0.76006449595747372</v>
      </c>
      <c r="E8" s="46">
        <f>+AHP_nivel_0!G59</f>
        <v>0.21023060526483314</v>
      </c>
      <c r="F8" s="46">
        <f>+AHP_nivel_0!H59</f>
        <v>0.45280438057040984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1:44" ht="18" customHeight="1" thickBot="1" x14ac:dyDescent="0.3">
      <c r="A9" s="95" t="s">
        <v>106</v>
      </c>
      <c r="B9" s="46">
        <f>+AHP_nivel_0!D60</f>
        <v>0.33884355757069329</v>
      </c>
      <c r="C9" s="46">
        <f>+AHP_nivel_0!E60</f>
        <v>6.3533167044504985E-2</v>
      </c>
      <c r="D9" s="46">
        <f>+AHP_nivel_0!F60</f>
        <v>0.21177722348168329</v>
      </c>
      <c r="E9" s="46">
        <f>+AHP_nivel_0!G60</f>
        <v>0.65650939279321818</v>
      </c>
      <c r="F9" s="46">
        <f>+AHP_nivel_0!H60</f>
        <v>0.46590989165970326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</row>
    <row r="10" spans="1:44" ht="18" customHeight="1" x14ac:dyDescent="0.25">
      <c r="A10" s="95" t="s">
        <v>107</v>
      </c>
      <c r="B10" s="46">
        <f>+AHP_nivel_0!D61</f>
        <v>0.37549026748097314</v>
      </c>
      <c r="C10" s="46">
        <f>+AHP_nivel_0!E61</f>
        <v>0.32369850644911485</v>
      </c>
      <c r="D10" s="46">
        <f>+AHP_nivel_0!F61</f>
        <v>0.14242734283761052</v>
      </c>
      <c r="E10" s="46">
        <f>+AHP_nivel_0!G61</f>
        <v>0.10358352206371675</v>
      </c>
      <c r="F10" s="46">
        <f>+AHP_nivel_0!H61</f>
        <v>0.77687641547787556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8" customHeight="1" x14ac:dyDescent="0.25">
      <c r="A11" s="93"/>
      <c r="B11" s="46"/>
      <c r="C11" s="46"/>
      <c r="D11" s="46"/>
      <c r="E11" s="46"/>
      <c r="F11" s="69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AA11" s="29">
        <f>ROUND($AC$26*AA19+$AC$25,0)</f>
        <v>4</v>
      </c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</row>
    <row r="12" spans="1:44" ht="18" customHeight="1" x14ac:dyDescent="0.25">
      <c r="A12" s="93"/>
      <c r="B12" s="46"/>
      <c r="C12" s="46"/>
      <c r="D12" s="46"/>
      <c r="E12" s="46"/>
      <c r="F12" s="69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1:44" ht="18" customHeight="1" x14ac:dyDescent="0.25">
      <c r="A13" s="94"/>
      <c r="B13" s="46"/>
      <c r="C13" s="46"/>
      <c r="D13" s="46"/>
      <c r="E13" s="46"/>
      <c r="F13" s="69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5" spans="1:44" x14ac:dyDescent="0.25">
      <c r="AA15" s="29">
        <v>0.25</v>
      </c>
      <c r="AB15" s="29">
        <v>0.25</v>
      </c>
      <c r="AC15" s="29">
        <v>0.25</v>
      </c>
      <c r="AD15" s="29">
        <v>0.25</v>
      </c>
      <c r="AE15" s="29">
        <v>0.25</v>
      </c>
      <c r="AF15" s="29">
        <v>0.25</v>
      </c>
      <c r="AG15" s="29"/>
      <c r="AH15" s="29"/>
      <c r="AI15" s="29"/>
      <c r="AJ15" s="29"/>
      <c r="AK15" s="29"/>
      <c r="AL15" s="29"/>
    </row>
    <row r="17" spans="1:44" ht="15.75" thickBot="1" x14ac:dyDescent="0.3">
      <c r="AA17" s="24">
        <v>0.2112</v>
      </c>
      <c r="AB17" s="24"/>
      <c r="AC17" s="24"/>
      <c r="AD17" s="24"/>
      <c r="AE17" s="24">
        <v>0.19639999999999999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4" ht="26.25" thickBot="1" x14ac:dyDescent="0.3">
      <c r="A18" s="84" t="s">
        <v>88</v>
      </c>
      <c r="B18" s="64" t="s">
        <v>108</v>
      </c>
      <c r="C18" s="65" t="s">
        <v>109</v>
      </c>
      <c r="D18" s="66" t="s">
        <v>110</v>
      </c>
      <c r="E18" s="67" t="s">
        <v>111</v>
      </c>
      <c r="F18" s="68" t="s">
        <v>112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AA18" s="64" t="s">
        <v>108</v>
      </c>
      <c r="AB18" s="65" t="s">
        <v>109</v>
      </c>
      <c r="AC18" s="66" t="s">
        <v>110</v>
      </c>
      <c r="AD18" s="67" t="s">
        <v>111</v>
      </c>
      <c r="AE18" s="68" t="s">
        <v>112</v>
      </c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</row>
    <row r="19" spans="1:44" ht="15.75" thickBot="1" x14ac:dyDescent="0.3">
      <c r="A19" s="95" t="s">
        <v>101</v>
      </c>
      <c r="B19" s="46">
        <f>IFERROR(+$U$26*B4+$U$24,"")</f>
        <v>4.0849647605821247</v>
      </c>
      <c r="C19" s="46">
        <f t="shared" ref="C19:F25" si="0">IFERROR(+$U$26*C4+$U$24,"")</f>
        <v>1.9297145681279839</v>
      </c>
      <c r="D19" s="46">
        <f t="shared" si="0"/>
        <v>1.6710845450334866</v>
      </c>
      <c r="E19" s="46">
        <f t="shared" si="0"/>
        <v>1.8435045604298179</v>
      </c>
      <c r="F19" s="69">
        <f t="shared" si="0"/>
        <v>2.1883445912224806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47"/>
      <c r="U19" t="s">
        <v>23</v>
      </c>
      <c r="Z19" s="52" t="s">
        <v>24</v>
      </c>
      <c r="AA19" s="25">
        <f>+AHP_nivel_0!D41</f>
        <v>0.23661190622200035</v>
      </c>
      <c r="AB19" s="26">
        <f>+AHP_nivel_0!E41</f>
        <v>0.19836512455485553</v>
      </c>
      <c r="AC19" s="27">
        <f>+AHP_nivel_0!F41</f>
        <v>0.13554553409059678</v>
      </c>
      <c r="AD19" s="28">
        <f>+AHP_nivel_0!G41</f>
        <v>0.25355419225961578</v>
      </c>
      <c r="AE19" s="28">
        <f>+AHP_nivel_0!H41</f>
        <v>0.1759232428729316</v>
      </c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</row>
    <row r="20" spans="1:44" ht="15.75" thickBot="1" x14ac:dyDescent="0.3">
      <c r="A20" s="95" t="s">
        <v>102</v>
      </c>
      <c r="B20" s="46">
        <f>IFERROR(+$U$26*B5+$U$24,"")</f>
        <v>2.8818736692717968</v>
      </c>
      <c r="C20" s="46">
        <f t="shared" si="0"/>
        <v>3.7333076093525683</v>
      </c>
      <c r="D20" s="46">
        <f t="shared" si="0"/>
        <v>1.5337699308105748</v>
      </c>
      <c r="E20" s="46">
        <f t="shared" si="0"/>
        <v>1.604722759150639</v>
      </c>
      <c r="F20" s="69">
        <f t="shared" si="0"/>
        <v>2.4561566992314106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47"/>
      <c r="U20" t="s">
        <v>25</v>
      </c>
      <c r="AA20" s="53">
        <f>ROUND($AC$26*AA19+$AC$25,0)</f>
        <v>4</v>
      </c>
      <c r="AB20" s="53">
        <f t="shared" ref="AB20:AE20" si="1">ROUND($AC$26*AB19+$AC$25,0)</f>
        <v>3</v>
      </c>
      <c r="AC20" s="53">
        <f t="shared" si="1"/>
        <v>1</v>
      </c>
      <c r="AD20" s="53">
        <f t="shared" si="1"/>
        <v>5</v>
      </c>
      <c r="AE20" s="53">
        <f t="shared" si="1"/>
        <v>2</v>
      </c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</row>
    <row r="21" spans="1:44" ht="15.75" thickBot="1" x14ac:dyDescent="0.3">
      <c r="A21" s="95" t="s">
        <v>103</v>
      </c>
      <c r="B21" s="46">
        <f t="shared" ref="B21:B25" si="2">IFERROR(+$U$26*B6+$U$24,"")</f>
        <v>5</v>
      </c>
      <c r="C21" s="46">
        <f t="shared" si="0"/>
        <v>2.4811420646647702</v>
      </c>
      <c r="D21" s="46">
        <f t="shared" si="0"/>
        <v>1.7348137875284058</v>
      </c>
      <c r="E21" s="46">
        <f t="shared" si="0"/>
        <v>1.5482317182443148</v>
      </c>
      <c r="F21" s="69">
        <f t="shared" si="0"/>
        <v>1.5482317182443148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47"/>
      <c r="Z21" t="s">
        <v>78</v>
      </c>
      <c r="AA21" s="29">
        <f>ROUND($AC$26*AA19+$AC$25,0)</f>
        <v>4</v>
      </c>
      <c r="AB21" s="29">
        <f t="shared" ref="AB21:AE21" si="3">$AC$26*AB19+$AC$25</f>
        <v>3.1293262560967974</v>
      </c>
      <c r="AC21" s="29">
        <f t="shared" si="3"/>
        <v>0.99984861324056817</v>
      </c>
      <c r="AD21" s="29">
        <f t="shared" si="3"/>
        <v>5.0001421104954495</v>
      </c>
      <c r="AE21" s="29">
        <f t="shared" si="3"/>
        <v>2.3685845041671727</v>
      </c>
    </row>
    <row r="22" spans="1:44" ht="15.75" thickBot="1" x14ac:dyDescent="0.3">
      <c r="A22" s="95" t="s">
        <v>104</v>
      </c>
      <c r="B22" s="46">
        <f t="shared" si="2"/>
        <v>3.9345546790001169</v>
      </c>
      <c r="C22" s="46">
        <f t="shared" si="0"/>
        <v>1.8384441940000333</v>
      </c>
      <c r="D22" s="46">
        <f t="shared" si="0"/>
        <v>1</v>
      </c>
      <c r="E22" s="46">
        <f t="shared" si="0"/>
        <v>3.0961104850000827</v>
      </c>
      <c r="F22" s="69">
        <f t="shared" si="0"/>
        <v>2.3624718152500543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47"/>
    </row>
    <row r="23" spans="1:44" ht="15.75" thickBot="1" x14ac:dyDescent="0.3">
      <c r="A23" s="95" t="s">
        <v>105</v>
      </c>
      <c r="B23" s="46">
        <f t="shared" si="2"/>
        <v>1.8295734150344232</v>
      </c>
      <c r="C23" s="46">
        <f t="shared" si="0"/>
        <v>1.6960907094223621</v>
      </c>
      <c r="D23" s="46">
        <f t="shared" si="0"/>
        <v>4.0320380576334305</v>
      </c>
      <c r="E23" s="46">
        <f t="shared" si="0"/>
        <v>1.7628320622283926</v>
      </c>
      <c r="F23" s="69">
        <f t="shared" si="0"/>
        <v>2.7639523543188504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7"/>
      <c r="W23" t="s">
        <v>26</v>
      </c>
      <c r="X23" s="47">
        <f>+MIN(B4:F13)</f>
        <v>2.5394622295705639E-2</v>
      </c>
      <c r="AB23" s="29" t="s">
        <v>26</v>
      </c>
      <c r="AC23" s="54">
        <f>+ROUND(MIN(AA19:AE19),5)</f>
        <v>0.13555</v>
      </c>
      <c r="AD23" s="54"/>
      <c r="AE23" s="54"/>
      <c r="AF23" s="54"/>
      <c r="AG23" s="54"/>
    </row>
    <row r="24" spans="1:44" ht="18" customHeight="1" thickBot="1" x14ac:dyDescent="0.3">
      <c r="A24" s="95" t="s">
        <v>106</v>
      </c>
      <c r="B24" s="46">
        <f t="shared" si="2"/>
        <v>2.2936274304286859</v>
      </c>
      <c r="C24" s="46">
        <f t="shared" si="0"/>
        <v>1.1574006547522502</v>
      </c>
      <c r="D24" s="46">
        <f t="shared" si="0"/>
        <v>1.7692150724241771</v>
      </c>
      <c r="E24" s="46">
        <f t="shared" si="0"/>
        <v>3.6046583254399573</v>
      </c>
      <c r="F24" s="69">
        <f t="shared" si="0"/>
        <v>2.8180397884331949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47"/>
      <c r="U24" s="55">
        <f>(5*X23-X24)/(X23-X24)</f>
        <v>0.89519447574999589</v>
      </c>
      <c r="W24" t="s">
        <v>27</v>
      </c>
      <c r="X24" s="47">
        <f>+MAX(B4:F13)</f>
        <v>0.99460392600107328</v>
      </c>
      <c r="AB24" s="29" t="s">
        <v>27</v>
      </c>
      <c r="AC24" s="54">
        <f>+ROUND(MAX(AA19:AE19),5)</f>
        <v>0.25355</v>
      </c>
      <c r="AD24" s="54"/>
      <c r="AE24" s="54"/>
      <c r="AF24" s="54"/>
      <c r="AG24" s="54"/>
    </row>
    <row r="25" spans="1:44" x14ac:dyDescent="0.25">
      <c r="A25" s="95" t="s">
        <v>107</v>
      </c>
      <c r="B25" s="46">
        <f t="shared" si="2"/>
        <v>2.4448711701252672</v>
      </c>
      <c r="C25" s="46">
        <f t="shared" si="0"/>
        <v>2.2311226605562648</v>
      </c>
      <c r="D25" s="46">
        <f t="shared" si="0"/>
        <v>1.4830028770647541</v>
      </c>
      <c r="E25" s="46">
        <f t="shared" si="0"/>
        <v>1.322691494888002</v>
      </c>
      <c r="F25" s="69">
        <f t="shared" si="0"/>
        <v>4.10142211928504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47"/>
      <c r="AB25" t="s">
        <v>28</v>
      </c>
      <c r="AC25" s="56">
        <f>(5*AC23-AC24)/(AC23-AC24)</f>
        <v>-3.5949152542372889</v>
      </c>
      <c r="AD25"/>
      <c r="AE25"/>
    </row>
    <row r="26" spans="1:44" x14ac:dyDescent="0.25">
      <c r="A26" s="51"/>
      <c r="B26" s="46"/>
      <c r="C26" s="46"/>
      <c r="D26" s="46"/>
      <c r="E26" s="46"/>
      <c r="F26" s="69"/>
      <c r="G26" s="58"/>
      <c r="H26" s="70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7"/>
      <c r="U26" s="55">
        <f>+-4/(X23-X24)</f>
        <v>4.1270755292047525</v>
      </c>
      <c r="AB26" t="s">
        <v>29</v>
      </c>
      <c r="AC26" s="56">
        <f>+-4/(AC23-AC24)</f>
        <v>33.898305084745765</v>
      </c>
      <c r="AD26"/>
      <c r="AE26"/>
      <c r="AJ26" t="s">
        <v>30</v>
      </c>
    </row>
    <row r="27" spans="1:44" x14ac:dyDescent="0.25">
      <c r="A27" s="51"/>
      <c r="B27" s="46"/>
      <c r="C27" s="46"/>
      <c r="D27" s="46"/>
      <c r="E27" s="46"/>
      <c r="F27" s="69"/>
      <c r="G27" s="58"/>
      <c r="H27" s="7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47"/>
    </row>
    <row r="28" spans="1:44" x14ac:dyDescent="0.25">
      <c r="A28" s="51"/>
      <c r="B28" s="46"/>
      <c r="C28" s="46"/>
      <c r="D28" s="46"/>
      <c r="E28" s="46"/>
      <c r="F28" s="69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47"/>
    </row>
    <row r="29" spans="1:44" x14ac:dyDescent="0.25">
      <c r="A29" s="57"/>
      <c r="B29" s="58"/>
      <c r="C29" s="58"/>
      <c r="D29" s="58"/>
      <c r="E29" s="58"/>
      <c r="F29" s="58"/>
      <c r="T29" s="47"/>
    </row>
    <row r="30" spans="1:44" x14ac:dyDescent="0.25">
      <c r="A30" s="45"/>
      <c r="B30" s="29"/>
      <c r="C30" s="29"/>
      <c r="D30" s="29"/>
      <c r="E30" s="29"/>
      <c r="F30" s="29"/>
      <c r="U30" s="115" t="s">
        <v>31</v>
      </c>
    </row>
    <row r="31" spans="1:44" x14ac:dyDescent="0.25">
      <c r="A31" s="57"/>
      <c r="B31" s="58"/>
      <c r="C31" s="58"/>
      <c r="D31" s="58"/>
      <c r="E31" s="58"/>
      <c r="F31" s="58"/>
      <c r="U31" s="115"/>
    </row>
    <row r="32" spans="1:44" ht="33.75" customHeight="1" thickBot="1" x14ac:dyDescent="0.3">
      <c r="A32" s="52" t="s">
        <v>89</v>
      </c>
      <c r="B32" s="48" t="s">
        <v>32</v>
      </c>
      <c r="C32" s="48" t="s">
        <v>33</v>
      </c>
      <c r="D32" s="48" t="s">
        <v>34</v>
      </c>
      <c r="E32" s="48" t="s">
        <v>35</v>
      </c>
      <c r="F32" s="48" t="s">
        <v>36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U32" s="115"/>
      <c r="W32" t="s">
        <v>37</v>
      </c>
      <c r="AA32" s="116" t="s">
        <v>79</v>
      </c>
      <c r="AB32" s="116"/>
      <c r="AC32" s="116"/>
      <c r="AD32" s="116"/>
    </row>
    <row r="33" spans="1:44" s="29" customFormat="1" ht="15.75" thickBot="1" x14ac:dyDescent="0.3">
      <c r="A33"/>
      <c r="B33">
        <f>+IFERROR(MIN(B19:B28)/B19,0)</f>
        <v>0.44787985264619545</v>
      </c>
      <c r="C33">
        <f t="shared" ref="C33:E33" si="4">+IFERROR(MIN(C19:C28)/C19,0)</f>
        <v>0.59977816090959224</v>
      </c>
      <c r="D33">
        <f t="shared" si="4"/>
        <v>0.59841376845476191</v>
      </c>
      <c r="E33">
        <f t="shared" si="4"/>
        <v>0.71748750899732683</v>
      </c>
      <c r="F33">
        <f>+IFERROR(MIN(F19:F28)/F19,0)</f>
        <v>0.70748991016054841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95" t="s">
        <v>101</v>
      </c>
      <c r="V33" s="47">
        <f>+SUM(B34:S34)</f>
        <v>9.1916850270760513</v>
      </c>
      <c r="W33" s="47">
        <f>+V33/MAX($V$33:$V$42)*100</f>
        <v>82.310365032183356</v>
      </c>
      <c r="X33">
        <f>+RANK(W33,$W$33:$W$42)</f>
        <v>6</v>
      </c>
      <c r="Y33" s="60"/>
      <c r="Z33"/>
      <c r="AA33" s="61">
        <v>92.772569717166846</v>
      </c>
      <c r="AB33" s="29">
        <v>2</v>
      </c>
      <c r="AE33" s="29">
        <f>+B34*C34*D34*E34*F34</f>
        <v>9.7919591603589797</v>
      </c>
      <c r="AF33" s="47">
        <f>+AE33/MAX($AE$33:$AE$42)*100</f>
        <v>82.579968252045362</v>
      </c>
      <c r="AG33">
        <f>+RANK(AF33,$AF$33:$AF$42)</f>
        <v>5</v>
      </c>
      <c r="AH33"/>
      <c r="AI33"/>
      <c r="AJ33"/>
      <c r="AK33"/>
      <c r="AL33"/>
      <c r="AM33"/>
      <c r="AN33"/>
      <c r="AO33"/>
      <c r="AP33"/>
      <c r="AQ33"/>
      <c r="AR33"/>
    </row>
    <row r="34" spans="1:44" s="29" customFormat="1" ht="15.75" thickBot="1" x14ac:dyDescent="0.3">
      <c r="A34" t="s">
        <v>38</v>
      </c>
      <c r="B34">
        <f>+PRODUCT(B33,AA20)</f>
        <v>1.7915194105847818</v>
      </c>
      <c r="C34">
        <f t="shared" ref="C34:E34" si="5">+PRODUCT(C33,AB20)</f>
        <v>1.7993344827287767</v>
      </c>
      <c r="D34">
        <f t="shared" si="5"/>
        <v>0.59841376845476191</v>
      </c>
      <c r="E34">
        <f t="shared" si="5"/>
        <v>3.587437544986634</v>
      </c>
      <c r="F34">
        <f>+PRODUCT(F33,AE20)</f>
        <v>1.4149798203210968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95" t="s">
        <v>102</v>
      </c>
      <c r="V34" s="47">
        <f>+SUM(B37:S37)</f>
        <v>9.5034115825714824</v>
      </c>
      <c r="W34" s="47">
        <f t="shared" ref="W34:W39" si="6">+V34/MAX($V$33:$V$42)*100</f>
        <v>85.101836508574465</v>
      </c>
      <c r="X34">
        <f t="shared" ref="X34:X39" si="7">+RANK(W34,$W$33:$W$42)</f>
        <v>5</v>
      </c>
      <c r="Y34" s="60"/>
      <c r="Z34"/>
      <c r="AA34" s="61">
        <v>70.396477587863828</v>
      </c>
      <c r="AB34" s="29">
        <v>7</v>
      </c>
      <c r="AE34" s="29">
        <f>+B37*C37*D37*E37*F37</f>
        <v>8.0006323827595782</v>
      </c>
      <c r="AF34" s="47">
        <f t="shared" ref="AF34:AF42" si="8">+AE34/MAX($AE$33:$AE$42)*100</f>
        <v>67.472908878058533</v>
      </c>
      <c r="AG34">
        <f t="shared" ref="AG34:AG42" si="9">+RANK(AF34,$AF$33:$AF$42)</f>
        <v>7</v>
      </c>
      <c r="AH34"/>
      <c r="AI34"/>
      <c r="AJ34"/>
      <c r="AK34"/>
      <c r="AL34"/>
      <c r="AM34"/>
      <c r="AN34"/>
      <c r="AO34"/>
      <c r="AP34"/>
      <c r="AQ34"/>
      <c r="AR34"/>
    </row>
    <row r="35" spans="1:44" s="29" customFormat="1" ht="15.75" thickBot="1" x14ac:dyDescent="0.3">
      <c r="A35"/>
      <c r="B35" s="48" t="s">
        <v>39</v>
      </c>
      <c r="C35" s="48" t="s">
        <v>40</v>
      </c>
      <c r="D35" s="48" t="s">
        <v>41</v>
      </c>
      <c r="E35" s="48" t="s">
        <v>42</v>
      </c>
      <c r="F35" s="48" t="s">
        <v>43</v>
      </c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>
        <v>3</v>
      </c>
      <c r="U35" s="95" t="s">
        <v>103</v>
      </c>
      <c r="V35" s="47">
        <f>+SUM(B40:S40)</f>
        <v>9.7111463940853415</v>
      </c>
      <c r="W35" s="47">
        <f t="shared" si="6"/>
        <v>86.962075204224902</v>
      </c>
      <c r="X35">
        <f t="shared" si="7"/>
        <v>3</v>
      </c>
      <c r="Y35" s="60"/>
      <c r="Z35"/>
      <c r="AA35" s="61">
        <v>78.586558556099021</v>
      </c>
      <c r="AB35" s="79">
        <v>5</v>
      </c>
      <c r="AE35" s="29">
        <f>+B40*C40*D40*E40*F40</f>
        <v>10.087020655764146</v>
      </c>
      <c r="AF35" s="47">
        <f t="shared" si="8"/>
        <v>85.068353724648404</v>
      </c>
      <c r="AG35">
        <f t="shared" si="9"/>
        <v>3</v>
      </c>
      <c r="AH35"/>
      <c r="AI35"/>
      <c r="AJ35"/>
      <c r="AK35"/>
      <c r="AL35"/>
      <c r="AM35"/>
      <c r="AN35"/>
      <c r="AO35"/>
      <c r="AP35"/>
      <c r="AQ35"/>
      <c r="AR35"/>
    </row>
    <row r="36" spans="1:44" s="29" customFormat="1" ht="15.75" thickBot="1" x14ac:dyDescent="0.3">
      <c r="A36"/>
      <c r="B36">
        <f t="shared" ref="B36:F36" si="10">+IFERROR(MIN(B19:B28)/B20,0)</f>
        <v>0.63485552282960656</v>
      </c>
      <c r="C36">
        <f t="shared" si="10"/>
        <v>0.31002016867101051</v>
      </c>
      <c r="D36">
        <f t="shared" si="10"/>
        <v>0.65198826754382566</v>
      </c>
      <c r="E36">
        <f t="shared" si="10"/>
        <v>0.82424922769094844</v>
      </c>
      <c r="F36">
        <f t="shared" si="10"/>
        <v>0.63034728962072861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95" t="s">
        <v>104</v>
      </c>
      <c r="V36" s="47">
        <f>+SUM(B43:S43)</f>
        <v>8.1954102564301508</v>
      </c>
      <c r="W36" s="47">
        <f t="shared" si="6"/>
        <v>73.38885175114082</v>
      </c>
      <c r="X36">
        <f t="shared" si="7"/>
        <v>7</v>
      </c>
      <c r="Y36" s="60"/>
      <c r="Z36"/>
      <c r="AA36" s="61">
        <v>67.403529353740197</v>
      </c>
      <c r="AB36" s="29">
        <v>8</v>
      </c>
      <c r="AE36" s="29">
        <f>+B43*C43*D43*E43*F43</f>
        <v>9.8351323748317476</v>
      </c>
      <c r="AF36" s="47">
        <f t="shared" si="8"/>
        <v>82.944067266564659</v>
      </c>
      <c r="AG36">
        <f t="shared" si="9"/>
        <v>4</v>
      </c>
      <c r="AH36"/>
      <c r="AI36"/>
      <c r="AJ36"/>
      <c r="AK36"/>
      <c r="AL36"/>
      <c r="AM36"/>
      <c r="AN36"/>
      <c r="AO36"/>
      <c r="AP36"/>
      <c r="AQ36"/>
      <c r="AR36"/>
    </row>
    <row r="37" spans="1:44" s="29" customFormat="1" ht="15.75" thickBot="1" x14ac:dyDescent="0.3">
      <c r="A37" t="s">
        <v>38</v>
      </c>
      <c r="B37">
        <f>+PRODUCT(B36,AA20)</f>
        <v>2.5394220913184262</v>
      </c>
      <c r="C37">
        <f t="shared" ref="C37:F37" si="11">+PRODUCT(C36,AB20)</f>
        <v>0.93006050601303158</v>
      </c>
      <c r="D37">
        <f t="shared" si="11"/>
        <v>0.65198826754382566</v>
      </c>
      <c r="E37">
        <f t="shared" si="11"/>
        <v>4.1212461384547421</v>
      </c>
      <c r="F37">
        <f t="shared" si="11"/>
        <v>1.2606945792414572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95" t="s">
        <v>105</v>
      </c>
      <c r="V37" s="47">
        <f>+SUM(B46:S46)</f>
        <v>11.167105167717459</v>
      </c>
      <c r="W37" s="47">
        <f t="shared" si="6"/>
        <v>100</v>
      </c>
      <c r="X37">
        <f t="shared" si="7"/>
        <v>1</v>
      </c>
      <c r="Y37" s="60"/>
      <c r="Z37"/>
      <c r="AA37" s="61">
        <v>81.375193655131156</v>
      </c>
      <c r="AB37" s="29">
        <v>4</v>
      </c>
      <c r="AE37" s="29">
        <f>+B46*C46*D46*E46*F46</f>
        <v>8.5358013658074263</v>
      </c>
      <c r="AF37" s="47">
        <f t="shared" si="8"/>
        <v>71.986228113343259</v>
      </c>
      <c r="AG37">
        <f t="shared" si="9"/>
        <v>6</v>
      </c>
      <c r="AH37"/>
      <c r="AI37"/>
      <c r="AJ37"/>
      <c r="AK37"/>
      <c r="AL37"/>
      <c r="AM37"/>
      <c r="AN37"/>
      <c r="AO37"/>
      <c r="AP37"/>
      <c r="AQ37"/>
      <c r="AR37"/>
    </row>
    <row r="38" spans="1:44" s="29" customFormat="1" ht="15.75" thickBot="1" x14ac:dyDescent="0.3">
      <c r="A38"/>
      <c r="B38" s="48" t="s">
        <v>44</v>
      </c>
      <c r="C38" s="48" t="s">
        <v>45</v>
      </c>
      <c r="D38" s="48" t="s">
        <v>46</v>
      </c>
      <c r="E38" s="48" t="s">
        <v>47</v>
      </c>
      <c r="F38" s="48" t="s">
        <v>48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>
        <v>6</v>
      </c>
      <c r="U38" s="95" t="s">
        <v>106</v>
      </c>
      <c r="V38" s="47">
        <f>+SUM(B49:S49)</f>
        <v>9.6894275787475372</v>
      </c>
      <c r="W38" s="47">
        <f t="shared" si="6"/>
        <v>86.767585987802093</v>
      </c>
      <c r="X38">
        <f t="shared" si="7"/>
        <v>4</v>
      </c>
      <c r="Y38" s="60"/>
      <c r="Z38"/>
      <c r="AA38" s="61">
        <v>60.687508049067965</v>
      </c>
      <c r="AB38" s="29">
        <v>9</v>
      </c>
      <c r="AE38" s="29">
        <f>+B49*C49*D49*E49*F49</f>
        <v>10.907139754601046</v>
      </c>
      <c r="AF38" s="47">
        <f t="shared" si="8"/>
        <v>91.984784648811328</v>
      </c>
      <c r="AG38">
        <f t="shared" si="9"/>
        <v>2</v>
      </c>
      <c r="AH38"/>
      <c r="AI38"/>
      <c r="AJ38"/>
      <c r="AK38"/>
      <c r="AL38"/>
      <c r="AM38"/>
      <c r="AN38"/>
      <c r="AO38"/>
      <c r="AP38"/>
      <c r="AQ38"/>
      <c r="AR38"/>
    </row>
    <row r="39" spans="1:44" s="29" customFormat="1" x14ac:dyDescent="0.25">
      <c r="A39"/>
      <c r="B39">
        <f t="shared" ref="B39:E39" si="12">+IFERROR(MIN(B19:B28)/B21,0)</f>
        <v>0.36591468300688462</v>
      </c>
      <c r="C39">
        <f t="shared" si="12"/>
        <v>0.46647899418392547</v>
      </c>
      <c r="D39">
        <f t="shared" si="12"/>
        <v>0.57643074270507322</v>
      </c>
      <c r="E39">
        <f t="shared" si="12"/>
        <v>0.85432398736019044</v>
      </c>
      <c r="F39">
        <f>+IFERROR(MIN(F19:F28)/F21,0)</f>
        <v>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95" t="s">
        <v>107</v>
      </c>
      <c r="V39" s="47">
        <f>+SUM(B52:S52)</f>
        <v>10.978863268541591</v>
      </c>
      <c r="W39" s="47">
        <f t="shared" si="6"/>
        <v>98.314317843803877</v>
      </c>
      <c r="X39">
        <f t="shared" si="7"/>
        <v>2</v>
      </c>
      <c r="Y39" s="60"/>
      <c r="Z39"/>
      <c r="AA39" s="61">
        <v>53.155515273814423</v>
      </c>
      <c r="AB39" s="29">
        <v>10</v>
      </c>
      <c r="AE39" s="29">
        <f>+B52*C52*D52*E52*F52</f>
        <v>11.857547741448121</v>
      </c>
      <c r="AF39" s="47">
        <f t="shared" si="8"/>
        <v>100</v>
      </c>
      <c r="AG39">
        <f t="shared" si="9"/>
        <v>1</v>
      </c>
      <c r="AH39"/>
      <c r="AI39"/>
      <c r="AJ39"/>
      <c r="AK39"/>
      <c r="AL39"/>
      <c r="AM39"/>
      <c r="AN39"/>
      <c r="AO39"/>
      <c r="AP39"/>
      <c r="AQ39"/>
      <c r="AR39"/>
    </row>
    <row r="40" spans="1:44" s="29" customFormat="1" x14ac:dyDescent="0.25">
      <c r="A40" t="s">
        <v>38</v>
      </c>
      <c r="B40">
        <f>+PRODUCT(B39,AA20)</f>
        <v>1.4636587320275385</v>
      </c>
      <c r="C40">
        <f t="shared" ref="C40:F40" si="13">+PRODUCT(C39,AB20)</f>
        <v>1.3994369825517765</v>
      </c>
      <c r="D40">
        <f t="shared" si="13"/>
        <v>0.57643074270507322</v>
      </c>
      <c r="E40">
        <f t="shared" si="13"/>
        <v>4.2716199368009526</v>
      </c>
      <c r="F40">
        <f t="shared" si="13"/>
        <v>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59"/>
      <c r="V40" s="47"/>
      <c r="W40" s="47"/>
      <c r="X40"/>
      <c r="Y40" s="60"/>
      <c r="Z40"/>
      <c r="AA40" s="61">
        <v>77.869757404272036</v>
      </c>
      <c r="AB40" s="79">
        <v>6</v>
      </c>
      <c r="AE40" s="29">
        <f>+B55*C55*D55*E55*F55</f>
        <v>0</v>
      </c>
      <c r="AF40" s="47">
        <f t="shared" si="8"/>
        <v>0</v>
      </c>
      <c r="AG40">
        <f t="shared" si="9"/>
        <v>8</v>
      </c>
      <c r="AH40"/>
      <c r="AI40"/>
      <c r="AJ40"/>
      <c r="AK40"/>
      <c r="AL40"/>
      <c r="AM40"/>
      <c r="AN40"/>
      <c r="AO40"/>
      <c r="AP40"/>
      <c r="AQ40"/>
      <c r="AR40"/>
    </row>
    <row r="41" spans="1:44" s="29" customFormat="1" x14ac:dyDescent="0.25">
      <c r="A41"/>
      <c r="B41" s="48" t="s">
        <v>49</v>
      </c>
      <c r="C41" s="48" t="s">
        <v>50</v>
      </c>
      <c r="D41" s="48" t="s">
        <v>51</v>
      </c>
      <c r="E41" s="48" t="s">
        <v>52</v>
      </c>
      <c r="F41" s="48" t="s">
        <v>53</v>
      </c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/>
      <c r="U41" s="59"/>
      <c r="V41" s="47"/>
      <c r="W41" s="47"/>
      <c r="X41"/>
      <c r="Y41" s="60"/>
      <c r="Z41"/>
      <c r="AA41" s="61">
        <v>100</v>
      </c>
      <c r="AB41" s="29">
        <v>1</v>
      </c>
      <c r="AE41" s="29">
        <f>+B58*C58*D58*E58*F58</f>
        <v>0</v>
      </c>
      <c r="AF41" s="47">
        <f t="shared" si="8"/>
        <v>0</v>
      </c>
      <c r="AG41">
        <f t="shared" si="9"/>
        <v>8</v>
      </c>
      <c r="AH41"/>
      <c r="AI41"/>
      <c r="AJ41"/>
      <c r="AK41"/>
      <c r="AL41"/>
      <c r="AM41"/>
      <c r="AN41"/>
      <c r="AO41"/>
      <c r="AP41"/>
      <c r="AQ41"/>
      <c r="AR41"/>
    </row>
    <row r="42" spans="1:44" s="29" customFormat="1" x14ac:dyDescent="0.25">
      <c r="A42"/>
      <c r="B42">
        <f t="shared" ref="B42:F42" si="14">+IFERROR(MIN(B19:B28)/B22,0)</f>
        <v>0.46500139515137456</v>
      </c>
      <c r="C42">
        <f t="shared" si="14"/>
        <v>0.62955441265476297</v>
      </c>
      <c r="D42">
        <f t="shared" si="14"/>
        <v>1</v>
      </c>
      <c r="E42">
        <f t="shared" si="14"/>
        <v>0.42721068944281121</v>
      </c>
      <c r="F42">
        <f t="shared" si="14"/>
        <v>0.65534399532315402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59"/>
      <c r="V42" s="47"/>
      <c r="W42" s="47"/>
      <c r="X42"/>
      <c r="Y42" s="60"/>
      <c r="Z42"/>
      <c r="AA42" s="61">
        <v>89.190949430210537</v>
      </c>
      <c r="AB42" s="29">
        <v>3</v>
      </c>
      <c r="AE42" s="29">
        <f>+B61*C61*D61*E61*F61</f>
        <v>0</v>
      </c>
      <c r="AF42" s="47">
        <f t="shared" si="8"/>
        <v>0</v>
      </c>
      <c r="AG42">
        <f t="shared" si="9"/>
        <v>8</v>
      </c>
      <c r="AH42"/>
      <c r="AI42"/>
      <c r="AJ42"/>
      <c r="AK42"/>
      <c r="AL42"/>
      <c r="AM42"/>
      <c r="AN42"/>
      <c r="AO42"/>
      <c r="AP42"/>
      <c r="AQ42"/>
      <c r="AR42"/>
    </row>
    <row r="43" spans="1:44" s="29" customFormat="1" x14ac:dyDescent="0.25">
      <c r="A43" t="s">
        <v>38</v>
      </c>
      <c r="B43">
        <f>+PRODUCT(B42,AA20)</f>
        <v>1.8600055806054983</v>
      </c>
      <c r="C43">
        <f t="shared" ref="C43:F43" si="15">+PRODUCT(C42,AB20)</f>
        <v>1.8886632379642889</v>
      </c>
      <c r="D43">
        <f t="shared" si="15"/>
        <v>1</v>
      </c>
      <c r="E43">
        <f t="shared" si="15"/>
        <v>2.136053447214056</v>
      </c>
      <c r="F43">
        <f t="shared" si="15"/>
        <v>1.310687990646308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47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29" customFormat="1" x14ac:dyDescent="0.25">
      <c r="A44"/>
      <c r="B44" s="48" t="s">
        <v>54</v>
      </c>
      <c r="C44" s="48" t="s">
        <v>55</v>
      </c>
      <c r="D44" s="48" t="s">
        <v>56</v>
      </c>
      <c r="E44" s="48" t="s">
        <v>57</v>
      </c>
      <c r="F44" s="48" t="s">
        <v>58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/>
      <c r="U44"/>
      <c r="V44" s="3" t="s">
        <v>59</v>
      </c>
      <c r="W44" s="39">
        <f>+AVERAGE(W33:W42)</f>
        <v>87.549290332532792</v>
      </c>
      <c r="X44" s="39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29" customFormat="1" x14ac:dyDescent="0.25">
      <c r="A45"/>
      <c r="B45">
        <f t="shared" ref="B45:F45" si="16">+IFERROR(MIN(B19:B28)/B23,0)</f>
        <v>1</v>
      </c>
      <c r="C45">
        <f t="shared" si="16"/>
        <v>0.68239313400073176</v>
      </c>
      <c r="D45">
        <f t="shared" si="16"/>
        <v>0.24801353204164478</v>
      </c>
      <c r="E45">
        <f t="shared" si="16"/>
        <v>0.7503218957885246</v>
      </c>
      <c r="F45">
        <f t="shared" si="16"/>
        <v>0.56015137736549792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 t="s">
        <v>60</v>
      </c>
      <c r="W45" s="39">
        <f>+_xlfn.STDEV.P(V33:V42)</f>
        <v>0.94926611751149215</v>
      </c>
      <c r="X45" s="39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29" customFormat="1" x14ac:dyDescent="0.25">
      <c r="A46" t="s">
        <v>38</v>
      </c>
      <c r="B46">
        <f>+PRODUCT(B45,AA20)</f>
        <v>4</v>
      </c>
      <c r="C46">
        <f t="shared" ref="C46:F46" si="17">+PRODUCT(C45,AB20)</f>
        <v>2.0471794020021954</v>
      </c>
      <c r="D46">
        <f t="shared" si="17"/>
        <v>0.24801353204164478</v>
      </c>
      <c r="E46">
        <f t="shared" si="17"/>
        <v>3.7516094789426231</v>
      </c>
      <c r="F46">
        <f t="shared" si="17"/>
        <v>1.1203027547309958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 t="s">
        <v>61</v>
      </c>
      <c r="W46" s="39">
        <f>+_xlfn.VAR.P(V33:V42)</f>
        <v>0.90110616185534198</v>
      </c>
      <c r="X46" s="39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29" customFormat="1" x14ac:dyDescent="0.25">
      <c r="A47"/>
      <c r="B47" s="48" t="s">
        <v>62</v>
      </c>
      <c r="C47" s="48" t="s">
        <v>63</v>
      </c>
      <c r="D47" s="48" t="s">
        <v>64</v>
      </c>
      <c r="E47" s="48" t="s">
        <v>65</v>
      </c>
      <c r="F47" s="48" t="s">
        <v>66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/>
      <c r="U47"/>
      <c r="V47" s="47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29" customFormat="1" x14ac:dyDescent="0.25">
      <c r="A48"/>
      <c r="B48">
        <f t="shared" ref="B48:F48" si="18">+IFERROR(MIN(B19:B28)/B24,0)</f>
        <v>0.7976768113086572</v>
      </c>
      <c r="C48">
        <f t="shared" si="18"/>
        <v>1</v>
      </c>
      <c r="D48">
        <f t="shared" si="18"/>
        <v>0.56522240601861973</v>
      </c>
      <c r="E48">
        <f t="shared" si="18"/>
        <v>0.36693949203259485</v>
      </c>
      <c r="F48">
        <f t="shared" si="18"/>
        <v>0.5494002336656566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47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3" x14ac:dyDescent="0.25">
      <c r="A49" t="s">
        <v>38</v>
      </c>
      <c r="B49">
        <f>+PRODUCT(B48,AA20)</f>
        <v>3.1907072452346288</v>
      </c>
      <c r="C49">
        <f t="shared" ref="C49:F49" si="19">+PRODUCT(C48,AB20)</f>
        <v>3</v>
      </c>
      <c r="D49">
        <f t="shared" si="19"/>
        <v>0.56522240601861973</v>
      </c>
      <c r="E49">
        <f t="shared" si="19"/>
        <v>1.8346974601629742</v>
      </c>
      <c r="F49">
        <f t="shared" si="19"/>
        <v>1.0988004673313132</v>
      </c>
      <c r="V49" s="47"/>
    </row>
    <row r="50" spans="1:23" x14ac:dyDescent="0.25">
      <c r="B50" s="48" t="s">
        <v>67</v>
      </c>
      <c r="C50" s="48" t="s">
        <v>68</v>
      </c>
      <c r="D50" s="48" t="s">
        <v>69</v>
      </c>
      <c r="E50" s="48" t="s">
        <v>70</v>
      </c>
      <c r="F50" s="48" t="s">
        <v>71</v>
      </c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U50" s="117" t="s">
        <v>87</v>
      </c>
      <c r="V50" s="47"/>
    </row>
    <row r="51" spans="1:23" x14ac:dyDescent="0.25">
      <c r="B51">
        <f t="shared" ref="B51:F51" si="20">+IFERROR(MIN(B19:B28)/B25,0)</f>
        <v>0.74833121572646377</v>
      </c>
      <c r="C51">
        <f t="shared" si="20"/>
        <v>0.51875258819866332</v>
      </c>
      <c r="D51">
        <f t="shared" si="20"/>
        <v>0.6743075252687698</v>
      </c>
      <c r="E51">
        <f t="shared" si="20"/>
        <v>1</v>
      </c>
      <c r="F51">
        <f t="shared" si="20"/>
        <v>0.37748655788548841</v>
      </c>
      <c r="U51" s="117"/>
      <c r="V51" s="47"/>
    </row>
    <row r="52" spans="1:23" x14ac:dyDescent="0.25">
      <c r="A52" t="s">
        <v>38</v>
      </c>
      <c r="B52">
        <f>+PRODUCT(B51,AA20)</f>
        <v>2.9933248629058551</v>
      </c>
      <c r="C52">
        <f t="shared" ref="C52:F52" si="21">+PRODUCT(C51,AB20)</f>
        <v>1.5562577645959901</v>
      </c>
      <c r="D52">
        <f t="shared" si="21"/>
        <v>0.6743075252687698</v>
      </c>
      <c r="E52">
        <f t="shared" si="21"/>
        <v>5</v>
      </c>
      <c r="F52">
        <f t="shared" si="21"/>
        <v>0.75497311577097681</v>
      </c>
      <c r="U52" s="117"/>
      <c r="V52" s="47"/>
    </row>
    <row r="53" spans="1:23" x14ac:dyDescent="0.25">
      <c r="B53" s="48"/>
      <c r="C53" s="48"/>
      <c r="D53" s="48"/>
      <c r="E53" s="48"/>
      <c r="F53" s="48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>
        <v>1</v>
      </c>
      <c r="U53" s="59" t="s">
        <v>94</v>
      </c>
      <c r="V53" s="47">
        <f>+PRODUCT(B34:S34)</f>
        <v>9.7919591603589797</v>
      </c>
      <c r="W53">
        <f>+V53/MAX($V$53:$V$62)*100</f>
        <v>82.579968252045362</v>
      </c>
    </row>
    <row r="54" spans="1:23" x14ac:dyDescent="0.25">
      <c r="T54">
        <v>2</v>
      </c>
      <c r="U54" s="59" t="s">
        <v>95</v>
      </c>
      <c r="V54" s="47">
        <f>+PRODUCT(B37:S37)</f>
        <v>8.0006323827595782</v>
      </c>
    </row>
    <row r="55" spans="1:23" x14ac:dyDescent="0.25">
      <c r="T55">
        <v>3</v>
      </c>
      <c r="U55" s="59" t="s">
        <v>96</v>
      </c>
      <c r="V55" s="47">
        <f>+PRODUCT(B40:S40)</f>
        <v>10.087020655764146</v>
      </c>
    </row>
    <row r="56" spans="1:23" x14ac:dyDescent="0.25">
      <c r="B56" s="48"/>
      <c r="C56" s="48"/>
      <c r="D56" s="48"/>
      <c r="E56" s="48"/>
      <c r="F56" s="48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>
        <v>4</v>
      </c>
      <c r="U56" s="59" t="s">
        <v>97</v>
      </c>
      <c r="V56" s="47">
        <f>+PRODUCT(B43:S43)</f>
        <v>9.8351323748317476</v>
      </c>
    </row>
    <row r="57" spans="1:23" x14ac:dyDescent="0.25">
      <c r="T57">
        <v>5</v>
      </c>
      <c r="U57" s="59" t="s">
        <v>98</v>
      </c>
      <c r="V57" s="47">
        <f>+PRODUCT(B46:S46)</f>
        <v>8.5358013658074263</v>
      </c>
    </row>
    <row r="58" spans="1:23" x14ac:dyDescent="0.25">
      <c r="T58">
        <v>6</v>
      </c>
      <c r="U58" s="59" t="s">
        <v>99</v>
      </c>
      <c r="V58" s="47">
        <f>+PRODUCT(B49:S49)</f>
        <v>10.907139754601046</v>
      </c>
    </row>
    <row r="59" spans="1:23" x14ac:dyDescent="0.25">
      <c r="B59" s="48"/>
      <c r="C59" s="48"/>
      <c r="D59" s="48"/>
      <c r="E59" s="48"/>
      <c r="F59" s="48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>
        <v>7</v>
      </c>
      <c r="U59" s="59" t="s">
        <v>100</v>
      </c>
      <c r="V59" s="47">
        <f>+PRODUCT(B52:S52)</f>
        <v>11.857547741448121</v>
      </c>
    </row>
    <row r="60" spans="1:23" x14ac:dyDescent="0.25">
      <c r="U60" s="59"/>
      <c r="V60" s="47"/>
    </row>
    <row r="61" spans="1:23" x14ac:dyDescent="0.25">
      <c r="U61" s="59"/>
      <c r="V61" s="47"/>
    </row>
    <row r="62" spans="1:23" x14ac:dyDescent="0.25">
      <c r="U62" s="59"/>
      <c r="V62" s="47"/>
    </row>
    <row r="63" spans="1:23" x14ac:dyDescent="0.25">
      <c r="V63" s="47"/>
    </row>
    <row r="64" spans="1:23" x14ac:dyDescent="0.25">
      <c r="V64" s="47"/>
    </row>
    <row r="65" spans="22:22" x14ac:dyDescent="0.25">
      <c r="V65" s="47"/>
    </row>
    <row r="66" spans="22:22" x14ac:dyDescent="0.25">
      <c r="V66" s="47"/>
    </row>
    <row r="67" spans="22:22" x14ac:dyDescent="0.25">
      <c r="V67" s="47"/>
    </row>
    <row r="68" spans="22:22" x14ac:dyDescent="0.25">
      <c r="V68" s="47"/>
    </row>
    <row r="69" spans="22:22" x14ac:dyDescent="0.25">
      <c r="V69" s="47"/>
    </row>
  </sheetData>
  <mergeCells count="4">
    <mergeCell ref="A1:U1"/>
    <mergeCell ref="U30:U32"/>
    <mergeCell ref="AA32:AD32"/>
    <mergeCell ref="U50:U5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69"/>
  <sheetViews>
    <sheetView zoomScale="70" zoomScaleNormal="70" workbookViewId="0">
      <selection activeCell="U33" sqref="U33:U39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29" customWidth="1"/>
    <col min="32" max="44" width="10.5703125" bestFit="1" customWidth="1"/>
  </cols>
  <sheetData>
    <row r="1" spans="1:44" ht="15.75" thickBot="1" x14ac:dyDescent="0.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44" ht="18" customHeight="1" thickBot="1" x14ac:dyDescent="0.3">
      <c r="B2" s="64" t="s">
        <v>108</v>
      </c>
      <c r="C2" s="65" t="s">
        <v>109</v>
      </c>
      <c r="D2" s="66" t="s">
        <v>110</v>
      </c>
      <c r="E2" s="67" t="s">
        <v>111</v>
      </c>
      <c r="F2" s="68" t="s">
        <v>112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44" ht="31.5" customHeight="1" thickBot="1" x14ac:dyDescent="0.3">
      <c r="A3" s="45" t="s">
        <v>21</v>
      </c>
    </row>
    <row r="4" spans="1:44" ht="18" customHeight="1" thickBot="1" x14ac:dyDescent="0.3">
      <c r="A4" s="95" t="s">
        <v>101</v>
      </c>
      <c r="B4" s="46">
        <f>+AHP_nivel_0!D55</f>
        <v>0.772888759185555</v>
      </c>
      <c r="C4" s="46">
        <f>+AHP_nivel_0!E55</f>
        <v>0.25066662460072059</v>
      </c>
      <c r="D4" s="46">
        <f>+AHP_nivel_0!F55</f>
        <v>0.18799996845054037</v>
      </c>
      <c r="E4" s="46">
        <f>+AHP_nivel_0!G55</f>
        <v>0.22977773921732714</v>
      </c>
      <c r="F4" s="46">
        <f>+AHP_nivel_0!H55</f>
        <v>0.31333328075090067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U4" s="47"/>
    </row>
    <row r="5" spans="1:44" ht="18" customHeight="1" thickBot="1" x14ac:dyDescent="0.3">
      <c r="A5" s="95" t="s">
        <v>102</v>
      </c>
      <c r="B5" s="46">
        <f>+AHP_nivel_0!D56</f>
        <v>0.48137698945980151</v>
      </c>
      <c r="C5" s="46">
        <f>+AHP_nivel_0!E56</f>
        <v>0.68768141351400214</v>
      </c>
      <c r="D5" s="46">
        <f>+AHP_nivel_0!F56</f>
        <v>0.15472831804065049</v>
      </c>
      <c r="E5" s="46">
        <f>+AHP_nivel_0!G56</f>
        <v>0.17192035337850053</v>
      </c>
      <c r="F5" s="46">
        <f>+AHP_nivel_0!H56</f>
        <v>0.37822477743270116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8" customHeight="1" thickBot="1" x14ac:dyDescent="0.3">
      <c r="A6" s="95" t="s">
        <v>103</v>
      </c>
      <c r="B6" s="46">
        <f>+AHP_nivel_0!D57</f>
        <v>0.99460392600107328</v>
      </c>
      <c r="C6" s="46">
        <f>+AHP_nivel_0!E57</f>
        <v>0.38427878959132378</v>
      </c>
      <c r="D6" s="46">
        <f>+AHP_nivel_0!F57</f>
        <v>0.20344171213658316</v>
      </c>
      <c r="E6" s="46">
        <f>+AHP_nivel_0!G57</f>
        <v>0.15823244277289805</v>
      </c>
      <c r="F6" s="46">
        <f>+AHP_nivel_0!H57</f>
        <v>0.15823244277289805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1:44" ht="18" customHeight="1" thickBot="1" x14ac:dyDescent="0.3">
      <c r="A7" s="95" t="s">
        <v>104</v>
      </c>
      <c r="B7" s="46">
        <f>+AHP_nivel_0!D58</f>
        <v>0.7364440465754637</v>
      </c>
      <c r="C7" s="46">
        <f>+AHP_nivel_0!E58</f>
        <v>0.22855160066135077</v>
      </c>
      <c r="D7" s="46">
        <f>+AHP_nivel_0!F58</f>
        <v>2.5394622295705639E-2</v>
      </c>
      <c r="E7" s="46">
        <f>+AHP_nivel_0!G58</f>
        <v>0.5332870682098183</v>
      </c>
      <c r="F7" s="46">
        <f>+AHP_nivel_0!H58</f>
        <v>0.35552471213987896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spans="1:44" ht="18" customHeight="1" thickBot="1" x14ac:dyDescent="0.3">
      <c r="A8" s="95" t="s">
        <v>105</v>
      </c>
      <c r="B8" s="46">
        <f>+AHP_nivel_0!D59</f>
        <v>0.22640219028520492</v>
      </c>
      <c r="C8" s="46">
        <f>+AHP_nivel_0!E59</f>
        <v>0.19405902024446139</v>
      </c>
      <c r="D8" s="46">
        <f>+AHP_nivel_0!F59</f>
        <v>0.76006449595747372</v>
      </c>
      <c r="E8" s="46">
        <f>+AHP_nivel_0!G59</f>
        <v>0.21023060526483314</v>
      </c>
      <c r="F8" s="46">
        <f>+AHP_nivel_0!H59</f>
        <v>0.45280438057040984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1:44" ht="18" customHeight="1" thickBot="1" x14ac:dyDescent="0.3">
      <c r="A9" s="95" t="s">
        <v>106</v>
      </c>
      <c r="B9" s="46">
        <f>+AHP_nivel_0!D60</f>
        <v>0.33884355757069329</v>
      </c>
      <c r="C9" s="46">
        <f>+AHP_nivel_0!E60</f>
        <v>6.3533167044504985E-2</v>
      </c>
      <c r="D9" s="46">
        <f>+AHP_nivel_0!F60</f>
        <v>0.21177722348168329</v>
      </c>
      <c r="E9" s="46">
        <f>+AHP_nivel_0!G60</f>
        <v>0.65650939279321818</v>
      </c>
      <c r="F9" s="46">
        <f>+AHP_nivel_0!H60</f>
        <v>0.46590989165970326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</row>
    <row r="10" spans="1:44" ht="18" customHeight="1" x14ac:dyDescent="0.25">
      <c r="A10" s="95" t="s">
        <v>107</v>
      </c>
      <c r="B10" s="46">
        <f>+AHP_nivel_0!D61</f>
        <v>0.37549026748097314</v>
      </c>
      <c r="C10" s="46">
        <f>+AHP_nivel_0!E61</f>
        <v>0.32369850644911485</v>
      </c>
      <c r="D10" s="46">
        <f>+AHP_nivel_0!F61</f>
        <v>0.14242734283761052</v>
      </c>
      <c r="E10" s="46">
        <f>+AHP_nivel_0!G61</f>
        <v>0.10358352206371675</v>
      </c>
      <c r="F10" s="46">
        <f>+AHP_nivel_0!H61</f>
        <v>0.77687641547787556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8" customHeight="1" x14ac:dyDescent="0.25">
      <c r="A11" s="93"/>
      <c r="B11" s="46"/>
      <c r="C11" s="46"/>
      <c r="D11" s="46"/>
      <c r="E11" s="46"/>
      <c r="F11" s="69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AA11" s="29">
        <f>ROUND($AC$26*AA19+$AC$25,0)</f>
        <v>4</v>
      </c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</row>
    <row r="12" spans="1:44" ht="18" customHeight="1" x14ac:dyDescent="0.25">
      <c r="A12" s="93"/>
      <c r="B12" s="46"/>
      <c r="C12" s="46"/>
      <c r="D12" s="46"/>
      <c r="E12" s="46"/>
      <c r="F12" s="69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1:44" ht="18" customHeight="1" x14ac:dyDescent="0.25">
      <c r="A13" s="94"/>
      <c r="B13" s="46"/>
      <c r="C13" s="46"/>
      <c r="D13" s="46"/>
      <c r="E13" s="46"/>
      <c r="F13" s="69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5" spans="1:44" x14ac:dyDescent="0.25">
      <c r="AA15" s="29">
        <v>0.25</v>
      </c>
      <c r="AB15" s="29">
        <v>0.25</v>
      </c>
      <c r="AC15" s="29">
        <v>0.25</v>
      </c>
      <c r="AD15" s="29">
        <v>0.25</v>
      </c>
      <c r="AE15" s="29">
        <v>0.25</v>
      </c>
      <c r="AF15" s="29">
        <v>0.25</v>
      </c>
      <c r="AG15" s="29"/>
      <c r="AH15" s="29"/>
      <c r="AI15" s="29"/>
      <c r="AJ15" s="29"/>
      <c r="AK15" s="29"/>
      <c r="AL15" s="29"/>
    </row>
    <row r="17" spans="1:44" ht="15.75" thickBot="1" x14ac:dyDescent="0.3">
      <c r="AA17" s="24">
        <v>0.2112</v>
      </c>
      <c r="AB17" s="24"/>
      <c r="AC17" s="24"/>
      <c r="AD17" s="24"/>
      <c r="AE17" s="24">
        <v>0.19639999999999999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4" ht="30.75" thickBot="1" x14ac:dyDescent="0.3">
      <c r="A18" s="84" t="s">
        <v>88</v>
      </c>
      <c r="B18" s="64" t="s">
        <v>108</v>
      </c>
      <c r="C18" s="65" t="s">
        <v>109</v>
      </c>
      <c r="D18" s="66" t="s">
        <v>110</v>
      </c>
      <c r="E18" s="67" t="s">
        <v>111</v>
      </c>
      <c r="F18" s="68" t="s">
        <v>112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AA18" s="64" t="s">
        <v>108</v>
      </c>
      <c r="AB18" s="65" t="s">
        <v>109</v>
      </c>
      <c r="AC18" s="66" t="s">
        <v>110</v>
      </c>
      <c r="AD18" s="67" t="s">
        <v>111</v>
      </c>
      <c r="AE18" s="68" t="s">
        <v>112</v>
      </c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</row>
    <row r="19" spans="1:44" x14ac:dyDescent="0.25">
      <c r="A19" s="51" t="s">
        <v>101</v>
      </c>
      <c r="B19" s="46">
        <f>IFERROR(+$U$26*B4+$U$24,"")</f>
        <v>4.0849647605821247</v>
      </c>
      <c r="C19" s="46">
        <f t="shared" ref="C19:F25" si="0">IFERROR(+$U$26*C4+$U$24,"")</f>
        <v>1.9297145681279839</v>
      </c>
      <c r="D19" s="46">
        <f t="shared" si="0"/>
        <v>1.6710845450334866</v>
      </c>
      <c r="E19" s="46">
        <f t="shared" si="0"/>
        <v>1.8435045604298179</v>
      </c>
      <c r="F19" s="69">
        <f t="shared" si="0"/>
        <v>2.1883445912224806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47"/>
      <c r="U19" t="s">
        <v>23</v>
      </c>
      <c r="Z19" s="52" t="s">
        <v>24</v>
      </c>
      <c r="AA19" s="25">
        <f>+AHP_nivel_0!D41</f>
        <v>0.23661190622200035</v>
      </c>
      <c r="AB19" s="26">
        <f>+AHP_nivel_0!E41</f>
        <v>0.19836512455485553</v>
      </c>
      <c r="AC19" s="27">
        <f>+AHP_nivel_0!F41</f>
        <v>0.13554553409059678</v>
      </c>
      <c r="AD19" s="28">
        <f>+AHP_nivel_0!G41</f>
        <v>0.25355419225961578</v>
      </c>
      <c r="AE19" s="28">
        <f>+AHP_nivel_0!H41</f>
        <v>0.1759232428729316</v>
      </c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</row>
    <row r="20" spans="1:44" x14ac:dyDescent="0.25">
      <c r="A20" s="51" t="s">
        <v>102</v>
      </c>
      <c r="B20" s="46">
        <f>IFERROR(+$U$26*B5+$U$24,"")</f>
        <v>2.8818736692717968</v>
      </c>
      <c r="C20" s="46">
        <f t="shared" si="0"/>
        <v>3.7333076093525683</v>
      </c>
      <c r="D20" s="46">
        <f t="shared" si="0"/>
        <v>1.5337699308105748</v>
      </c>
      <c r="E20" s="46">
        <f t="shared" si="0"/>
        <v>1.604722759150639</v>
      </c>
      <c r="F20" s="69">
        <f t="shared" si="0"/>
        <v>2.4561566992314106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47"/>
      <c r="U20" t="s">
        <v>25</v>
      </c>
      <c r="AA20" s="53">
        <f>ROUND($AC$26*AA19+$AC$25,0)</f>
        <v>4</v>
      </c>
      <c r="AB20" s="53">
        <f t="shared" ref="AB20:AE20" si="1">ROUND($AC$26*AB19+$AC$25,0)</f>
        <v>3</v>
      </c>
      <c r="AC20" s="53">
        <f t="shared" si="1"/>
        <v>1</v>
      </c>
      <c r="AD20" s="53">
        <f t="shared" si="1"/>
        <v>5</v>
      </c>
      <c r="AE20" s="53">
        <f t="shared" si="1"/>
        <v>2</v>
      </c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</row>
    <row r="21" spans="1:44" x14ac:dyDescent="0.25">
      <c r="A21" s="51" t="s">
        <v>103</v>
      </c>
      <c r="B21" s="46">
        <f t="shared" ref="B21:B25" si="2">IFERROR(+$U$26*B6+$U$24,"")</f>
        <v>5</v>
      </c>
      <c r="C21" s="46">
        <f t="shared" si="0"/>
        <v>2.4811420646647702</v>
      </c>
      <c r="D21" s="46">
        <f t="shared" si="0"/>
        <v>1.7348137875284058</v>
      </c>
      <c r="E21" s="46">
        <f t="shared" si="0"/>
        <v>1.5482317182443148</v>
      </c>
      <c r="F21" s="69">
        <f t="shared" si="0"/>
        <v>1.5482317182443148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47"/>
      <c r="Z21" t="s">
        <v>78</v>
      </c>
      <c r="AA21" s="29">
        <f>ROUND($AC$26*AA19+$AC$25,0)</f>
        <v>4</v>
      </c>
      <c r="AB21" s="29">
        <f t="shared" ref="AB21:AE21" si="3">$AC$26*AB19+$AC$25</f>
        <v>3.1293262560967974</v>
      </c>
      <c r="AC21" s="29">
        <f t="shared" si="3"/>
        <v>0.99984861324056817</v>
      </c>
      <c r="AD21" s="29">
        <f t="shared" si="3"/>
        <v>5.0001421104954495</v>
      </c>
      <c r="AE21" s="29">
        <f t="shared" si="3"/>
        <v>2.3685845041671727</v>
      </c>
    </row>
    <row r="22" spans="1:44" x14ac:dyDescent="0.25">
      <c r="A22" s="51" t="s">
        <v>104</v>
      </c>
      <c r="B22" s="46">
        <f t="shared" si="2"/>
        <v>3.9345546790001169</v>
      </c>
      <c r="C22" s="46">
        <f t="shared" si="0"/>
        <v>1.8384441940000333</v>
      </c>
      <c r="D22" s="46">
        <f t="shared" si="0"/>
        <v>1</v>
      </c>
      <c r="E22" s="46">
        <f t="shared" si="0"/>
        <v>3.0961104850000827</v>
      </c>
      <c r="F22" s="69">
        <f t="shared" si="0"/>
        <v>2.3624718152500543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47"/>
    </row>
    <row r="23" spans="1:44" x14ac:dyDescent="0.25">
      <c r="A23" s="51" t="s">
        <v>105</v>
      </c>
      <c r="B23" s="46">
        <f t="shared" si="2"/>
        <v>1.8295734150344232</v>
      </c>
      <c r="C23" s="46">
        <f t="shared" si="0"/>
        <v>1.6960907094223621</v>
      </c>
      <c r="D23" s="46">
        <f t="shared" si="0"/>
        <v>4.0320380576334305</v>
      </c>
      <c r="E23" s="46">
        <f t="shared" si="0"/>
        <v>1.7628320622283926</v>
      </c>
      <c r="F23" s="69">
        <f t="shared" si="0"/>
        <v>2.7639523543188504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7"/>
      <c r="W23" t="s">
        <v>26</v>
      </c>
      <c r="X23" s="47">
        <f>+MIN(B4:F13)</f>
        <v>2.5394622295705639E-2</v>
      </c>
      <c r="AB23" s="29" t="s">
        <v>26</v>
      </c>
      <c r="AC23" s="54">
        <f>+ROUND(MIN(AA19:AE19),5)</f>
        <v>0.13555</v>
      </c>
      <c r="AD23" s="54"/>
      <c r="AE23" s="54"/>
      <c r="AF23" s="54"/>
      <c r="AG23" s="54"/>
    </row>
    <row r="24" spans="1:44" ht="18" customHeight="1" x14ac:dyDescent="0.25">
      <c r="A24" s="51" t="s">
        <v>106</v>
      </c>
      <c r="B24" s="46">
        <f t="shared" si="2"/>
        <v>2.2936274304286859</v>
      </c>
      <c r="C24" s="46">
        <f t="shared" si="0"/>
        <v>1.1574006547522502</v>
      </c>
      <c r="D24" s="46">
        <f t="shared" si="0"/>
        <v>1.7692150724241771</v>
      </c>
      <c r="E24" s="46">
        <f t="shared" si="0"/>
        <v>3.6046583254399573</v>
      </c>
      <c r="F24" s="69">
        <f t="shared" si="0"/>
        <v>2.8180397884331949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47"/>
      <c r="U24" s="55">
        <f>(5*X23-X24)/(X23-X24)</f>
        <v>0.89519447574999589</v>
      </c>
      <c r="W24" t="s">
        <v>27</v>
      </c>
      <c r="X24" s="47">
        <f>+MAX(B4:F13)</f>
        <v>0.99460392600107328</v>
      </c>
      <c r="AB24" s="29" t="s">
        <v>27</v>
      </c>
      <c r="AC24" s="54">
        <f>+ROUND(MAX(AA19:AE19),5)</f>
        <v>0.25355</v>
      </c>
      <c r="AD24" s="54"/>
      <c r="AE24" s="54"/>
      <c r="AF24" s="54"/>
      <c r="AG24" s="54"/>
    </row>
    <row r="25" spans="1:44" x14ac:dyDescent="0.25">
      <c r="A25" s="51" t="s">
        <v>107</v>
      </c>
      <c r="B25" s="46">
        <f t="shared" si="2"/>
        <v>2.4448711701252672</v>
      </c>
      <c r="C25" s="46">
        <f t="shared" si="0"/>
        <v>2.2311226605562648</v>
      </c>
      <c r="D25" s="46">
        <f t="shared" si="0"/>
        <v>1.4830028770647541</v>
      </c>
      <c r="E25" s="46">
        <f t="shared" si="0"/>
        <v>1.322691494888002</v>
      </c>
      <c r="F25" s="69">
        <f t="shared" si="0"/>
        <v>4.10142211928504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47"/>
      <c r="AB25" t="s">
        <v>28</v>
      </c>
      <c r="AC25" s="56">
        <f>(5*AC23-AC24)/(AC23-AC24)</f>
        <v>-3.5949152542372889</v>
      </c>
      <c r="AD25"/>
      <c r="AE25"/>
    </row>
    <row r="26" spans="1:44" x14ac:dyDescent="0.25">
      <c r="A26" s="51"/>
      <c r="B26" s="46"/>
      <c r="C26" s="46"/>
      <c r="D26" s="46"/>
      <c r="E26" s="46"/>
      <c r="F26" s="69"/>
      <c r="G26" s="58"/>
      <c r="H26" s="70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7"/>
      <c r="U26" s="55">
        <f>+-4/(X23-X24)</f>
        <v>4.1270755292047525</v>
      </c>
      <c r="AB26" t="s">
        <v>29</v>
      </c>
      <c r="AC26" s="56">
        <f>+-4/(AC23-AC24)</f>
        <v>33.898305084745765</v>
      </c>
      <c r="AD26"/>
      <c r="AE26"/>
      <c r="AJ26" t="s">
        <v>30</v>
      </c>
    </row>
    <row r="27" spans="1:44" x14ac:dyDescent="0.25">
      <c r="A27" s="51"/>
      <c r="B27" s="46"/>
      <c r="C27" s="46"/>
      <c r="D27" s="46"/>
      <c r="E27" s="46"/>
      <c r="F27" s="69"/>
      <c r="G27" s="58"/>
      <c r="H27" s="7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47"/>
    </row>
    <row r="28" spans="1:44" x14ac:dyDescent="0.25">
      <c r="A28" s="51"/>
      <c r="B28" s="46"/>
      <c r="C28" s="46"/>
      <c r="D28" s="46"/>
      <c r="E28" s="46"/>
      <c r="F28" s="69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47"/>
    </row>
    <row r="29" spans="1:44" x14ac:dyDescent="0.25">
      <c r="A29" s="57"/>
      <c r="B29" s="58"/>
      <c r="C29" s="58"/>
      <c r="D29" s="58"/>
      <c r="E29" s="58"/>
      <c r="F29" s="58"/>
      <c r="T29" s="47"/>
    </row>
    <row r="30" spans="1:44" x14ac:dyDescent="0.25">
      <c r="A30" s="45"/>
      <c r="B30" s="29"/>
      <c r="C30" s="29"/>
      <c r="D30" s="29"/>
      <c r="E30" s="29"/>
      <c r="F30" s="29"/>
      <c r="U30" s="115" t="s">
        <v>31</v>
      </c>
    </row>
    <row r="31" spans="1:44" x14ac:dyDescent="0.25">
      <c r="A31" s="57"/>
      <c r="B31" s="58"/>
      <c r="C31" s="58"/>
      <c r="D31" s="58"/>
      <c r="E31" s="58"/>
      <c r="F31" s="58"/>
      <c r="U31" s="115"/>
    </row>
    <row r="32" spans="1:44" ht="33.75" customHeight="1" x14ac:dyDescent="0.25">
      <c r="A32" s="52" t="s">
        <v>90</v>
      </c>
      <c r="B32" s="48" t="s">
        <v>32</v>
      </c>
      <c r="C32" s="48" t="s">
        <v>33</v>
      </c>
      <c r="D32" s="48" t="s">
        <v>34</v>
      </c>
      <c r="E32" s="48" t="s">
        <v>35</v>
      </c>
      <c r="F32" s="48" t="s">
        <v>36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U32" s="115"/>
      <c r="W32" t="s">
        <v>37</v>
      </c>
      <c r="AA32" s="116" t="s">
        <v>79</v>
      </c>
      <c r="AB32" s="116"/>
      <c r="AC32" s="116"/>
      <c r="AD32" s="116"/>
    </row>
    <row r="33" spans="1:44" s="29" customFormat="1" x14ac:dyDescent="0.25">
      <c r="A33"/>
      <c r="B33">
        <f>+IFERROR(B19/MAX(B19:B28),0)</f>
        <v>0.81699295211642498</v>
      </c>
      <c r="C33">
        <f>+IFERROR(C19/MAX(C19:C28),0)</f>
        <v>0.51689139231220105</v>
      </c>
      <c r="D33">
        <f>+IFERROR(D19/MAX(D19:D28),0)</f>
        <v>0.41445158035396001</v>
      </c>
      <c r="E33">
        <f>+IFERROR(E19/MAX(E19:E28),0)</f>
        <v>0.51142282957007135</v>
      </c>
      <c r="F33">
        <f>+IFERROR(F19/MAX(F19:F28),0)</f>
        <v>0.53355751433942944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59" t="s">
        <v>101</v>
      </c>
      <c r="V33" s="47">
        <f>+SUM(B34:S34)</f>
        <v>8.8573267422854798</v>
      </c>
      <c r="W33" s="47">
        <f>+V33/MAX($V$33:$V$42)*100</f>
        <v>85.830047269124208</v>
      </c>
      <c r="X33">
        <f>+RANK(W33,$W$33:$W$42)</f>
        <v>5</v>
      </c>
      <c r="Y33" s="60"/>
      <c r="Z33"/>
      <c r="AA33" s="61">
        <v>92.772569717166846</v>
      </c>
      <c r="AB33" s="29">
        <v>2</v>
      </c>
      <c r="AE33" s="29">
        <f>+B34*C34*D34*E34*F34</f>
        <v>5.7310474935656019</v>
      </c>
      <c r="AF33" s="47">
        <f>+AE33/MAX($AE$33:$AE$42)*100</f>
        <v>81.706145335539446</v>
      </c>
      <c r="AG33">
        <f>+RANK(AF33,$AF$33:$AF$42)</f>
        <v>3</v>
      </c>
      <c r="AH33"/>
      <c r="AI33"/>
      <c r="AJ33"/>
      <c r="AK33"/>
      <c r="AL33"/>
      <c r="AM33"/>
      <c r="AN33"/>
      <c r="AO33"/>
      <c r="AP33"/>
      <c r="AQ33"/>
      <c r="AR33"/>
    </row>
    <row r="34" spans="1:44" s="29" customFormat="1" x14ac:dyDescent="0.25">
      <c r="A34" t="s">
        <v>38</v>
      </c>
      <c r="B34">
        <f>+PRODUCT(B33,AA20)</f>
        <v>3.2679718084656999</v>
      </c>
      <c r="C34">
        <f t="shared" ref="C34:E34" si="4">+PRODUCT(C33,AB20)</f>
        <v>1.550674176936603</v>
      </c>
      <c r="D34">
        <f t="shared" si="4"/>
        <v>0.41445158035396001</v>
      </c>
      <c r="E34">
        <f t="shared" si="4"/>
        <v>2.5571141478503567</v>
      </c>
      <c r="F34">
        <f>+PRODUCT(F33,AE20)</f>
        <v>1.0671150286788589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59" t="s">
        <v>102</v>
      </c>
      <c r="V34" s="47">
        <f>+SUM(B37:S37)</f>
        <v>9.109505756479205</v>
      </c>
      <c r="W34" s="47">
        <f t="shared" ref="W34:W39" si="5">+V34/MAX($V$33:$V$42)*100</f>
        <v>88.273734550659867</v>
      </c>
      <c r="X34">
        <f t="shared" ref="X34:X39" si="6">+RANK(W34,$W$33:$W$42)</f>
        <v>4</v>
      </c>
      <c r="Y34" s="60"/>
      <c r="Z34"/>
      <c r="AA34" s="61">
        <v>70.396477587863828</v>
      </c>
      <c r="AB34" s="29">
        <v>7</v>
      </c>
      <c r="AE34" s="29">
        <f>+B37*C37*D37*E37*F37</f>
        <v>7.0142184165341934</v>
      </c>
      <c r="AF34" s="47">
        <f t="shared" ref="AF34:AF42" si="7">+AE34/MAX($AE$33:$AE$42)*100</f>
        <v>100</v>
      </c>
      <c r="AG34">
        <f t="shared" ref="AG34:AG42" si="8">+RANK(AF34,$AF$33:$AF$42)</f>
        <v>1</v>
      </c>
      <c r="AH34"/>
      <c r="AI34"/>
      <c r="AJ34"/>
      <c r="AK34"/>
      <c r="AL34"/>
      <c r="AM34"/>
      <c r="AN34"/>
      <c r="AO34"/>
      <c r="AP34"/>
      <c r="AQ34"/>
      <c r="AR34"/>
    </row>
    <row r="35" spans="1:44" s="29" customFormat="1" x14ac:dyDescent="0.25">
      <c r="A35"/>
      <c r="B35" s="48" t="s">
        <v>39</v>
      </c>
      <c r="C35" s="48" t="s">
        <v>40</v>
      </c>
      <c r="D35" s="48" t="s">
        <v>41</v>
      </c>
      <c r="E35" s="48" t="s">
        <v>42</v>
      </c>
      <c r="F35" s="48" t="s">
        <v>43</v>
      </c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>
        <v>3</v>
      </c>
      <c r="U35" s="59" t="s">
        <v>103</v>
      </c>
      <c r="V35" s="47">
        <f>+SUM(B40:S40)</f>
        <v>9.3265619767365102</v>
      </c>
      <c r="W35" s="47">
        <f t="shared" si="5"/>
        <v>90.377071842689674</v>
      </c>
      <c r="X35">
        <f t="shared" si="6"/>
        <v>3</v>
      </c>
      <c r="Y35" s="60"/>
      <c r="Z35"/>
      <c r="AA35" s="61">
        <v>78.586558556099021</v>
      </c>
      <c r="AB35" s="79">
        <v>5</v>
      </c>
      <c r="AE35" s="29">
        <f>+B40*C40*D40*E40*F40</f>
        <v>5.563405183571601</v>
      </c>
      <c r="AF35" s="47">
        <f t="shared" si="7"/>
        <v>79.31610983851489</v>
      </c>
      <c r="AG35">
        <f t="shared" si="8"/>
        <v>5</v>
      </c>
      <c r="AH35"/>
      <c r="AI35"/>
      <c r="AJ35"/>
      <c r="AK35"/>
      <c r="AL35"/>
      <c r="AM35"/>
      <c r="AN35"/>
      <c r="AO35"/>
      <c r="AP35"/>
      <c r="AQ35"/>
      <c r="AR35"/>
    </row>
    <row r="36" spans="1:44" s="29" customFormat="1" x14ac:dyDescent="0.25">
      <c r="A36"/>
      <c r="B36">
        <f>+IFERROR(B20/MAX(B19:B28),0)</f>
        <v>0.57637473385435933</v>
      </c>
      <c r="C36">
        <f>+IFERROR(C20/MAX(C19:C28),0)</f>
        <v>1</v>
      </c>
      <c r="D36">
        <f t="shared" ref="D36:F36" si="9">+IFERROR(D20/MAX(D19:D28),0)</f>
        <v>0.38039569787959981</v>
      </c>
      <c r="E36">
        <f t="shared" si="9"/>
        <v>0.44518026793975785</v>
      </c>
      <c r="F36">
        <f t="shared" si="9"/>
        <v>0.59885489174168882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59" t="s">
        <v>104</v>
      </c>
      <c r="V36" s="47">
        <f>+SUM(B43:S43)</f>
        <v>10.319610700566095</v>
      </c>
      <c r="W36" s="47">
        <f t="shared" si="5"/>
        <v>100</v>
      </c>
      <c r="X36">
        <f t="shared" si="6"/>
        <v>1</v>
      </c>
      <c r="Y36" s="60"/>
      <c r="Z36"/>
      <c r="AA36" s="61">
        <v>67.403529353740197</v>
      </c>
      <c r="AB36" s="29">
        <v>8</v>
      </c>
      <c r="AE36" s="29">
        <f>+B43*C43*D43*E43*F43</f>
        <v>5.7058899529079365</v>
      </c>
      <c r="AF36" s="47">
        <f t="shared" si="7"/>
        <v>81.347480418599275</v>
      </c>
      <c r="AG36">
        <f t="shared" si="8"/>
        <v>4</v>
      </c>
      <c r="AH36"/>
      <c r="AI36"/>
      <c r="AJ36"/>
      <c r="AK36"/>
      <c r="AL36"/>
      <c r="AM36"/>
      <c r="AN36"/>
      <c r="AO36"/>
      <c r="AP36"/>
      <c r="AQ36"/>
      <c r="AR36"/>
    </row>
    <row r="37" spans="1:44" s="29" customFormat="1" x14ac:dyDescent="0.25">
      <c r="A37" t="s">
        <v>38</v>
      </c>
      <c r="B37">
        <f>+PRODUCT(B36,AA20)</f>
        <v>2.3054989354174373</v>
      </c>
      <c r="C37">
        <f t="shared" ref="C37:F37" si="10">+PRODUCT(C36,AB20)</f>
        <v>3</v>
      </c>
      <c r="D37">
        <f t="shared" si="10"/>
        <v>0.38039569787959981</v>
      </c>
      <c r="E37">
        <f t="shared" si="10"/>
        <v>2.2259013396987894</v>
      </c>
      <c r="F37">
        <f t="shared" si="10"/>
        <v>1.1977097834833776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59" t="s">
        <v>105</v>
      </c>
      <c r="V37" s="47">
        <f>+SUM(B46:S46)</f>
        <v>7.6196139104546274</v>
      </c>
      <c r="W37" s="47">
        <f t="shared" si="5"/>
        <v>73.836253435768114</v>
      </c>
      <c r="X37">
        <f t="shared" si="6"/>
        <v>7</v>
      </c>
      <c r="Y37" s="60"/>
      <c r="Z37"/>
      <c r="AA37" s="61">
        <v>81.375193655131156</v>
      </c>
      <c r="AB37" s="29">
        <v>4</v>
      </c>
      <c r="AE37" s="29">
        <f>+B46*C46*D46*E46*F46</f>
        <v>6.5744480919939585</v>
      </c>
      <c r="AF37" s="47">
        <f t="shared" si="7"/>
        <v>93.730301818038768</v>
      </c>
      <c r="AG37">
        <f t="shared" si="8"/>
        <v>2</v>
      </c>
      <c r="AH37"/>
      <c r="AI37"/>
      <c r="AJ37"/>
      <c r="AK37"/>
      <c r="AL37"/>
      <c r="AM37"/>
      <c r="AN37"/>
      <c r="AO37"/>
      <c r="AP37"/>
      <c r="AQ37"/>
      <c r="AR37"/>
    </row>
    <row r="38" spans="1:44" s="29" customFormat="1" x14ac:dyDescent="0.25">
      <c r="A38"/>
      <c r="B38" s="48" t="s">
        <v>44</v>
      </c>
      <c r="C38" s="48" t="s">
        <v>45</v>
      </c>
      <c r="D38" s="48" t="s">
        <v>46</v>
      </c>
      <c r="E38" s="48" t="s">
        <v>47</v>
      </c>
      <c r="F38" s="48" t="s">
        <v>48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>
        <v>6</v>
      </c>
      <c r="U38" s="59" t="s">
        <v>106</v>
      </c>
      <c r="V38" s="47">
        <f>+SUM(B49:S49)</f>
        <v>9.5779286399898957</v>
      </c>
      <c r="W38" s="47">
        <f t="shared" si="5"/>
        <v>92.812887209635591</v>
      </c>
      <c r="X38">
        <f t="shared" si="6"/>
        <v>2</v>
      </c>
      <c r="Y38" s="60"/>
      <c r="Z38"/>
      <c r="AA38" s="61">
        <v>60.687508049067965</v>
      </c>
      <c r="AB38" s="29">
        <v>9</v>
      </c>
      <c r="AE38" s="29">
        <f>+B49*C49*D49*E49*F49</f>
        <v>5.1450870040790733</v>
      </c>
      <c r="AF38" s="47">
        <f t="shared" si="7"/>
        <v>73.352249652660802</v>
      </c>
      <c r="AG38">
        <f t="shared" si="8"/>
        <v>6</v>
      </c>
      <c r="AH38"/>
      <c r="AI38"/>
      <c r="AJ38"/>
      <c r="AK38"/>
      <c r="AL38"/>
      <c r="AM38"/>
      <c r="AN38"/>
      <c r="AO38"/>
      <c r="AP38"/>
      <c r="AQ38"/>
      <c r="AR38"/>
    </row>
    <row r="39" spans="1:44" s="29" customFormat="1" x14ac:dyDescent="0.25">
      <c r="A39"/>
      <c r="B39">
        <f>+IFERROR(B21/MAX(B19:B28),0)</f>
        <v>1</v>
      </c>
      <c r="C39">
        <f t="shared" ref="C39:F39" si="11">+IFERROR(C21/MAX(C19:C28),0)</f>
        <v>0.66459620376555328</v>
      </c>
      <c r="D39">
        <f t="shared" si="11"/>
        <v>0.4302572948794634</v>
      </c>
      <c r="E39">
        <f t="shared" si="11"/>
        <v>0.42950859095788207</v>
      </c>
      <c r="F39">
        <f t="shared" si="11"/>
        <v>0.37748655788548841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59" t="s">
        <v>107</v>
      </c>
      <c r="V39" s="47">
        <f>+SUM(B52:S52)</f>
        <v>7.9512779550590746</v>
      </c>
      <c r="W39" s="47">
        <f t="shared" si="5"/>
        <v>77.050173555703012</v>
      </c>
      <c r="X39">
        <f t="shared" si="6"/>
        <v>6</v>
      </c>
      <c r="Y39" s="60"/>
      <c r="Z39"/>
      <c r="AA39" s="61">
        <v>53.155515273814423</v>
      </c>
      <c r="AB39" s="29">
        <v>10</v>
      </c>
      <c r="AE39" s="29">
        <f>+B52*C52*D52*E52*F52</f>
        <v>4.7326972006961148</v>
      </c>
      <c r="AF39" s="47">
        <f t="shared" si="7"/>
        <v>67.472908878058519</v>
      </c>
      <c r="AG39">
        <f t="shared" si="8"/>
        <v>7</v>
      </c>
      <c r="AH39"/>
      <c r="AI39"/>
      <c r="AJ39"/>
      <c r="AK39"/>
      <c r="AL39"/>
      <c r="AM39"/>
      <c r="AN39"/>
      <c r="AO39"/>
      <c r="AP39"/>
      <c r="AQ39"/>
      <c r="AR39"/>
    </row>
    <row r="40" spans="1:44" s="29" customFormat="1" x14ac:dyDescent="0.25">
      <c r="A40" t="s">
        <v>38</v>
      </c>
      <c r="B40">
        <f>+PRODUCT(B39,AA20)</f>
        <v>4</v>
      </c>
      <c r="C40">
        <f t="shared" ref="C40:F40" si="12">+PRODUCT(C39,AB20)</f>
        <v>1.9937886112966599</v>
      </c>
      <c r="D40">
        <f t="shared" si="12"/>
        <v>0.4302572948794634</v>
      </c>
      <c r="E40">
        <f t="shared" si="12"/>
        <v>2.1475429547894103</v>
      </c>
      <c r="F40">
        <f t="shared" si="12"/>
        <v>0.75497311577097681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59"/>
      <c r="V40" s="47"/>
      <c r="W40" s="47"/>
      <c r="X40"/>
      <c r="Y40" s="60"/>
      <c r="Z40"/>
      <c r="AA40" s="61">
        <v>77.869757404272036</v>
      </c>
      <c r="AB40" s="79">
        <v>6</v>
      </c>
      <c r="AE40" s="29">
        <f>+B55*C55*D55*E55*F55</f>
        <v>0</v>
      </c>
      <c r="AF40" s="47">
        <f t="shared" si="7"/>
        <v>0</v>
      </c>
      <c r="AG40">
        <f t="shared" si="8"/>
        <v>8</v>
      </c>
      <c r="AH40"/>
      <c r="AI40"/>
      <c r="AJ40"/>
      <c r="AK40"/>
      <c r="AL40"/>
      <c r="AM40"/>
      <c r="AN40"/>
      <c r="AO40"/>
      <c r="AP40"/>
      <c r="AQ40"/>
      <c r="AR40"/>
    </row>
    <row r="41" spans="1:44" s="29" customFormat="1" x14ac:dyDescent="0.25">
      <c r="A41"/>
      <c r="B41" s="48" t="s">
        <v>49</v>
      </c>
      <c r="C41" s="48" t="s">
        <v>50</v>
      </c>
      <c r="D41" s="48" t="s">
        <v>51</v>
      </c>
      <c r="E41" s="48" t="s">
        <v>52</v>
      </c>
      <c r="F41" s="48" t="s">
        <v>53</v>
      </c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/>
      <c r="U41" s="59"/>
      <c r="V41" s="47"/>
      <c r="W41" s="47"/>
      <c r="X41"/>
      <c r="Y41" s="60"/>
      <c r="Z41"/>
      <c r="AA41" s="61">
        <v>100</v>
      </c>
      <c r="AB41" s="29">
        <v>1</v>
      </c>
      <c r="AE41" s="29">
        <f>+B58*C58*D58*E58*F58</f>
        <v>0</v>
      </c>
      <c r="AF41" s="47">
        <f t="shared" si="7"/>
        <v>0</v>
      </c>
      <c r="AG41">
        <f t="shared" si="8"/>
        <v>8</v>
      </c>
      <c r="AH41"/>
      <c r="AI41"/>
      <c r="AJ41"/>
      <c r="AK41"/>
      <c r="AL41"/>
      <c r="AM41"/>
      <c r="AN41"/>
      <c r="AO41"/>
      <c r="AP41"/>
      <c r="AQ41"/>
      <c r="AR41"/>
    </row>
    <row r="42" spans="1:44" s="29" customFormat="1" x14ac:dyDescent="0.25">
      <c r="A42"/>
      <c r="B42">
        <f>+IFERROR(B22/MAX(B19:B28),0)</f>
        <v>0.78691093580002336</v>
      </c>
      <c r="C42">
        <f t="shared" ref="C42:F42" si="13">+IFERROR(C22/MAX(C19:C28),0)</f>
        <v>0.49244380221828465</v>
      </c>
      <c r="D42">
        <f t="shared" si="13"/>
        <v>0.24801353204164478</v>
      </c>
      <c r="E42">
        <f t="shared" si="13"/>
        <v>0.85891926653608563</v>
      </c>
      <c r="F42">
        <f t="shared" si="13"/>
        <v>0.57601284299453681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59"/>
      <c r="V42" s="47"/>
      <c r="W42" s="47"/>
      <c r="X42"/>
      <c r="Y42" s="60"/>
      <c r="Z42"/>
      <c r="AA42" s="61">
        <v>89.190949430210537</v>
      </c>
      <c r="AB42" s="29">
        <v>3</v>
      </c>
      <c r="AE42" s="29">
        <f>+B61*C61*D61*E61*F61</f>
        <v>0</v>
      </c>
      <c r="AF42" s="47">
        <f t="shared" si="7"/>
        <v>0</v>
      </c>
      <c r="AG42">
        <f t="shared" si="8"/>
        <v>8</v>
      </c>
      <c r="AH42"/>
      <c r="AI42"/>
      <c r="AJ42"/>
      <c r="AK42"/>
      <c r="AL42"/>
      <c r="AM42"/>
      <c r="AN42"/>
      <c r="AO42"/>
      <c r="AP42"/>
      <c r="AQ42"/>
      <c r="AR42"/>
    </row>
    <row r="43" spans="1:44" s="29" customFormat="1" x14ac:dyDescent="0.25">
      <c r="A43" t="s">
        <v>38</v>
      </c>
      <c r="B43">
        <f>+PRODUCT(B42,AA20)</f>
        <v>3.1476437432000934</v>
      </c>
      <c r="C43">
        <f t="shared" ref="C43:F43" si="14">+PRODUCT(C42,AB20)</f>
        <v>1.477331406654854</v>
      </c>
      <c r="D43">
        <f t="shared" si="14"/>
        <v>0.24801353204164478</v>
      </c>
      <c r="E43">
        <f t="shared" si="14"/>
        <v>4.2945963326804284</v>
      </c>
      <c r="F43">
        <f t="shared" si="14"/>
        <v>1.1520256859890736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47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29" customFormat="1" x14ac:dyDescent="0.25">
      <c r="A44"/>
      <c r="B44" s="48" t="s">
        <v>54</v>
      </c>
      <c r="C44" s="48" t="s">
        <v>55</v>
      </c>
      <c r="D44" s="48" t="s">
        <v>56</v>
      </c>
      <c r="E44" s="48" t="s">
        <v>57</v>
      </c>
      <c r="F44" s="48" t="s">
        <v>58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/>
      <c r="U44"/>
      <c r="V44" s="3" t="s">
        <v>59</v>
      </c>
      <c r="W44" s="39">
        <f>+AVERAGE(W33:W42)</f>
        <v>86.882881123368648</v>
      </c>
      <c r="X44" s="39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29" customFormat="1" x14ac:dyDescent="0.25">
      <c r="A45"/>
      <c r="B45">
        <f>+IFERROR(B23/MAX(B19:B28),0)</f>
        <v>0.36591468300688462</v>
      </c>
      <c r="C45">
        <f t="shared" ref="C45:F45" si="15">+IFERROR(C23/MAX(C19:C28),0)</f>
        <v>0.45431314182987959</v>
      </c>
      <c r="D45">
        <f t="shared" si="15"/>
        <v>1</v>
      </c>
      <c r="E45">
        <f t="shared" si="15"/>
        <v>0.48904276163628757</v>
      </c>
      <c r="F45">
        <f t="shared" si="15"/>
        <v>0.67390097237800595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 t="s">
        <v>60</v>
      </c>
      <c r="W45" s="39">
        <f>+_xlfn.STDEV.P(V33:V42)</f>
        <v>0.86284774634010586</v>
      </c>
      <c r="X45" s="39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29" customFormat="1" x14ac:dyDescent="0.25">
      <c r="A46" t="s">
        <v>38</v>
      </c>
      <c r="B46">
        <f>+PRODUCT(B45,AA20)</f>
        <v>1.4636587320275385</v>
      </c>
      <c r="C46">
        <f t="shared" ref="C46:F46" si="16">+PRODUCT(C45,AB20)</f>
        <v>1.3629394254896388</v>
      </c>
      <c r="D46">
        <f t="shared" si="16"/>
        <v>1</v>
      </c>
      <c r="E46">
        <f t="shared" si="16"/>
        <v>2.4452138081814381</v>
      </c>
      <c r="F46">
        <f t="shared" si="16"/>
        <v>1.3478019447560119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 t="s">
        <v>61</v>
      </c>
      <c r="W46" s="39">
        <f>+_xlfn.VAR.P(V33:V42)</f>
        <v>0.74450623336419974</v>
      </c>
      <c r="X46" s="39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29" customFormat="1" x14ac:dyDescent="0.25">
      <c r="A47"/>
      <c r="B47" s="48" t="s">
        <v>62</v>
      </c>
      <c r="C47" s="48" t="s">
        <v>63</v>
      </c>
      <c r="D47" s="48" t="s">
        <v>64</v>
      </c>
      <c r="E47" s="48" t="s">
        <v>65</v>
      </c>
      <c r="F47" s="48" t="s">
        <v>66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/>
      <c r="U47"/>
      <c r="V47" s="47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29" customFormat="1" x14ac:dyDescent="0.25">
      <c r="A48"/>
      <c r="B48">
        <f>+IFERROR(B24/MAX(B19:B28),0)</f>
        <v>0.45872548608573716</v>
      </c>
      <c r="C48">
        <f t="shared" ref="C48:F48" si="17">+IFERROR(C24/MAX(C19:C28),0)</f>
        <v>0.31002016867101051</v>
      </c>
      <c r="D48">
        <f t="shared" si="17"/>
        <v>0.43878927905323456</v>
      </c>
      <c r="E48">
        <f t="shared" si="17"/>
        <v>1</v>
      </c>
      <c r="F48">
        <f t="shared" si="17"/>
        <v>0.68708845529034102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47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38</v>
      </c>
      <c r="B49">
        <f>+PRODUCT(B48,AA20)</f>
        <v>1.8349019443429486</v>
      </c>
      <c r="C49">
        <f t="shared" ref="C49:F49" si="18">+PRODUCT(C48,AB20)</f>
        <v>0.93006050601303158</v>
      </c>
      <c r="D49">
        <f t="shared" si="18"/>
        <v>0.43878927905323456</v>
      </c>
      <c r="E49">
        <f t="shared" si="18"/>
        <v>5</v>
      </c>
      <c r="F49">
        <f t="shared" si="18"/>
        <v>1.374176910580682</v>
      </c>
      <c r="V49" s="47"/>
    </row>
    <row r="50" spans="1:22" x14ac:dyDescent="0.25">
      <c r="B50" s="48" t="s">
        <v>67</v>
      </c>
      <c r="C50" s="48" t="s">
        <v>68</v>
      </c>
      <c r="D50" s="48" t="s">
        <v>69</v>
      </c>
      <c r="E50" s="48" t="s">
        <v>70</v>
      </c>
      <c r="F50" s="48" t="s">
        <v>71</v>
      </c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U50" s="85"/>
      <c r="V50" s="47"/>
    </row>
    <row r="51" spans="1:22" x14ac:dyDescent="0.25">
      <c r="B51">
        <f>+IFERROR(B25/MAX(B19:B28),0)</f>
        <v>0.48897423402505347</v>
      </c>
      <c r="C51">
        <f t="shared" ref="C51:F51" si="19">+IFERROR(C25/MAX(C19:C28),0)</f>
        <v>0.59762625907571199</v>
      </c>
      <c r="D51">
        <f t="shared" si="19"/>
        <v>0.36780478156875079</v>
      </c>
      <c r="E51">
        <f t="shared" si="19"/>
        <v>0.36693949203259485</v>
      </c>
      <c r="F51">
        <f t="shared" si="19"/>
        <v>1</v>
      </c>
      <c r="U51" s="85"/>
      <c r="V51" s="47"/>
    </row>
    <row r="52" spans="1:22" x14ac:dyDescent="0.25">
      <c r="A52" t="s">
        <v>38</v>
      </c>
      <c r="B52">
        <f>+PRODUCT(B51,AA20)</f>
        <v>1.9558969361002139</v>
      </c>
      <c r="C52">
        <f t="shared" ref="C52:F52" si="20">+PRODUCT(C51,AB20)</f>
        <v>1.792878777227136</v>
      </c>
      <c r="D52">
        <f t="shared" si="20"/>
        <v>0.36780478156875079</v>
      </c>
      <c r="E52">
        <f t="shared" si="20"/>
        <v>1.8346974601629742</v>
      </c>
      <c r="F52">
        <f t="shared" si="20"/>
        <v>2</v>
      </c>
      <c r="U52" s="85"/>
      <c r="V52" s="47"/>
    </row>
    <row r="53" spans="1:22" x14ac:dyDescent="0.25">
      <c r="B53" s="48"/>
      <c r="C53" s="48"/>
      <c r="D53" s="48"/>
      <c r="E53" s="48"/>
      <c r="F53" s="48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U53" s="59"/>
      <c r="V53" s="47"/>
    </row>
    <row r="54" spans="1:22" x14ac:dyDescent="0.25">
      <c r="U54" s="59"/>
      <c r="V54" s="47"/>
    </row>
    <row r="55" spans="1:22" x14ac:dyDescent="0.25">
      <c r="U55" s="59"/>
      <c r="V55" s="47"/>
    </row>
    <row r="56" spans="1:22" x14ac:dyDescent="0.25">
      <c r="B56" s="48"/>
      <c r="C56" s="48"/>
      <c r="D56" s="48"/>
      <c r="E56" s="48"/>
      <c r="F56" s="48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U56" s="59"/>
      <c r="V56" s="47"/>
    </row>
    <row r="57" spans="1:22" x14ac:dyDescent="0.25">
      <c r="U57" s="59"/>
      <c r="V57" s="47"/>
    </row>
    <row r="58" spans="1:22" x14ac:dyDescent="0.25">
      <c r="U58" s="59"/>
      <c r="V58" s="47"/>
    </row>
    <row r="59" spans="1:22" x14ac:dyDescent="0.25">
      <c r="B59" s="48"/>
      <c r="C59" s="48"/>
      <c r="D59" s="48"/>
      <c r="E59" s="48"/>
      <c r="F59" s="48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U59" s="59"/>
      <c r="V59" s="47"/>
    </row>
    <row r="60" spans="1:22" x14ac:dyDescent="0.25">
      <c r="U60" s="59"/>
      <c r="V60" s="47"/>
    </row>
    <row r="61" spans="1:22" x14ac:dyDescent="0.25">
      <c r="U61" s="59"/>
      <c r="V61" s="47"/>
    </row>
    <row r="62" spans="1:22" x14ac:dyDescent="0.25">
      <c r="U62" s="59"/>
      <c r="V62" s="47"/>
    </row>
    <row r="63" spans="1:22" x14ac:dyDescent="0.25">
      <c r="V63" s="47"/>
    </row>
    <row r="64" spans="1:22" x14ac:dyDescent="0.25">
      <c r="V64" s="47"/>
    </row>
    <row r="65" spans="22:22" x14ac:dyDescent="0.25">
      <c r="V65" s="47"/>
    </row>
    <row r="66" spans="22:22" x14ac:dyDescent="0.25">
      <c r="V66" s="47"/>
    </row>
    <row r="67" spans="22:22" x14ac:dyDescent="0.25">
      <c r="V67" s="47"/>
    </row>
    <row r="68" spans="22:22" x14ac:dyDescent="0.25">
      <c r="V68" s="47"/>
    </row>
    <row r="69" spans="22:22" x14ac:dyDescent="0.25">
      <c r="V69" s="47"/>
    </row>
  </sheetData>
  <mergeCells count="3">
    <mergeCell ref="A1:U1"/>
    <mergeCell ref="U30:U32"/>
    <mergeCell ref="AA32:AD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CC4C-5699-4A3F-BAD0-D5C495450BE8}">
  <dimension ref="A1:AR69"/>
  <sheetViews>
    <sheetView topLeftCell="A13" zoomScale="85" zoomScaleNormal="85" workbookViewId="0">
      <selection activeCell="U33" sqref="U33:U39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29" customWidth="1"/>
    <col min="32" max="44" width="10.5703125" bestFit="1" customWidth="1"/>
  </cols>
  <sheetData>
    <row r="1" spans="1:44" ht="15.75" thickBot="1" x14ac:dyDescent="0.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44" ht="18" customHeight="1" thickBot="1" x14ac:dyDescent="0.3">
      <c r="B2" s="64" t="s">
        <v>108</v>
      </c>
      <c r="C2" s="65" t="s">
        <v>109</v>
      </c>
      <c r="D2" s="66" t="s">
        <v>110</v>
      </c>
      <c r="E2" s="67" t="s">
        <v>111</v>
      </c>
      <c r="F2" s="68" t="s">
        <v>112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44" ht="31.5" customHeight="1" thickBot="1" x14ac:dyDescent="0.3">
      <c r="A3" s="45" t="s">
        <v>21</v>
      </c>
    </row>
    <row r="4" spans="1:44" ht="18" customHeight="1" thickBot="1" x14ac:dyDescent="0.3">
      <c r="A4" s="95" t="s">
        <v>101</v>
      </c>
      <c r="B4" s="46">
        <f>+AHP_nivel_0!D55</f>
        <v>0.772888759185555</v>
      </c>
      <c r="C4" s="46">
        <f>+AHP_nivel_0!E55</f>
        <v>0.25066662460072059</v>
      </c>
      <c r="D4" s="46">
        <f>+AHP_nivel_0!F55</f>
        <v>0.18799996845054037</v>
      </c>
      <c r="E4" s="46">
        <f>+AHP_nivel_0!G55</f>
        <v>0.22977773921732714</v>
      </c>
      <c r="F4" s="46">
        <f>+AHP_nivel_0!H55</f>
        <v>0.31333328075090067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U4" s="47"/>
    </row>
    <row r="5" spans="1:44" ht="18" customHeight="1" thickBot="1" x14ac:dyDescent="0.3">
      <c r="A5" s="95" t="s">
        <v>102</v>
      </c>
      <c r="B5" s="46">
        <f>+AHP_nivel_0!D56</f>
        <v>0.48137698945980151</v>
      </c>
      <c r="C5" s="46">
        <f>+AHP_nivel_0!E56</f>
        <v>0.68768141351400214</v>
      </c>
      <c r="D5" s="46">
        <f>+AHP_nivel_0!F56</f>
        <v>0.15472831804065049</v>
      </c>
      <c r="E5" s="46">
        <f>+AHP_nivel_0!G56</f>
        <v>0.17192035337850053</v>
      </c>
      <c r="F5" s="46">
        <f>+AHP_nivel_0!H56</f>
        <v>0.37822477743270116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8" customHeight="1" thickBot="1" x14ac:dyDescent="0.3">
      <c r="A6" s="95" t="s">
        <v>103</v>
      </c>
      <c r="B6" s="46">
        <f>+AHP_nivel_0!D57</f>
        <v>0.99460392600107328</v>
      </c>
      <c r="C6" s="46">
        <f>+AHP_nivel_0!E57</f>
        <v>0.38427878959132378</v>
      </c>
      <c r="D6" s="46">
        <f>+AHP_nivel_0!F57</f>
        <v>0.20344171213658316</v>
      </c>
      <c r="E6" s="46">
        <f>+AHP_nivel_0!G57</f>
        <v>0.15823244277289805</v>
      </c>
      <c r="F6" s="46">
        <f>+AHP_nivel_0!H57</f>
        <v>0.15823244277289805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1:44" ht="18" customHeight="1" thickBot="1" x14ac:dyDescent="0.3">
      <c r="A7" s="95" t="s">
        <v>104</v>
      </c>
      <c r="B7" s="46">
        <f>+AHP_nivel_0!D58</f>
        <v>0.7364440465754637</v>
      </c>
      <c r="C7" s="46">
        <f>+AHP_nivel_0!E58</f>
        <v>0.22855160066135077</v>
      </c>
      <c r="D7" s="46">
        <f>+AHP_nivel_0!F58</f>
        <v>2.5394622295705639E-2</v>
      </c>
      <c r="E7" s="46">
        <f>+AHP_nivel_0!G58</f>
        <v>0.5332870682098183</v>
      </c>
      <c r="F7" s="46">
        <f>+AHP_nivel_0!H58</f>
        <v>0.35552471213987896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spans="1:44" ht="18" customHeight="1" thickBot="1" x14ac:dyDescent="0.3">
      <c r="A8" s="95" t="s">
        <v>105</v>
      </c>
      <c r="B8" s="46">
        <f>+AHP_nivel_0!D59</f>
        <v>0.22640219028520492</v>
      </c>
      <c r="C8" s="46">
        <f>+AHP_nivel_0!E59</f>
        <v>0.19405902024446139</v>
      </c>
      <c r="D8" s="46">
        <f>+AHP_nivel_0!F59</f>
        <v>0.76006449595747372</v>
      </c>
      <c r="E8" s="46">
        <f>+AHP_nivel_0!G59</f>
        <v>0.21023060526483314</v>
      </c>
      <c r="F8" s="46">
        <f>+AHP_nivel_0!H59</f>
        <v>0.45280438057040984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1:44" ht="18" customHeight="1" thickBot="1" x14ac:dyDescent="0.3">
      <c r="A9" s="95" t="s">
        <v>106</v>
      </c>
      <c r="B9" s="46">
        <f>+AHP_nivel_0!D60</f>
        <v>0.33884355757069329</v>
      </c>
      <c r="C9" s="46">
        <f>+AHP_nivel_0!E60</f>
        <v>6.3533167044504985E-2</v>
      </c>
      <c r="D9" s="46">
        <f>+AHP_nivel_0!F60</f>
        <v>0.21177722348168329</v>
      </c>
      <c r="E9" s="46">
        <f>+AHP_nivel_0!G60</f>
        <v>0.65650939279321818</v>
      </c>
      <c r="F9" s="46">
        <f>+AHP_nivel_0!H60</f>
        <v>0.46590989165970326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</row>
    <row r="10" spans="1:44" ht="18" customHeight="1" x14ac:dyDescent="0.25">
      <c r="A10" s="95" t="s">
        <v>107</v>
      </c>
      <c r="B10" s="46">
        <f>+AHP_nivel_0!D61</f>
        <v>0.37549026748097314</v>
      </c>
      <c r="C10" s="46">
        <f>+AHP_nivel_0!E61</f>
        <v>0.32369850644911485</v>
      </c>
      <c r="D10" s="46">
        <f>+AHP_nivel_0!F61</f>
        <v>0.14242734283761052</v>
      </c>
      <c r="E10" s="46">
        <f>+AHP_nivel_0!G61</f>
        <v>0.10358352206371675</v>
      </c>
      <c r="F10" s="46">
        <f>+AHP_nivel_0!H61</f>
        <v>0.77687641547787556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8" customHeight="1" x14ac:dyDescent="0.25">
      <c r="A11" s="93"/>
      <c r="B11" s="46"/>
      <c r="C11" s="46"/>
      <c r="D11" s="46"/>
      <c r="E11" s="46"/>
      <c r="F11" s="69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AA11" s="29">
        <f>ROUND($AC$26*AA19+$AC$25,0)</f>
        <v>5</v>
      </c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</row>
    <row r="12" spans="1:44" ht="18" customHeight="1" x14ac:dyDescent="0.25">
      <c r="A12" s="93"/>
      <c r="B12" s="46"/>
      <c r="C12" s="46"/>
      <c r="D12" s="46"/>
      <c r="E12" s="46"/>
      <c r="F12" s="69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1:44" ht="18" customHeight="1" x14ac:dyDescent="0.25">
      <c r="A13" s="94"/>
      <c r="B13" s="46"/>
      <c r="C13" s="46"/>
      <c r="D13" s="46"/>
      <c r="E13" s="46"/>
      <c r="F13" s="69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5" spans="1:44" x14ac:dyDescent="0.25">
      <c r="AA15" s="29">
        <v>0.25</v>
      </c>
      <c r="AB15" s="29">
        <v>0.25</v>
      </c>
      <c r="AC15" s="29">
        <v>0.25</v>
      </c>
      <c r="AD15" s="29">
        <v>0.25</v>
      </c>
      <c r="AE15" s="29">
        <v>0.25</v>
      </c>
      <c r="AF15" s="29">
        <v>0.25</v>
      </c>
      <c r="AG15" s="29"/>
      <c r="AH15" s="29"/>
      <c r="AI15" s="29"/>
      <c r="AJ15" s="29"/>
      <c r="AK15" s="29"/>
      <c r="AL15" s="29"/>
    </row>
    <row r="17" spans="1:44" ht="15.75" thickBot="1" x14ac:dyDescent="0.3">
      <c r="AA17" s="24">
        <v>0.2112</v>
      </c>
      <c r="AB17" s="24"/>
      <c r="AC17" s="24"/>
      <c r="AD17" s="24"/>
      <c r="AE17" s="24">
        <v>0.19639999999999999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4" ht="30.75" thickBot="1" x14ac:dyDescent="0.3">
      <c r="A18" s="84" t="s">
        <v>88</v>
      </c>
      <c r="B18" s="64" t="s">
        <v>108</v>
      </c>
      <c r="C18" s="65" t="s">
        <v>109</v>
      </c>
      <c r="D18" s="66" t="s">
        <v>110</v>
      </c>
      <c r="E18" s="67" t="s">
        <v>111</v>
      </c>
      <c r="F18" s="68" t="s">
        <v>112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AA18" s="64" t="s">
        <v>108</v>
      </c>
      <c r="AB18" s="65" t="s">
        <v>109</v>
      </c>
      <c r="AC18" s="66" t="s">
        <v>110</v>
      </c>
      <c r="AD18" s="67" t="s">
        <v>111</v>
      </c>
      <c r="AE18" s="68" t="s">
        <v>112</v>
      </c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</row>
    <row r="19" spans="1:44" x14ac:dyDescent="0.25">
      <c r="A19" s="51" t="s">
        <v>101</v>
      </c>
      <c r="B19" s="46">
        <f>IFERROR(+$U$26*B4+$U$24,"")</f>
        <v>4.0849647605821247</v>
      </c>
      <c r="C19" s="46">
        <f t="shared" ref="C19:F25" si="0">IFERROR(+$U$26*C4+$U$24,"")</f>
        <v>1.9297145681279839</v>
      </c>
      <c r="D19" s="46">
        <f t="shared" si="0"/>
        <v>1.6710845450334866</v>
      </c>
      <c r="E19" s="46">
        <f t="shared" si="0"/>
        <v>1.8435045604298179</v>
      </c>
      <c r="F19" s="69">
        <f t="shared" si="0"/>
        <v>2.1883445912224806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47"/>
      <c r="U19" t="s">
        <v>23</v>
      </c>
      <c r="Z19" s="52" t="s">
        <v>24</v>
      </c>
      <c r="AA19" s="25">
        <v>0.2</v>
      </c>
      <c r="AB19" s="26">
        <v>0.2</v>
      </c>
      <c r="AC19" s="27">
        <v>0.2</v>
      </c>
      <c r="AD19" s="28">
        <v>0.19989999999999999</v>
      </c>
      <c r="AE19" s="28">
        <v>0.2</v>
      </c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</row>
    <row r="20" spans="1:44" x14ac:dyDescent="0.25">
      <c r="A20" s="51" t="s">
        <v>102</v>
      </c>
      <c r="B20" s="46">
        <f>IFERROR(+$U$26*B5+$U$24,"")</f>
        <v>2.8818736692717968</v>
      </c>
      <c r="C20" s="46">
        <f t="shared" si="0"/>
        <v>3.7333076093525683</v>
      </c>
      <c r="D20" s="46">
        <f t="shared" si="0"/>
        <v>1.5337699308105748</v>
      </c>
      <c r="E20" s="46">
        <f t="shared" si="0"/>
        <v>1.604722759150639</v>
      </c>
      <c r="F20" s="69">
        <f t="shared" si="0"/>
        <v>2.4561566992314106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47"/>
      <c r="U20" t="s">
        <v>25</v>
      </c>
      <c r="AA20" s="53">
        <f>ROUND($AC$26*AA19+$AC$25,0)</f>
        <v>5</v>
      </c>
      <c r="AB20" s="53">
        <f t="shared" ref="AB20:AE20" si="1">ROUND($AC$26*AB19+$AC$25,0)</f>
        <v>5</v>
      </c>
      <c r="AC20" s="53">
        <f t="shared" si="1"/>
        <v>5</v>
      </c>
      <c r="AD20" s="53">
        <f t="shared" si="1"/>
        <v>1</v>
      </c>
      <c r="AE20" s="53">
        <f t="shared" si="1"/>
        <v>5</v>
      </c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</row>
    <row r="21" spans="1:44" x14ac:dyDescent="0.25">
      <c r="A21" s="51" t="s">
        <v>103</v>
      </c>
      <c r="B21" s="46">
        <f t="shared" ref="B21:B25" si="2">IFERROR(+$U$26*B6+$U$24,"")</f>
        <v>5</v>
      </c>
      <c r="C21" s="46">
        <f t="shared" si="0"/>
        <v>2.4811420646647702</v>
      </c>
      <c r="D21" s="46">
        <f t="shared" si="0"/>
        <v>1.7348137875284058</v>
      </c>
      <c r="E21" s="46">
        <f t="shared" si="0"/>
        <v>1.5482317182443148</v>
      </c>
      <c r="F21" s="69">
        <f t="shared" si="0"/>
        <v>1.5482317182443148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47"/>
      <c r="Z21" t="s">
        <v>78</v>
      </c>
      <c r="AA21" s="29">
        <f>ROUND($AC$26*AA19+$AC$25,0)</f>
        <v>5</v>
      </c>
      <c r="AB21" s="29">
        <f t="shared" ref="AB21:AE21" si="3">$AC$26*AB19+$AC$25</f>
        <v>5.0000000000009095</v>
      </c>
      <c r="AC21" s="29">
        <f t="shared" si="3"/>
        <v>5.0000000000009095</v>
      </c>
      <c r="AD21" s="29">
        <f t="shared" si="3"/>
        <v>1.0000000000009095</v>
      </c>
      <c r="AE21" s="29">
        <f t="shared" si="3"/>
        <v>5.0000000000009095</v>
      </c>
    </row>
    <row r="22" spans="1:44" x14ac:dyDescent="0.25">
      <c r="A22" s="51" t="s">
        <v>104</v>
      </c>
      <c r="B22" s="46">
        <f t="shared" si="2"/>
        <v>3.9345546790001169</v>
      </c>
      <c r="C22" s="46">
        <f t="shared" si="0"/>
        <v>1.8384441940000333</v>
      </c>
      <c r="D22" s="46">
        <f t="shared" si="0"/>
        <v>1</v>
      </c>
      <c r="E22" s="46">
        <f t="shared" si="0"/>
        <v>3.0961104850000827</v>
      </c>
      <c r="F22" s="69">
        <f t="shared" si="0"/>
        <v>2.3624718152500543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47"/>
    </row>
    <row r="23" spans="1:44" x14ac:dyDescent="0.25">
      <c r="A23" s="51" t="s">
        <v>105</v>
      </c>
      <c r="B23" s="46">
        <f t="shared" si="2"/>
        <v>1.8295734150344232</v>
      </c>
      <c r="C23" s="46">
        <f t="shared" si="0"/>
        <v>1.6960907094223621</v>
      </c>
      <c r="D23" s="46">
        <f t="shared" si="0"/>
        <v>4.0320380576334305</v>
      </c>
      <c r="E23" s="46">
        <f t="shared" si="0"/>
        <v>1.7628320622283926</v>
      </c>
      <c r="F23" s="69">
        <f t="shared" si="0"/>
        <v>2.7639523543188504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7"/>
      <c r="W23" t="s">
        <v>26</v>
      </c>
      <c r="X23" s="47">
        <f>+MIN(B4:F13)</f>
        <v>2.5394622295705639E-2</v>
      </c>
      <c r="AB23" s="29" t="s">
        <v>26</v>
      </c>
      <c r="AC23" s="54">
        <f>+ROUND(MIN(AA19:AE19),5)</f>
        <v>0.19989999999999999</v>
      </c>
      <c r="AD23" s="54"/>
      <c r="AE23" s="54"/>
      <c r="AF23" s="54"/>
      <c r="AG23" s="54"/>
    </row>
    <row r="24" spans="1:44" ht="18" customHeight="1" x14ac:dyDescent="0.25">
      <c r="A24" s="51" t="s">
        <v>106</v>
      </c>
      <c r="B24" s="46">
        <f t="shared" si="2"/>
        <v>2.2936274304286859</v>
      </c>
      <c r="C24" s="46">
        <f t="shared" si="0"/>
        <v>1.1574006547522502</v>
      </c>
      <c r="D24" s="46">
        <f t="shared" si="0"/>
        <v>1.7692150724241771</v>
      </c>
      <c r="E24" s="46">
        <f t="shared" si="0"/>
        <v>3.6046583254399573</v>
      </c>
      <c r="F24" s="69">
        <f t="shared" si="0"/>
        <v>2.8180397884331949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47"/>
      <c r="U24" s="55">
        <f>(5*X23-X24)/(X23-X24)</f>
        <v>0.89519447574999589</v>
      </c>
      <c r="W24" t="s">
        <v>27</v>
      </c>
      <c r="X24" s="47">
        <f>+MAX(B4:F13)</f>
        <v>0.99460392600107328</v>
      </c>
      <c r="AB24" s="29" t="s">
        <v>27</v>
      </c>
      <c r="AC24" s="54">
        <f>+ROUND(MAX(AA19:AE19),5)</f>
        <v>0.2</v>
      </c>
      <c r="AD24" s="54"/>
      <c r="AE24" s="54"/>
      <c r="AF24" s="54"/>
      <c r="AG24" s="54"/>
    </row>
    <row r="25" spans="1:44" x14ac:dyDescent="0.25">
      <c r="A25" s="51" t="s">
        <v>107</v>
      </c>
      <c r="B25" s="46">
        <f t="shared" si="2"/>
        <v>2.4448711701252672</v>
      </c>
      <c r="C25" s="46">
        <f t="shared" si="0"/>
        <v>2.2311226605562648</v>
      </c>
      <c r="D25" s="46">
        <f t="shared" si="0"/>
        <v>1.4830028770647541</v>
      </c>
      <c r="E25" s="46">
        <f t="shared" si="0"/>
        <v>1.322691494888002</v>
      </c>
      <c r="F25" s="69">
        <f t="shared" si="0"/>
        <v>4.10142211928504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47"/>
      <c r="AB25" t="s">
        <v>28</v>
      </c>
      <c r="AC25" s="56">
        <f>(5*AC23-AC24)/(AC23-AC24)</f>
        <v>-7994.9999999986603</v>
      </c>
      <c r="AD25"/>
      <c r="AE25"/>
    </row>
    <row r="26" spans="1:44" x14ac:dyDescent="0.25">
      <c r="A26" s="51"/>
      <c r="B26" s="46"/>
      <c r="C26" s="46"/>
      <c r="D26" s="46"/>
      <c r="E26" s="46"/>
      <c r="F26" s="69"/>
      <c r="G26" s="58"/>
      <c r="H26" s="70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7"/>
      <c r="U26" s="55">
        <f>+-4/(X23-X24)</f>
        <v>4.1270755292047525</v>
      </c>
      <c r="AB26" t="s">
        <v>29</v>
      </c>
      <c r="AC26" s="56">
        <f>+-4/(AC23-AC24)</f>
        <v>39999.999999993306</v>
      </c>
      <c r="AD26"/>
      <c r="AE26"/>
      <c r="AJ26" t="s">
        <v>30</v>
      </c>
    </row>
    <row r="27" spans="1:44" x14ac:dyDescent="0.25">
      <c r="A27" s="51"/>
      <c r="B27" s="46"/>
      <c r="C27" s="46"/>
      <c r="D27" s="46"/>
      <c r="E27" s="46"/>
      <c r="F27" s="69"/>
      <c r="G27" s="58"/>
      <c r="H27" s="7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47"/>
    </row>
    <row r="28" spans="1:44" x14ac:dyDescent="0.25">
      <c r="A28" s="51"/>
      <c r="B28" s="46"/>
      <c r="C28" s="46"/>
      <c r="D28" s="46"/>
      <c r="E28" s="46"/>
      <c r="F28" s="69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47"/>
    </row>
    <row r="29" spans="1:44" x14ac:dyDescent="0.25">
      <c r="A29" s="57"/>
      <c r="B29" s="58"/>
      <c r="C29" s="58"/>
      <c r="D29" s="58"/>
      <c r="E29" s="58"/>
      <c r="F29" s="58"/>
      <c r="T29" s="47"/>
    </row>
    <row r="30" spans="1:44" x14ac:dyDescent="0.25">
      <c r="A30" s="45"/>
      <c r="B30" s="29"/>
      <c r="C30" s="29"/>
      <c r="D30" s="29"/>
      <c r="E30" s="29"/>
      <c r="F30" s="29"/>
      <c r="U30" s="115" t="s">
        <v>31</v>
      </c>
    </row>
    <row r="31" spans="1:44" x14ac:dyDescent="0.25">
      <c r="A31" s="57"/>
      <c r="B31" s="58"/>
      <c r="C31" s="58"/>
      <c r="D31" s="58"/>
      <c r="E31" s="58"/>
      <c r="F31" s="58"/>
      <c r="U31" s="115"/>
    </row>
    <row r="32" spans="1:44" ht="33.75" customHeight="1" x14ac:dyDescent="0.25">
      <c r="A32" s="52" t="s">
        <v>90</v>
      </c>
      <c r="B32" s="48" t="s">
        <v>32</v>
      </c>
      <c r="C32" s="48" t="s">
        <v>33</v>
      </c>
      <c r="D32" s="48" t="s">
        <v>34</v>
      </c>
      <c r="E32" s="48" t="s">
        <v>35</v>
      </c>
      <c r="F32" s="48" t="s">
        <v>36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U32" s="115"/>
      <c r="W32" t="s">
        <v>37</v>
      </c>
      <c r="AA32" s="116" t="s">
        <v>79</v>
      </c>
      <c r="AB32" s="116"/>
      <c r="AC32" s="116"/>
      <c r="AD32" s="116"/>
    </row>
    <row r="33" spans="1:44" s="29" customFormat="1" x14ac:dyDescent="0.25">
      <c r="A33"/>
      <c r="B33">
        <f>+IFERROR(B19/MAX(B19:B28),0)</f>
        <v>0.81699295211642498</v>
      </c>
      <c r="C33">
        <f>+IFERROR(C19/MAX(C19:C28),0)</f>
        <v>0.51689139231220105</v>
      </c>
      <c r="D33">
        <f>+IFERROR(D19/MAX(D19:D28),0)</f>
        <v>0.41445158035396001</v>
      </c>
      <c r="E33">
        <f>+IFERROR(E19/MAX(E19:E28),0)</f>
        <v>0.51142282957007135</v>
      </c>
      <c r="F33">
        <f>+IFERROR(F19/MAX(F19:F28),0)</f>
        <v>0.53355751433942944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59" t="s">
        <v>101</v>
      </c>
      <c r="V33" s="47">
        <f>+SUM(B34:S34)</f>
        <v>11.920890025180148</v>
      </c>
      <c r="W33" s="47">
        <f>+V33/MAX($V$33:$V$42)*100</f>
        <v>90.150596432243887</v>
      </c>
      <c r="X33">
        <f>+RANK(W33,$W$33:$W$42)</f>
        <v>5</v>
      </c>
      <c r="Y33" s="60"/>
      <c r="Z33"/>
      <c r="AA33" s="61">
        <v>92.772569717166846</v>
      </c>
      <c r="AB33" s="29">
        <v>2</v>
      </c>
      <c r="AE33" s="29">
        <f>+B34*C34*D34*E34*F34</f>
        <v>29.849205695654177</v>
      </c>
      <c r="AF33" s="47">
        <f>+AE33/MAX($AE$33:$AE$42)*100</f>
        <v>81.706145335539446</v>
      </c>
      <c r="AG33">
        <f>+RANK(AF33,$AF$33:$AF$42)</f>
        <v>3</v>
      </c>
      <c r="AH33"/>
      <c r="AI33"/>
      <c r="AJ33"/>
      <c r="AK33"/>
      <c r="AL33"/>
      <c r="AM33"/>
      <c r="AN33"/>
      <c r="AO33"/>
      <c r="AP33"/>
      <c r="AQ33"/>
      <c r="AR33"/>
    </row>
    <row r="34" spans="1:44" s="29" customFormat="1" x14ac:dyDescent="0.25">
      <c r="A34" t="s">
        <v>38</v>
      </c>
      <c r="B34">
        <f>+PRODUCT(B33,AA20)</f>
        <v>4.0849647605821247</v>
      </c>
      <c r="C34">
        <f t="shared" ref="C34:E34" si="4">+PRODUCT(C33,AB20)</f>
        <v>2.5844569615610054</v>
      </c>
      <c r="D34">
        <f t="shared" si="4"/>
        <v>2.0722579017698002</v>
      </c>
      <c r="E34">
        <f t="shared" si="4"/>
        <v>0.51142282957007135</v>
      </c>
      <c r="F34">
        <f>+PRODUCT(F33,AE20)</f>
        <v>2.6677875716971471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59" t="s">
        <v>102</v>
      </c>
      <c r="V34" s="47">
        <f>+SUM(B37:S37)</f>
        <v>13.223306885317998</v>
      </c>
      <c r="W34" s="47">
        <f t="shared" ref="W34:W39" si="5">+V34/MAX($V$33:$V$42)*100</f>
        <v>100</v>
      </c>
      <c r="X34">
        <f t="shared" ref="X34:X39" si="6">+RANK(W34,$W$33:$W$42)</f>
        <v>1</v>
      </c>
      <c r="Y34" s="60"/>
      <c r="Z34"/>
      <c r="AA34" s="61">
        <v>70.396477587863828</v>
      </c>
      <c r="AB34" s="29">
        <v>7</v>
      </c>
      <c r="AE34" s="29">
        <f>+B37*C37*D37*E37*F37</f>
        <v>36.53238758611559</v>
      </c>
      <c r="AF34" s="47">
        <f t="shared" ref="AF34:AF42" si="7">+AE34/MAX($AE$33:$AE$42)*100</f>
        <v>100</v>
      </c>
      <c r="AG34">
        <f t="shared" ref="AG34:AG42" si="8">+RANK(AF34,$AF$33:$AF$42)</f>
        <v>1</v>
      </c>
      <c r="AH34"/>
      <c r="AI34"/>
      <c r="AJ34"/>
      <c r="AK34"/>
      <c r="AL34"/>
      <c r="AM34"/>
      <c r="AN34"/>
      <c r="AO34"/>
      <c r="AP34"/>
      <c r="AQ34"/>
      <c r="AR34"/>
    </row>
    <row r="35" spans="1:44" s="29" customFormat="1" x14ac:dyDescent="0.25">
      <c r="A35"/>
      <c r="B35" s="48" t="s">
        <v>39</v>
      </c>
      <c r="C35" s="48" t="s">
        <v>40</v>
      </c>
      <c r="D35" s="48" t="s">
        <v>41</v>
      </c>
      <c r="E35" s="48" t="s">
        <v>42</v>
      </c>
      <c r="F35" s="48" t="s">
        <v>43</v>
      </c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>
        <v>3</v>
      </c>
      <c r="U35" s="59" t="s">
        <v>103</v>
      </c>
      <c r="V35" s="47">
        <f>+SUM(B40:S40)</f>
        <v>12.791208873610408</v>
      </c>
      <c r="W35" s="47">
        <f t="shared" si="5"/>
        <v>96.732299904592296</v>
      </c>
      <c r="X35">
        <f t="shared" si="6"/>
        <v>3</v>
      </c>
      <c r="Y35" s="60"/>
      <c r="Z35"/>
      <c r="AA35" s="61">
        <v>78.586558556099021</v>
      </c>
      <c r="AB35" s="79">
        <v>5</v>
      </c>
      <c r="AE35" s="29">
        <f>+B40*C40*D40*E40*F40</f>
        <v>28.976068664435427</v>
      </c>
      <c r="AF35" s="47">
        <f t="shared" si="7"/>
        <v>79.316109838514919</v>
      </c>
      <c r="AG35">
        <f t="shared" si="8"/>
        <v>5</v>
      </c>
      <c r="AH35"/>
      <c r="AI35"/>
      <c r="AJ35"/>
      <c r="AK35"/>
      <c r="AL35"/>
      <c r="AM35"/>
      <c r="AN35"/>
      <c r="AO35"/>
      <c r="AP35"/>
      <c r="AQ35"/>
      <c r="AR35"/>
    </row>
    <row r="36" spans="1:44" s="29" customFormat="1" x14ac:dyDescent="0.25">
      <c r="A36"/>
      <c r="B36">
        <f>+IFERROR(B20/MAX(B19:B28),0)</f>
        <v>0.57637473385435933</v>
      </c>
      <c r="C36">
        <f>+IFERROR(C20/MAX(C19:C28),0)</f>
        <v>1</v>
      </c>
      <c r="D36">
        <f t="shared" ref="D36:F36" si="9">+IFERROR(D20/MAX(D19:D28),0)</f>
        <v>0.38039569787959981</v>
      </c>
      <c r="E36">
        <f t="shared" si="9"/>
        <v>0.44518026793975785</v>
      </c>
      <c r="F36">
        <f t="shared" si="9"/>
        <v>0.59885489174168882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59" t="s">
        <v>104</v>
      </c>
      <c r="V36" s="47">
        <f>+SUM(B43:S43)</f>
        <v>11.375824831808533</v>
      </c>
      <c r="W36" s="47">
        <f t="shared" si="5"/>
        <v>86.028592775376438</v>
      </c>
      <c r="X36">
        <f t="shared" si="6"/>
        <v>6</v>
      </c>
      <c r="Y36" s="60"/>
      <c r="Z36"/>
      <c r="AA36" s="61">
        <v>67.403529353740197</v>
      </c>
      <c r="AB36" s="29">
        <v>8</v>
      </c>
      <c r="AE36" s="29">
        <f>+B43*C43*D43*E43*F43</f>
        <v>29.718176838062163</v>
      </c>
      <c r="AF36" s="47">
        <f t="shared" si="7"/>
        <v>81.347480418599247</v>
      </c>
      <c r="AG36">
        <f t="shared" si="8"/>
        <v>4</v>
      </c>
      <c r="AH36"/>
      <c r="AI36"/>
      <c r="AJ36"/>
      <c r="AK36"/>
      <c r="AL36"/>
      <c r="AM36"/>
      <c r="AN36"/>
      <c r="AO36"/>
      <c r="AP36"/>
      <c r="AQ36"/>
      <c r="AR36"/>
    </row>
    <row r="37" spans="1:44" s="29" customFormat="1" x14ac:dyDescent="0.25">
      <c r="A37" t="s">
        <v>38</v>
      </c>
      <c r="B37">
        <f>+PRODUCT(B36,AA20)</f>
        <v>2.8818736692717968</v>
      </c>
      <c r="C37">
        <f t="shared" ref="C37:F37" si="10">+PRODUCT(C36,AB20)</f>
        <v>5</v>
      </c>
      <c r="D37">
        <f t="shared" si="10"/>
        <v>1.9019784893979992</v>
      </c>
      <c r="E37">
        <f t="shared" si="10"/>
        <v>0.44518026793975785</v>
      </c>
      <c r="F37">
        <f t="shared" si="10"/>
        <v>2.994274458708444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59" t="s">
        <v>105</v>
      </c>
      <c r="V37" s="47">
        <f>+SUM(B46:S46)</f>
        <v>12.959686747710137</v>
      </c>
      <c r="W37" s="47">
        <f t="shared" si="5"/>
        <v>98.006397795240147</v>
      </c>
      <c r="X37">
        <f t="shared" si="6"/>
        <v>2</v>
      </c>
      <c r="Y37" s="60"/>
      <c r="Z37"/>
      <c r="AA37" s="61">
        <v>81.375193655131156</v>
      </c>
      <c r="AB37" s="29">
        <v>4</v>
      </c>
      <c r="AE37" s="29">
        <f>+B46*C46*D46*E46*F46</f>
        <v>34.241917145801864</v>
      </c>
      <c r="AF37" s="47">
        <f t="shared" si="7"/>
        <v>93.730301818038754</v>
      </c>
      <c r="AG37">
        <f t="shared" si="8"/>
        <v>2</v>
      </c>
      <c r="AH37"/>
      <c r="AI37"/>
      <c r="AJ37"/>
      <c r="AK37"/>
      <c r="AL37"/>
      <c r="AM37"/>
      <c r="AN37"/>
      <c r="AO37"/>
      <c r="AP37"/>
      <c r="AQ37"/>
      <c r="AR37"/>
    </row>
    <row r="38" spans="1:44" s="29" customFormat="1" x14ac:dyDescent="0.25">
      <c r="A38"/>
      <c r="B38" s="48" t="s">
        <v>44</v>
      </c>
      <c r="C38" s="48" t="s">
        <v>45</v>
      </c>
      <c r="D38" s="48" t="s">
        <v>46</v>
      </c>
      <c r="E38" s="48" t="s">
        <v>47</v>
      </c>
      <c r="F38" s="48" t="s">
        <v>48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>
        <v>6</v>
      </c>
      <c r="U38" s="59" t="s">
        <v>106</v>
      </c>
      <c r="V38" s="47">
        <f>+SUM(B49:S49)</f>
        <v>10.473116945501616</v>
      </c>
      <c r="W38" s="47">
        <f t="shared" si="5"/>
        <v>79.201950286202987</v>
      </c>
      <c r="X38">
        <f t="shared" si="6"/>
        <v>7</v>
      </c>
      <c r="Y38" s="60"/>
      <c r="Z38"/>
      <c r="AA38" s="61">
        <v>60.687508049067965</v>
      </c>
      <c r="AB38" s="29">
        <v>9</v>
      </c>
      <c r="AE38" s="29">
        <f>+B49*C49*D49*E49*F49</f>
        <v>26.797328146245171</v>
      </c>
      <c r="AF38" s="47">
        <f t="shared" si="7"/>
        <v>73.352249652660802</v>
      </c>
      <c r="AG38">
        <f t="shared" si="8"/>
        <v>6</v>
      </c>
      <c r="AH38"/>
      <c r="AI38"/>
      <c r="AJ38"/>
      <c r="AK38"/>
      <c r="AL38"/>
      <c r="AM38"/>
      <c r="AN38"/>
      <c r="AO38"/>
      <c r="AP38"/>
      <c r="AQ38"/>
      <c r="AR38"/>
    </row>
    <row r="39" spans="1:44" s="29" customFormat="1" x14ac:dyDescent="0.25">
      <c r="A39"/>
      <c r="B39">
        <f>+IFERROR(B21/MAX(B19:B28),0)</f>
        <v>1</v>
      </c>
      <c r="C39">
        <f t="shared" ref="C39:F39" si="11">+IFERROR(C21/MAX(C19:C28),0)</f>
        <v>0.66459620376555328</v>
      </c>
      <c r="D39">
        <f t="shared" si="11"/>
        <v>0.4302572948794634</v>
      </c>
      <c r="E39">
        <f t="shared" si="11"/>
        <v>0.42950859095788207</v>
      </c>
      <c r="F39">
        <f t="shared" si="11"/>
        <v>0.37748655788548841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59" t="s">
        <v>107</v>
      </c>
      <c r="V39" s="47">
        <f>+SUM(B52:S52)</f>
        <v>12.638965865380175</v>
      </c>
      <c r="W39" s="47">
        <f t="shared" si="5"/>
        <v>95.580976642184538</v>
      </c>
      <c r="X39">
        <f t="shared" si="6"/>
        <v>4</v>
      </c>
      <c r="Y39" s="60"/>
      <c r="Z39"/>
      <c r="AA39" s="61">
        <v>53.155515273814423</v>
      </c>
      <c r="AB39" s="29">
        <v>10</v>
      </c>
      <c r="AE39" s="29">
        <f>+B52*C52*D52*E52*F52</f>
        <v>24.649464586958931</v>
      </c>
      <c r="AF39" s="47">
        <f t="shared" si="7"/>
        <v>67.472908878058519</v>
      </c>
      <c r="AG39">
        <f t="shared" si="8"/>
        <v>7</v>
      </c>
      <c r="AH39"/>
      <c r="AI39"/>
      <c r="AJ39"/>
      <c r="AK39"/>
      <c r="AL39"/>
      <c r="AM39"/>
      <c r="AN39"/>
      <c r="AO39"/>
      <c r="AP39"/>
      <c r="AQ39"/>
      <c r="AR39"/>
    </row>
    <row r="40" spans="1:44" s="29" customFormat="1" x14ac:dyDescent="0.25">
      <c r="A40" t="s">
        <v>38</v>
      </c>
      <c r="B40">
        <f>+PRODUCT(B39,AA20)</f>
        <v>5</v>
      </c>
      <c r="C40">
        <f t="shared" ref="C40:F40" si="12">+PRODUCT(C39,AB20)</f>
        <v>3.3229810188277664</v>
      </c>
      <c r="D40">
        <f t="shared" si="12"/>
        <v>2.1512864743973168</v>
      </c>
      <c r="E40">
        <f t="shared" si="12"/>
        <v>0.42950859095788207</v>
      </c>
      <c r="F40">
        <f t="shared" si="12"/>
        <v>1.8874327894274421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59"/>
      <c r="V40" s="47"/>
      <c r="W40" s="47"/>
      <c r="X40"/>
      <c r="Y40" s="60"/>
      <c r="Z40"/>
      <c r="AA40" s="61">
        <v>77.869757404272036</v>
      </c>
      <c r="AB40" s="79">
        <v>6</v>
      </c>
      <c r="AE40" s="29">
        <f>+B55*C55*D55*E55*F55</f>
        <v>0</v>
      </c>
      <c r="AF40" s="47">
        <f t="shared" si="7"/>
        <v>0</v>
      </c>
      <c r="AG40">
        <f t="shared" si="8"/>
        <v>8</v>
      </c>
      <c r="AH40"/>
      <c r="AI40"/>
      <c r="AJ40"/>
      <c r="AK40"/>
      <c r="AL40"/>
      <c r="AM40"/>
      <c r="AN40"/>
      <c r="AO40"/>
      <c r="AP40"/>
      <c r="AQ40"/>
      <c r="AR40"/>
    </row>
    <row r="41" spans="1:44" s="29" customFormat="1" x14ac:dyDescent="0.25">
      <c r="A41"/>
      <c r="B41" s="48" t="s">
        <v>49</v>
      </c>
      <c r="C41" s="48" t="s">
        <v>50</v>
      </c>
      <c r="D41" s="48" t="s">
        <v>51</v>
      </c>
      <c r="E41" s="48" t="s">
        <v>52</v>
      </c>
      <c r="F41" s="48" t="s">
        <v>53</v>
      </c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/>
      <c r="U41" s="59"/>
      <c r="V41" s="47"/>
      <c r="W41" s="47"/>
      <c r="X41"/>
      <c r="Y41" s="60"/>
      <c r="Z41"/>
      <c r="AA41" s="61">
        <v>100</v>
      </c>
      <c r="AB41" s="29">
        <v>1</v>
      </c>
      <c r="AE41" s="29">
        <f>+B58*C58*D58*E58*F58</f>
        <v>0</v>
      </c>
      <c r="AF41" s="47">
        <f t="shared" si="7"/>
        <v>0</v>
      </c>
      <c r="AG41">
        <f t="shared" si="8"/>
        <v>8</v>
      </c>
      <c r="AH41"/>
      <c r="AI41"/>
      <c r="AJ41"/>
      <c r="AK41"/>
      <c r="AL41"/>
      <c r="AM41"/>
      <c r="AN41"/>
      <c r="AO41"/>
      <c r="AP41"/>
      <c r="AQ41"/>
      <c r="AR41"/>
    </row>
    <row r="42" spans="1:44" s="29" customFormat="1" x14ac:dyDescent="0.25">
      <c r="A42"/>
      <c r="B42">
        <f>+IFERROR(B22/MAX(B19:B28),0)</f>
        <v>0.78691093580002336</v>
      </c>
      <c r="C42">
        <f t="shared" ref="C42:F42" si="13">+IFERROR(C22/MAX(C19:C28),0)</f>
        <v>0.49244380221828465</v>
      </c>
      <c r="D42">
        <f t="shared" si="13"/>
        <v>0.24801353204164478</v>
      </c>
      <c r="E42">
        <f t="shared" si="13"/>
        <v>0.85891926653608563</v>
      </c>
      <c r="F42">
        <f t="shared" si="13"/>
        <v>0.57601284299453681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59"/>
      <c r="V42" s="47"/>
      <c r="W42" s="47"/>
      <c r="X42"/>
      <c r="Y42" s="60"/>
      <c r="Z42"/>
      <c r="AA42" s="61">
        <v>89.190949430210537</v>
      </c>
      <c r="AB42" s="29">
        <v>3</v>
      </c>
      <c r="AE42" s="29">
        <f>+B61*C61*D61*E61*F61</f>
        <v>0</v>
      </c>
      <c r="AF42" s="47">
        <f t="shared" si="7"/>
        <v>0</v>
      </c>
      <c r="AG42">
        <f t="shared" si="8"/>
        <v>8</v>
      </c>
      <c r="AH42"/>
      <c r="AI42"/>
      <c r="AJ42"/>
      <c r="AK42"/>
      <c r="AL42"/>
      <c r="AM42"/>
      <c r="AN42"/>
      <c r="AO42"/>
      <c r="AP42"/>
      <c r="AQ42"/>
      <c r="AR42"/>
    </row>
    <row r="43" spans="1:44" s="29" customFormat="1" x14ac:dyDescent="0.25">
      <c r="A43" t="s">
        <v>38</v>
      </c>
      <c r="B43">
        <f>+PRODUCT(B42,AA20)</f>
        <v>3.9345546790001169</v>
      </c>
      <c r="C43">
        <f t="shared" ref="C43:F43" si="14">+PRODUCT(C42,AB20)</f>
        <v>2.462219011091423</v>
      </c>
      <c r="D43">
        <f t="shared" si="14"/>
        <v>1.2400676602082239</v>
      </c>
      <c r="E43">
        <f t="shared" si="14"/>
        <v>0.85891926653608563</v>
      </c>
      <c r="F43">
        <f t="shared" si="14"/>
        <v>2.8800642149726841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47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29" customFormat="1" x14ac:dyDescent="0.25">
      <c r="A44"/>
      <c r="B44" s="48" t="s">
        <v>54</v>
      </c>
      <c r="C44" s="48" t="s">
        <v>55</v>
      </c>
      <c r="D44" s="48" t="s">
        <v>56</v>
      </c>
      <c r="E44" s="48" t="s">
        <v>57</v>
      </c>
      <c r="F44" s="48" t="s">
        <v>58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/>
      <c r="U44"/>
      <c r="V44" s="3" t="s">
        <v>59</v>
      </c>
      <c r="W44" s="39">
        <f>+AVERAGE(W33:W42)</f>
        <v>92.242973405120026</v>
      </c>
      <c r="X44" s="39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29" customFormat="1" x14ac:dyDescent="0.25">
      <c r="A45"/>
      <c r="B45">
        <f>+IFERROR(B23/MAX(B19:B28),0)</f>
        <v>0.36591468300688462</v>
      </c>
      <c r="C45">
        <f t="shared" ref="C45:F45" si="15">+IFERROR(C23/MAX(C19:C28),0)</f>
        <v>0.45431314182987959</v>
      </c>
      <c r="D45">
        <f t="shared" si="15"/>
        <v>1</v>
      </c>
      <c r="E45">
        <f t="shared" si="15"/>
        <v>0.48904276163628757</v>
      </c>
      <c r="F45">
        <f t="shared" si="15"/>
        <v>0.67390097237800595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 t="s">
        <v>60</v>
      </c>
      <c r="W45" s="39">
        <f>+_xlfn.STDEV.P(V33:V42)</f>
        <v>0.91851983292567319</v>
      </c>
      <c r="X45" s="39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29" customFormat="1" x14ac:dyDescent="0.25">
      <c r="A46" t="s">
        <v>38</v>
      </c>
      <c r="B46">
        <f>+PRODUCT(B45,AA20)</f>
        <v>1.8295734150344232</v>
      </c>
      <c r="C46">
        <f t="shared" ref="C46:F46" si="16">+PRODUCT(C45,AB20)</f>
        <v>2.2715657091493977</v>
      </c>
      <c r="D46">
        <f t="shared" si="16"/>
        <v>5</v>
      </c>
      <c r="E46">
        <f t="shared" si="16"/>
        <v>0.48904276163628757</v>
      </c>
      <c r="F46">
        <f t="shared" si="16"/>
        <v>3.3695048618900296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 t="s">
        <v>61</v>
      </c>
      <c r="W46" s="39">
        <f>+_xlfn.VAR.P(V33:V42)</f>
        <v>0.84367868347780661</v>
      </c>
      <c r="X46" s="39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29" customFormat="1" x14ac:dyDescent="0.25">
      <c r="A47"/>
      <c r="B47" s="48" t="s">
        <v>62</v>
      </c>
      <c r="C47" s="48" t="s">
        <v>63</v>
      </c>
      <c r="D47" s="48" t="s">
        <v>64</v>
      </c>
      <c r="E47" s="48" t="s">
        <v>65</v>
      </c>
      <c r="F47" s="48" t="s">
        <v>66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/>
      <c r="U47"/>
      <c r="V47" s="47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29" customFormat="1" x14ac:dyDescent="0.25">
      <c r="A48"/>
      <c r="B48">
        <f>+IFERROR(B24/MAX(B19:B28),0)</f>
        <v>0.45872548608573716</v>
      </c>
      <c r="C48">
        <f t="shared" ref="C48:F48" si="17">+IFERROR(C24/MAX(C19:C28),0)</f>
        <v>0.31002016867101051</v>
      </c>
      <c r="D48">
        <f t="shared" si="17"/>
        <v>0.43878927905323456</v>
      </c>
      <c r="E48">
        <f t="shared" si="17"/>
        <v>1</v>
      </c>
      <c r="F48">
        <f t="shared" si="17"/>
        <v>0.68708845529034102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47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38</v>
      </c>
      <c r="B49">
        <f>+PRODUCT(B48,AA20)</f>
        <v>2.2936274304286859</v>
      </c>
      <c r="C49">
        <f t="shared" ref="C49:F49" si="18">+PRODUCT(C48,AB20)</f>
        <v>1.5501008433550525</v>
      </c>
      <c r="D49">
        <f t="shared" si="18"/>
        <v>2.1939463952661726</v>
      </c>
      <c r="E49">
        <f t="shared" si="18"/>
        <v>1</v>
      </c>
      <c r="F49">
        <f t="shared" si="18"/>
        <v>3.4354422764517052</v>
      </c>
      <c r="V49" s="47"/>
    </row>
    <row r="50" spans="1:22" x14ac:dyDescent="0.25">
      <c r="B50" s="48" t="s">
        <v>67</v>
      </c>
      <c r="C50" s="48" t="s">
        <v>68</v>
      </c>
      <c r="D50" s="48" t="s">
        <v>69</v>
      </c>
      <c r="E50" s="48" t="s">
        <v>70</v>
      </c>
      <c r="F50" s="48" t="s">
        <v>71</v>
      </c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U50" s="85"/>
      <c r="V50" s="47"/>
    </row>
    <row r="51" spans="1:22" x14ac:dyDescent="0.25">
      <c r="B51">
        <f>+IFERROR(B25/MAX(B19:B28),0)</f>
        <v>0.48897423402505347</v>
      </c>
      <c r="C51">
        <f t="shared" ref="C51:F51" si="19">+IFERROR(C25/MAX(C19:C28),0)</f>
        <v>0.59762625907571199</v>
      </c>
      <c r="D51">
        <f t="shared" si="19"/>
        <v>0.36780478156875079</v>
      </c>
      <c r="E51">
        <f t="shared" si="19"/>
        <v>0.36693949203259485</v>
      </c>
      <c r="F51">
        <f t="shared" si="19"/>
        <v>1</v>
      </c>
      <c r="U51" s="85"/>
      <c r="V51" s="47"/>
    </row>
    <row r="52" spans="1:22" x14ac:dyDescent="0.25">
      <c r="A52" t="s">
        <v>38</v>
      </c>
      <c r="B52">
        <f>+PRODUCT(B51,AA20)</f>
        <v>2.4448711701252672</v>
      </c>
      <c r="C52">
        <f t="shared" ref="C52:F52" si="20">+PRODUCT(C51,AB20)</f>
        <v>2.9881312953785599</v>
      </c>
      <c r="D52">
        <f t="shared" si="20"/>
        <v>1.839023907843754</v>
      </c>
      <c r="E52">
        <f t="shared" si="20"/>
        <v>0.36693949203259485</v>
      </c>
      <c r="F52">
        <f t="shared" si="20"/>
        <v>5</v>
      </c>
      <c r="U52" s="85"/>
      <c r="V52" s="47"/>
    </row>
    <row r="53" spans="1:22" x14ac:dyDescent="0.25">
      <c r="B53" s="48"/>
      <c r="C53" s="48"/>
      <c r="D53" s="48"/>
      <c r="E53" s="48"/>
      <c r="F53" s="48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U53" s="59"/>
      <c r="V53" s="47"/>
    </row>
    <row r="54" spans="1:22" x14ac:dyDescent="0.25">
      <c r="U54" s="59"/>
      <c r="V54" s="47"/>
    </row>
    <row r="55" spans="1:22" x14ac:dyDescent="0.25">
      <c r="U55" s="59"/>
      <c r="V55" s="47"/>
    </row>
    <row r="56" spans="1:22" x14ac:dyDescent="0.25">
      <c r="B56" s="48"/>
      <c r="C56" s="48"/>
      <c r="D56" s="48"/>
      <c r="E56" s="48"/>
      <c r="F56" s="48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U56" s="59"/>
      <c r="V56" s="47"/>
    </row>
    <row r="57" spans="1:22" x14ac:dyDescent="0.25">
      <c r="U57" s="59"/>
      <c r="V57" s="47"/>
    </row>
    <row r="58" spans="1:22" x14ac:dyDescent="0.25">
      <c r="U58" s="59"/>
      <c r="V58" s="47"/>
    </row>
    <row r="59" spans="1:22" x14ac:dyDescent="0.25">
      <c r="B59" s="48"/>
      <c r="C59" s="48"/>
      <c r="D59" s="48"/>
      <c r="E59" s="48"/>
      <c r="F59" s="48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U59" s="59"/>
      <c r="V59" s="47"/>
    </row>
    <row r="60" spans="1:22" x14ac:dyDescent="0.25">
      <c r="U60" s="59"/>
      <c r="V60" s="47"/>
    </row>
    <row r="61" spans="1:22" x14ac:dyDescent="0.25">
      <c r="U61" s="59"/>
      <c r="V61" s="47"/>
    </row>
    <row r="62" spans="1:22" x14ac:dyDescent="0.25">
      <c r="U62" s="59"/>
      <c r="V62" s="47"/>
    </row>
    <row r="63" spans="1:22" x14ac:dyDescent="0.25">
      <c r="V63" s="47"/>
    </row>
    <row r="64" spans="1:22" x14ac:dyDescent="0.25">
      <c r="V64" s="47"/>
    </row>
    <row r="65" spans="22:22" x14ac:dyDescent="0.25">
      <c r="V65" s="47"/>
    </row>
    <row r="66" spans="22:22" x14ac:dyDescent="0.25">
      <c r="V66" s="47"/>
    </row>
    <row r="67" spans="22:22" x14ac:dyDescent="0.25">
      <c r="V67" s="47"/>
    </row>
    <row r="68" spans="22:22" x14ac:dyDescent="0.25">
      <c r="V68" s="47"/>
    </row>
    <row r="69" spans="22:22" x14ac:dyDescent="0.25">
      <c r="V69" s="47"/>
    </row>
  </sheetData>
  <mergeCells count="3">
    <mergeCell ref="A1:U1"/>
    <mergeCell ref="U30:U32"/>
    <mergeCell ref="AA32:AD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69"/>
  <sheetViews>
    <sheetView zoomScale="85" zoomScaleNormal="85" workbookViewId="0">
      <selection activeCell="A4" sqref="A4:A10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29" customWidth="1"/>
    <col min="32" max="44" width="10.5703125" bestFit="1" customWidth="1"/>
  </cols>
  <sheetData>
    <row r="1" spans="1:44" ht="15.75" thickBot="1" x14ac:dyDescent="0.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44" ht="18" customHeight="1" thickBot="1" x14ac:dyDescent="0.3">
      <c r="B2" s="64" t="s">
        <v>108</v>
      </c>
      <c r="C2" s="65" t="s">
        <v>109</v>
      </c>
      <c r="D2" s="66" t="s">
        <v>110</v>
      </c>
      <c r="E2" s="67" t="s">
        <v>111</v>
      </c>
      <c r="F2" s="68" t="s">
        <v>112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44" ht="31.5" customHeight="1" thickBot="1" x14ac:dyDescent="0.3">
      <c r="A3" s="45" t="s">
        <v>21</v>
      </c>
    </row>
    <row r="4" spans="1:44" ht="18" customHeight="1" thickBot="1" x14ac:dyDescent="0.3">
      <c r="A4" s="95" t="s">
        <v>101</v>
      </c>
      <c r="B4" s="46">
        <f>+AHP_nivel_0!D55</f>
        <v>0.772888759185555</v>
      </c>
      <c r="C4" s="46">
        <f>+AHP_nivel_0!E55</f>
        <v>0.25066662460072059</v>
      </c>
      <c r="D4" s="46">
        <f>+AHP_nivel_0!F55</f>
        <v>0.18799996845054037</v>
      </c>
      <c r="E4" s="46">
        <f>+AHP_nivel_0!G55</f>
        <v>0.22977773921732714</v>
      </c>
      <c r="F4" s="46">
        <f>+AHP_nivel_0!H55</f>
        <v>0.31333328075090067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U4" s="47"/>
    </row>
    <row r="5" spans="1:44" ht="18" customHeight="1" thickBot="1" x14ac:dyDescent="0.3">
      <c r="A5" s="95" t="s">
        <v>102</v>
      </c>
      <c r="B5" s="46">
        <f>+AHP_nivel_0!D56</f>
        <v>0.48137698945980151</v>
      </c>
      <c r="C5" s="46">
        <f>+AHP_nivel_0!E56</f>
        <v>0.68768141351400214</v>
      </c>
      <c r="D5" s="46">
        <f>+AHP_nivel_0!F56</f>
        <v>0.15472831804065049</v>
      </c>
      <c r="E5" s="46">
        <f>+AHP_nivel_0!G56</f>
        <v>0.17192035337850053</v>
      </c>
      <c r="F5" s="46">
        <f>+AHP_nivel_0!H56</f>
        <v>0.37822477743270116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8" customHeight="1" thickBot="1" x14ac:dyDescent="0.3">
      <c r="A6" s="95" t="s">
        <v>103</v>
      </c>
      <c r="B6" s="46">
        <f>+AHP_nivel_0!D57</f>
        <v>0.99460392600107328</v>
      </c>
      <c r="C6" s="46">
        <f>+AHP_nivel_0!E57</f>
        <v>0.38427878959132378</v>
      </c>
      <c r="D6" s="46">
        <f>+AHP_nivel_0!F57</f>
        <v>0.20344171213658316</v>
      </c>
      <c r="E6" s="46">
        <f>+AHP_nivel_0!G57</f>
        <v>0.15823244277289805</v>
      </c>
      <c r="F6" s="46">
        <f>+AHP_nivel_0!H57</f>
        <v>0.15823244277289805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1:44" ht="18" customHeight="1" thickBot="1" x14ac:dyDescent="0.3">
      <c r="A7" s="95" t="s">
        <v>104</v>
      </c>
      <c r="B7" s="46">
        <f>+AHP_nivel_0!D58</f>
        <v>0.7364440465754637</v>
      </c>
      <c r="C7" s="46">
        <f>+AHP_nivel_0!E58</f>
        <v>0.22855160066135077</v>
      </c>
      <c r="D7" s="46">
        <f>+AHP_nivel_0!F58</f>
        <v>2.5394622295705639E-2</v>
      </c>
      <c r="E7" s="46">
        <f>+AHP_nivel_0!G58</f>
        <v>0.5332870682098183</v>
      </c>
      <c r="F7" s="46">
        <f>+AHP_nivel_0!H58</f>
        <v>0.35552471213987896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spans="1:44" ht="18" customHeight="1" thickBot="1" x14ac:dyDescent="0.3">
      <c r="A8" s="95" t="s">
        <v>105</v>
      </c>
      <c r="B8" s="46">
        <f>+AHP_nivel_0!D59</f>
        <v>0.22640219028520492</v>
      </c>
      <c r="C8" s="46">
        <f>+AHP_nivel_0!E59</f>
        <v>0.19405902024446139</v>
      </c>
      <c r="D8" s="46">
        <f>+AHP_nivel_0!F59</f>
        <v>0.76006449595747372</v>
      </c>
      <c r="E8" s="46">
        <f>+AHP_nivel_0!G59</f>
        <v>0.21023060526483314</v>
      </c>
      <c r="F8" s="46">
        <f>+AHP_nivel_0!H59</f>
        <v>0.45280438057040984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1:44" ht="18" customHeight="1" thickBot="1" x14ac:dyDescent="0.3">
      <c r="A9" s="95" t="s">
        <v>106</v>
      </c>
      <c r="B9" s="46">
        <f>+AHP_nivel_0!D60</f>
        <v>0.33884355757069329</v>
      </c>
      <c r="C9" s="46">
        <f>+AHP_nivel_0!E60</f>
        <v>6.3533167044504985E-2</v>
      </c>
      <c r="D9" s="46">
        <f>+AHP_nivel_0!F60</f>
        <v>0.21177722348168329</v>
      </c>
      <c r="E9" s="46">
        <f>+AHP_nivel_0!G60</f>
        <v>0.65650939279321818</v>
      </c>
      <c r="F9" s="46">
        <f>+AHP_nivel_0!H60</f>
        <v>0.46590989165970326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</row>
    <row r="10" spans="1:44" ht="18" customHeight="1" x14ac:dyDescent="0.25">
      <c r="A10" s="95" t="s">
        <v>107</v>
      </c>
      <c r="B10" s="46">
        <f>+AHP_nivel_0!D61</f>
        <v>0.37549026748097314</v>
      </c>
      <c r="C10" s="46">
        <f>+AHP_nivel_0!E61</f>
        <v>0.32369850644911485</v>
      </c>
      <c r="D10" s="46">
        <f>+AHP_nivel_0!F61</f>
        <v>0.14242734283761052</v>
      </c>
      <c r="E10" s="46">
        <f>+AHP_nivel_0!G61</f>
        <v>0.10358352206371675</v>
      </c>
      <c r="F10" s="46">
        <f>+AHP_nivel_0!H61</f>
        <v>0.77687641547787556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8" customHeight="1" x14ac:dyDescent="0.25">
      <c r="A11" s="93"/>
      <c r="B11" s="46"/>
      <c r="C11" s="46"/>
      <c r="D11" s="46"/>
      <c r="E11" s="46"/>
      <c r="F11" s="69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AA11" s="29">
        <f>ROUND($AC$26*AA19+$AC$25,0)</f>
        <v>4</v>
      </c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</row>
    <row r="12" spans="1:44" ht="18" customHeight="1" x14ac:dyDescent="0.25">
      <c r="A12" s="93"/>
      <c r="B12" s="46"/>
      <c r="C12" s="46"/>
      <c r="D12" s="46"/>
      <c r="E12" s="46"/>
      <c r="F12" s="69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1:44" ht="18" customHeight="1" x14ac:dyDescent="0.25">
      <c r="A13" s="94"/>
      <c r="B13" s="46"/>
      <c r="C13" s="46"/>
      <c r="D13" s="46"/>
      <c r="E13" s="46"/>
      <c r="F13" s="69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5" spans="1:44" x14ac:dyDescent="0.25">
      <c r="AA15" s="29">
        <v>0.25</v>
      </c>
      <c r="AB15" s="29">
        <v>0.25</v>
      </c>
      <c r="AC15" s="29">
        <v>0.25</v>
      </c>
      <c r="AD15" s="29">
        <v>0.25</v>
      </c>
      <c r="AE15" s="29">
        <v>0.25</v>
      </c>
      <c r="AF15" s="29">
        <v>0.25</v>
      </c>
      <c r="AG15" s="29"/>
      <c r="AH15" s="29"/>
      <c r="AI15" s="29"/>
      <c r="AJ15" s="29"/>
      <c r="AK15" s="29"/>
      <c r="AL15" s="29"/>
    </row>
    <row r="17" spans="1:44" ht="15.75" thickBot="1" x14ac:dyDescent="0.3">
      <c r="AA17" s="24">
        <v>0.2112</v>
      </c>
      <c r="AB17" s="24"/>
      <c r="AC17" s="24"/>
      <c r="AD17" s="24"/>
      <c r="AE17" s="24">
        <v>0.19639999999999999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4" ht="30.75" thickBot="1" x14ac:dyDescent="0.3">
      <c r="A18" s="50" t="s">
        <v>22</v>
      </c>
      <c r="B18" s="64" t="s">
        <v>108</v>
      </c>
      <c r="C18" s="65" t="s">
        <v>109</v>
      </c>
      <c r="D18" s="66" t="s">
        <v>110</v>
      </c>
      <c r="E18" s="67" t="s">
        <v>111</v>
      </c>
      <c r="F18" s="68" t="s">
        <v>112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AA18" s="64" t="s">
        <v>108</v>
      </c>
      <c r="AB18" s="65" t="s">
        <v>109</v>
      </c>
      <c r="AC18" s="66" t="s">
        <v>110</v>
      </c>
      <c r="AD18" s="67" t="s">
        <v>111</v>
      </c>
      <c r="AE18" s="68" t="s">
        <v>112</v>
      </c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</row>
    <row r="19" spans="1:44" x14ac:dyDescent="0.25">
      <c r="A19" s="51" t="s">
        <v>101</v>
      </c>
      <c r="B19" s="46">
        <f t="shared" ref="B19:F25" si="0">IFERROR(+$U$26*B4+$U$24,"")</f>
        <v>4.0849647605821247</v>
      </c>
      <c r="C19" s="46">
        <f t="shared" si="0"/>
        <v>1.9297145681279839</v>
      </c>
      <c r="D19" s="46">
        <f t="shared" si="0"/>
        <v>1.6710845450334866</v>
      </c>
      <c r="E19" s="46">
        <f t="shared" si="0"/>
        <v>1.8435045604298179</v>
      </c>
      <c r="F19" s="69">
        <f t="shared" si="0"/>
        <v>2.1883445912224806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47"/>
      <c r="U19" t="s">
        <v>23</v>
      </c>
      <c r="Z19" s="52" t="s">
        <v>24</v>
      </c>
      <c r="AA19" s="25">
        <f>+AHP_nivel_0!D41</f>
        <v>0.23661190622200035</v>
      </c>
      <c r="AB19" s="26">
        <f>+AHP_nivel_0!E41</f>
        <v>0.19836512455485553</v>
      </c>
      <c r="AC19" s="27">
        <f>+AHP_nivel_0!F41</f>
        <v>0.13554553409059678</v>
      </c>
      <c r="AD19" s="28">
        <f>+AHP_nivel_0!G41</f>
        <v>0.25355419225961578</v>
      </c>
      <c r="AE19" s="28">
        <f>+AHP_nivel_0!H41</f>
        <v>0.1759232428729316</v>
      </c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</row>
    <row r="20" spans="1:44" x14ac:dyDescent="0.25">
      <c r="A20" s="51" t="s">
        <v>102</v>
      </c>
      <c r="B20" s="46">
        <f t="shared" si="0"/>
        <v>2.8818736692717968</v>
      </c>
      <c r="C20" s="46">
        <f t="shared" si="0"/>
        <v>3.7333076093525683</v>
      </c>
      <c r="D20" s="46">
        <f t="shared" si="0"/>
        <v>1.5337699308105748</v>
      </c>
      <c r="E20" s="46">
        <f t="shared" si="0"/>
        <v>1.604722759150639</v>
      </c>
      <c r="F20" s="69">
        <f t="shared" si="0"/>
        <v>2.4561566992314106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47"/>
      <c r="U20" t="s">
        <v>25</v>
      </c>
      <c r="AA20" s="53">
        <f>ROUND($AC$26*AA19+$AC$25,0)</f>
        <v>4</v>
      </c>
      <c r="AB20" s="53">
        <f t="shared" ref="AB20:AE20" si="1">ROUND($AC$26*AB19+$AC$25,0)</f>
        <v>3</v>
      </c>
      <c r="AC20" s="53">
        <f t="shared" si="1"/>
        <v>1</v>
      </c>
      <c r="AD20" s="53">
        <f t="shared" si="1"/>
        <v>5</v>
      </c>
      <c r="AE20" s="53">
        <f t="shared" si="1"/>
        <v>2</v>
      </c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</row>
    <row r="21" spans="1:44" x14ac:dyDescent="0.25">
      <c r="A21" s="51" t="s">
        <v>103</v>
      </c>
      <c r="B21" s="46">
        <f t="shared" si="0"/>
        <v>5</v>
      </c>
      <c r="C21" s="46">
        <f t="shared" si="0"/>
        <v>2.4811420646647702</v>
      </c>
      <c r="D21" s="46">
        <f t="shared" si="0"/>
        <v>1.7348137875284058</v>
      </c>
      <c r="E21" s="46">
        <f t="shared" si="0"/>
        <v>1.5482317182443148</v>
      </c>
      <c r="F21" s="69">
        <f t="shared" si="0"/>
        <v>1.5482317182443148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47"/>
      <c r="Z21" t="s">
        <v>78</v>
      </c>
      <c r="AA21" s="29">
        <f>ROUND($AC$26*AA19+$AC$25,0)</f>
        <v>4</v>
      </c>
      <c r="AB21" s="29">
        <f t="shared" ref="AB21:AE21" si="2">$AC$26*AB19+$AC$25</f>
        <v>3.1293262560967974</v>
      </c>
      <c r="AC21" s="29">
        <f t="shared" si="2"/>
        <v>0.99984861324056817</v>
      </c>
      <c r="AD21" s="29">
        <f t="shared" si="2"/>
        <v>5.0001421104954495</v>
      </c>
      <c r="AE21" s="29">
        <f t="shared" si="2"/>
        <v>2.3685845041671727</v>
      </c>
    </row>
    <row r="22" spans="1:44" x14ac:dyDescent="0.25">
      <c r="A22" s="51" t="s">
        <v>104</v>
      </c>
      <c r="B22" s="46">
        <f t="shared" si="0"/>
        <v>3.9345546790001169</v>
      </c>
      <c r="C22" s="46">
        <f t="shared" si="0"/>
        <v>1.8384441940000333</v>
      </c>
      <c r="D22" s="46">
        <f t="shared" si="0"/>
        <v>1</v>
      </c>
      <c r="E22" s="46">
        <f t="shared" si="0"/>
        <v>3.0961104850000827</v>
      </c>
      <c r="F22" s="69">
        <f t="shared" si="0"/>
        <v>2.3624718152500543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47"/>
    </row>
    <row r="23" spans="1:44" x14ac:dyDescent="0.25">
      <c r="A23" s="51" t="s">
        <v>105</v>
      </c>
      <c r="B23" s="46">
        <f t="shared" si="0"/>
        <v>1.8295734150344232</v>
      </c>
      <c r="C23" s="46">
        <f t="shared" si="0"/>
        <v>1.6960907094223621</v>
      </c>
      <c r="D23" s="46">
        <f t="shared" si="0"/>
        <v>4.0320380576334305</v>
      </c>
      <c r="E23" s="46">
        <f t="shared" si="0"/>
        <v>1.7628320622283926</v>
      </c>
      <c r="F23" s="69">
        <f t="shared" si="0"/>
        <v>2.7639523543188504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7"/>
      <c r="W23" t="s">
        <v>26</v>
      </c>
      <c r="X23" s="47">
        <f>+MIN(B4:F13)</f>
        <v>2.5394622295705639E-2</v>
      </c>
      <c r="AB23" s="29" t="s">
        <v>26</v>
      </c>
      <c r="AC23" s="54">
        <f>+ROUND(MIN(AA19:AE19),5)</f>
        <v>0.13555</v>
      </c>
      <c r="AD23" s="54"/>
      <c r="AE23" s="54"/>
      <c r="AF23" s="54"/>
      <c r="AG23" s="54"/>
    </row>
    <row r="24" spans="1:44" ht="18" customHeight="1" x14ac:dyDescent="0.25">
      <c r="A24" s="51" t="s">
        <v>106</v>
      </c>
      <c r="B24" s="46">
        <f t="shared" si="0"/>
        <v>2.2936274304286859</v>
      </c>
      <c r="C24" s="46">
        <f t="shared" si="0"/>
        <v>1.1574006547522502</v>
      </c>
      <c r="D24" s="46">
        <f t="shared" si="0"/>
        <v>1.7692150724241771</v>
      </c>
      <c r="E24" s="46">
        <f t="shared" si="0"/>
        <v>3.6046583254399573</v>
      </c>
      <c r="F24" s="69">
        <f t="shared" si="0"/>
        <v>2.8180397884331949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47"/>
      <c r="U24" s="55">
        <f>(5*X23-X24)/(X23-X24)</f>
        <v>0.89519447574999589</v>
      </c>
      <c r="W24" t="s">
        <v>27</v>
      </c>
      <c r="X24" s="47">
        <f>+MAX(B4:F13)</f>
        <v>0.99460392600107328</v>
      </c>
      <c r="AB24" s="29" t="s">
        <v>27</v>
      </c>
      <c r="AC24" s="54">
        <f>+ROUND(MAX(AA19:AE19),5)</f>
        <v>0.25355</v>
      </c>
      <c r="AD24" s="54"/>
      <c r="AE24" s="54"/>
      <c r="AF24" s="54"/>
      <c r="AG24" s="54"/>
    </row>
    <row r="25" spans="1:44" x14ac:dyDescent="0.25">
      <c r="A25" s="51" t="s">
        <v>107</v>
      </c>
      <c r="B25" s="46">
        <f t="shared" si="0"/>
        <v>2.4448711701252672</v>
      </c>
      <c r="C25" s="46">
        <f t="shared" si="0"/>
        <v>2.2311226605562648</v>
      </c>
      <c r="D25" s="46">
        <f t="shared" si="0"/>
        <v>1.4830028770647541</v>
      </c>
      <c r="E25" s="46">
        <f t="shared" si="0"/>
        <v>1.322691494888002</v>
      </c>
      <c r="F25" s="69">
        <f t="shared" si="0"/>
        <v>4.10142211928504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47"/>
      <c r="AB25" t="s">
        <v>28</v>
      </c>
      <c r="AC25" s="56">
        <f>(5*AC23-AC24)/(AC23-AC24)</f>
        <v>-3.5949152542372889</v>
      </c>
      <c r="AD25"/>
      <c r="AE25"/>
    </row>
    <row r="26" spans="1:44" x14ac:dyDescent="0.25">
      <c r="A26" s="51"/>
      <c r="B26" s="46"/>
      <c r="C26" s="46"/>
      <c r="D26" s="46"/>
      <c r="E26" s="46"/>
      <c r="F26" s="69"/>
      <c r="G26" s="58"/>
      <c r="H26" s="70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7"/>
      <c r="U26" s="55">
        <f>+-4/(X23-X24)</f>
        <v>4.1270755292047525</v>
      </c>
      <c r="AB26" t="s">
        <v>29</v>
      </c>
      <c r="AC26" s="56">
        <f>+-4/(AC23-AC24)</f>
        <v>33.898305084745765</v>
      </c>
      <c r="AD26"/>
      <c r="AE26"/>
      <c r="AJ26" t="s">
        <v>30</v>
      </c>
    </row>
    <row r="27" spans="1:44" x14ac:dyDescent="0.25">
      <c r="A27" s="51"/>
      <c r="B27" s="46"/>
      <c r="C27" s="46"/>
      <c r="D27" s="46"/>
      <c r="E27" s="46"/>
      <c r="F27" s="69"/>
      <c r="G27" s="58"/>
      <c r="H27" s="7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47"/>
    </row>
    <row r="28" spans="1:44" x14ac:dyDescent="0.25">
      <c r="A28" s="51"/>
      <c r="B28" s="46"/>
      <c r="C28" s="46"/>
      <c r="D28" s="46"/>
      <c r="E28" s="46"/>
      <c r="F28" s="69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47"/>
    </row>
    <row r="29" spans="1:44" x14ac:dyDescent="0.25">
      <c r="A29" s="57"/>
      <c r="B29" s="58"/>
      <c r="C29" s="58"/>
      <c r="D29" s="58"/>
      <c r="E29" s="58"/>
      <c r="F29" s="58"/>
      <c r="T29" s="47"/>
    </row>
    <row r="30" spans="1:44" x14ac:dyDescent="0.25">
      <c r="A30" s="45"/>
      <c r="B30" s="29"/>
      <c r="C30" s="29"/>
      <c r="D30" s="29"/>
      <c r="E30" s="29"/>
      <c r="F30" s="29"/>
      <c r="U30" s="117" t="s">
        <v>87</v>
      </c>
      <c r="V30" s="47"/>
    </row>
    <row r="31" spans="1:44" x14ac:dyDescent="0.25">
      <c r="A31" s="57"/>
      <c r="B31" s="58"/>
      <c r="C31" s="58"/>
      <c r="D31" s="58"/>
      <c r="E31" s="58"/>
      <c r="F31" s="58"/>
      <c r="U31" s="117"/>
      <c r="V31" s="47"/>
    </row>
    <row r="32" spans="1:44" ht="33.75" customHeight="1" x14ac:dyDescent="0.25">
      <c r="A32" s="52" t="s">
        <v>91</v>
      </c>
      <c r="B32" s="48" t="s">
        <v>32</v>
      </c>
      <c r="C32" s="48" t="s">
        <v>33</v>
      </c>
      <c r="D32" s="48" t="s">
        <v>34</v>
      </c>
      <c r="E32" s="48" t="s">
        <v>35</v>
      </c>
      <c r="F32" s="48" t="s">
        <v>36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U32" s="117"/>
      <c r="V32" s="47"/>
      <c r="AA32" s="116"/>
      <c r="AB32" s="116"/>
      <c r="AC32" s="116"/>
      <c r="AD32" s="116"/>
    </row>
    <row r="33" spans="1:44" s="29" customFormat="1" x14ac:dyDescent="0.25">
      <c r="A33"/>
      <c r="B33">
        <f>+IFERROR(MIN(B19:B28)/B19,0)</f>
        <v>0.44787985264619545</v>
      </c>
      <c r="C33">
        <f t="shared" ref="C33:E33" si="3">+IFERROR(MIN(C19:C28)/C19,0)</f>
        <v>0.59977816090959224</v>
      </c>
      <c r="D33">
        <f t="shared" si="3"/>
        <v>0.59841376845476191</v>
      </c>
      <c r="E33">
        <f t="shared" si="3"/>
        <v>0.71748750899732683</v>
      </c>
      <c r="F33">
        <f>+IFERROR(MIN(F19:F28)/F19,0)</f>
        <v>0.70748991016054841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59" t="s">
        <v>101</v>
      </c>
      <c r="V33" s="83">
        <f>+PRODUCT(B34:S34)</f>
        <v>4.9446078395159619E-4</v>
      </c>
      <c r="W33">
        <f t="shared" ref="W33:W39" si="4">+V33/MAX($V$33:$V$42)*100</f>
        <v>8.40821122495759</v>
      </c>
      <c r="X33">
        <f>+RANK(W33,$W$33:$W$42)</f>
        <v>3</v>
      </c>
      <c r="Y33" s="60"/>
      <c r="Z33"/>
      <c r="AA33" s="61"/>
      <c r="AF33" s="47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s="29" customFormat="1" x14ac:dyDescent="0.25">
      <c r="A34" t="s">
        <v>92</v>
      </c>
      <c r="B34" s="47">
        <f>+B33^AA20</f>
        <v>4.0238900610670848E-2</v>
      </c>
      <c r="C34" s="47">
        <f t="shared" ref="C34:F34" si="5">+C33^AB20</f>
        <v>0.21576050235409</v>
      </c>
      <c r="D34" s="47">
        <f t="shared" si="5"/>
        <v>0.59841376845476191</v>
      </c>
      <c r="E34" s="47">
        <f t="shared" si="5"/>
        <v>0.19013922674724695</v>
      </c>
      <c r="F34" s="47">
        <f t="shared" si="5"/>
        <v>0.50054197297898084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59" t="s">
        <v>102</v>
      </c>
      <c r="V34" s="83">
        <f>+PRODUCT(B37:S37)</f>
        <v>4.7704764633264791E-4</v>
      </c>
      <c r="W34">
        <f t="shared" si="4"/>
        <v>8.1121041443934327</v>
      </c>
      <c r="X34">
        <f t="shared" ref="X34:X39" si="6">+RANK(W34,$W$33:$W$42)</f>
        <v>5</v>
      </c>
      <c r="Y34" s="60"/>
      <c r="Z34"/>
      <c r="AA34" s="61"/>
      <c r="AF34" s="47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29" customFormat="1" x14ac:dyDescent="0.25">
      <c r="A35"/>
      <c r="B35" s="48" t="s">
        <v>39</v>
      </c>
      <c r="C35" s="48" t="s">
        <v>40</v>
      </c>
      <c r="D35" s="48" t="s">
        <v>41</v>
      </c>
      <c r="E35" s="48" t="s">
        <v>42</v>
      </c>
      <c r="F35" s="48" t="s">
        <v>43</v>
      </c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>
        <v>3</v>
      </c>
      <c r="U35" s="59" t="s">
        <v>103</v>
      </c>
      <c r="V35" s="83">
        <f>+PRODUCT(B40:S40)</f>
        <v>4.7739268503231482E-4</v>
      </c>
      <c r="W35">
        <f t="shared" si="4"/>
        <v>8.117971461603906</v>
      </c>
      <c r="X35">
        <f t="shared" si="6"/>
        <v>4</v>
      </c>
      <c r="Y35" s="60"/>
      <c r="Z35"/>
      <c r="AA35" s="61"/>
      <c r="AF35" s="47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s="29" customFormat="1" x14ac:dyDescent="0.25">
      <c r="A36"/>
      <c r="B36">
        <f t="shared" ref="B36:F36" si="7">+IFERROR(MIN(B19:B28)/B20,0)</f>
        <v>0.63485552282960656</v>
      </c>
      <c r="C36">
        <f t="shared" si="7"/>
        <v>0.31002016867101051</v>
      </c>
      <c r="D36">
        <f t="shared" si="7"/>
        <v>0.65198826754382566</v>
      </c>
      <c r="E36">
        <f t="shared" si="7"/>
        <v>0.82424922769094844</v>
      </c>
      <c r="F36">
        <f t="shared" si="7"/>
        <v>0.63034728962072861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59" t="s">
        <v>104</v>
      </c>
      <c r="V36" s="83">
        <f>+PRODUCT(B43:S43)</f>
        <v>7.1296144306574153E-5</v>
      </c>
      <c r="W36">
        <f t="shared" si="4"/>
        <v>1.2123773215418772</v>
      </c>
      <c r="X36">
        <f t="shared" si="6"/>
        <v>7</v>
      </c>
      <c r="Y36" s="60"/>
      <c r="Z36"/>
      <c r="AA36" s="61"/>
      <c r="AF36" s="47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 s="29" customFormat="1" x14ac:dyDescent="0.25">
      <c r="A37" t="s">
        <v>92</v>
      </c>
      <c r="B37">
        <f>+(B36^AA20)</f>
        <v>0.16244247882815119</v>
      </c>
      <c r="C37">
        <f t="shared" ref="C37:F37" si="8">+(C36^AB20)</f>
        <v>2.9796815006161551E-2</v>
      </c>
      <c r="D37">
        <f t="shared" si="8"/>
        <v>0.65198826754382566</v>
      </c>
      <c r="E37">
        <f t="shared" si="8"/>
        <v>0.38044575659317015</v>
      </c>
      <c r="F37">
        <f t="shared" si="8"/>
        <v>0.39733770553219872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59" t="s">
        <v>105</v>
      </c>
      <c r="V37" s="83">
        <f>+PRODUCT(B46:S46)</f>
        <v>5.8806893728349475E-3</v>
      </c>
      <c r="W37">
        <f t="shared" si="4"/>
        <v>100</v>
      </c>
      <c r="X37">
        <f t="shared" si="6"/>
        <v>1</v>
      </c>
      <c r="Y37" s="60"/>
      <c r="Z37"/>
      <c r="AA37" s="61"/>
      <c r="AF37" s="4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s="29" customFormat="1" x14ac:dyDescent="0.25">
      <c r="A38"/>
      <c r="B38" s="48" t="s">
        <v>44</v>
      </c>
      <c r="C38" s="48" t="s">
        <v>45</v>
      </c>
      <c r="D38" s="48" t="s">
        <v>46</v>
      </c>
      <c r="E38" s="48" t="s">
        <v>47</v>
      </c>
      <c r="F38" s="48" t="s">
        <v>48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>
        <v>6</v>
      </c>
      <c r="U38" s="59" t="s">
        <v>106</v>
      </c>
      <c r="V38" s="83">
        <f>+PRODUCT(B49:S49)</f>
        <v>4.5949119619798393E-4</v>
      </c>
      <c r="W38">
        <f t="shared" si="4"/>
        <v>7.8135600618618222</v>
      </c>
      <c r="X38">
        <f t="shared" si="6"/>
        <v>6</v>
      </c>
      <c r="Y38" s="60"/>
      <c r="Z38"/>
      <c r="AA38" s="61"/>
      <c r="AF38" s="47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s="29" customFormat="1" x14ac:dyDescent="0.25">
      <c r="A39"/>
      <c r="B39">
        <f t="shared" ref="B39:E39" si="9">+IFERROR(MIN(B19:B28)/B21,0)</f>
        <v>0.36591468300688462</v>
      </c>
      <c r="C39">
        <f t="shared" si="9"/>
        <v>0.46647899418392547</v>
      </c>
      <c r="D39">
        <f t="shared" si="9"/>
        <v>0.57643074270507322</v>
      </c>
      <c r="E39">
        <f t="shared" si="9"/>
        <v>0.85432398736019044</v>
      </c>
      <c r="F39">
        <f>+IFERROR(MIN(F19:F28)/F21,0)</f>
        <v>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59" t="s">
        <v>107</v>
      </c>
      <c r="V39" s="83">
        <f>+PRODUCT(B52:S52)</f>
        <v>4.2064648591005026E-3</v>
      </c>
      <c r="W39">
        <f t="shared" si="4"/>
        <v>71.530131799372029</v>
      </c>
      <c r="X39">
        <f t="shared" si="6"/>
        <v>2</v>
      </c>
      <c r="Y39" s="60"/>
      <c r="Z39"/>
      <c r="AA39" s="61"/>
      <c r="AF39" s="47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 s="29" customFormat="1" x14ac:dyDescent="0.25">
      <c r="A40" t="s">
        <v>92</v>
      </c>
      <c r="B40" s="47">
        <f>+B39^AA20</f>
        <v>1.792748413481466E-2</v>
      </c>
      <c r="C40" s="47">
        <f t="shared" ref="C40:F40" si="10">+C39^AB20</f>
        <v>0.10150706624364046</v>
      </c>
      <c r="D40" s="47">
        <f t="shared" si="10"/>
        <v>0.57643074270507322</v>
      </c>
      <c r="E40" s="47">
        <f t="shared" si="10"/>
        <v>0.45510646235969987</v>
      </c>
      <c r="F40" s="47">
        <f t="shared" si="10"/>
        <v>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59"/>
      <c r="V40" s="83"/>
      <c r="W40"/>
      <c r="X40"/>
      <c r="Y40" s="60"/>
      <c r="Z40"/>
      <c r="AA40" s="61"/>
      <c r="AF40" s="47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s="29" customFormat="1" x14ac:dyDescent="0.25">
      <c r="A41"/>
      <c r="B41" s="48" t="s">
        <v>49</v>
      </c>
      <c r="C41" s="48" t="s">
        <v>50</v>
      </c>
      <c r="D41" s="48" t="s">
        <v>51</v>
      </c>
      <c r="E41" s="48" t="s">
        <v>52</v>
      </c>
      <c r="F41" s="48" t="s">
        <v>53</v>
      </c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/>
      <c r="U41" s="59"/>
      <c r="V41" s="83"/>
      <c r="W41"/>
      <c r="X41"/>
      <c r="Y41" s="60"/>
      <c r="Z41"/>
      <c r="AA41" s="61"/>
      <c r="AF41" s="47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s="29" customFormat="1" x14ac:dyDescent="0.25">
      <c r="A42"/>
      <c r="B42">
        <f t="shared" ref="B42:F42" si="11">+IFERROR(MIN(B19:B28)/B22,0)</f>
        <v>0.46500139515137456</v>
      </c>
      <c r="C42">
        <f t="shared" si="11"/>
        <v>0.62955441265476297</v>
      </c>
      <c r="D42">
        <f t="shared" si="11"/>
        <v>1</v>
      </c>
      <c r="E42">
        <f t="shared" si="11"/>
        <v>0.42721068944281121</v>
      </c>
      <c r="F42">
        <f t="shared" si="11"/>
        <v>0.65534399532315402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59"/>
      <c r="V42" s="83"/>
      <c r="W42"/>
      <c r="X42"/>
      <c r="Y42" s="60"/>
      <c r="Z42"/>
      <c r="AA42" s="61"/>
      <c r="AF42" s="47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s="29" customFormat="1" x14ac:dyDescent="0.25">
      <c r="A43" t="s">
        <v>92</v>
      </c>
      <c r="B43" s="47">
        <f>+B42^AA20</f>
        <v>4.6753811727412324E-2</v>
      </c>
      <c r="C43" s="47">
        <f t="shared" ref="C43:E43" si="12">+C42^AB20</f>
        <v>0.24951681431543118</v>
      </c>
      <c r="D43" s="47">
        <f t="shared" si="12"/>
        <v>1</v>
      </c>
      <c r="E43" s="47">
        <f t="shared" si="12"/>
        <v>1.4230185263769858E-2</v>
      </c>
      <c r="F43" s="47">
        <f>+F42^AE20</f>
        <v>0.42947575220611411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47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29" customFormat="1" x14ac:dyDescent="0.25">
      <c r="A44"/>
      <c r="B44" s="48" t="s">
        <v>54</v>
      </c>
      <c r="C44" s="48" t="s">
        <v>55</v>
      </c>
      <c r="D44" s="48" t="s">
        <v>56</v>
      </c>
      <c r="E44" s="48" t="s">
        <v>57</v>
      </c>
      <c r="F44" s="48" t="s">
        <v>58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/>
      <c r="U44"/>
      <c r="V44" s="3"/>
      <c r="W44" s="39"/>
      <c r="X44" s="39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29" customFormat="1" x14ac:dyDescent="0.25">
      <c r="A45"/>
      <c r="B45">
        <f t="shared" ref="B45:F45" si="13">+IFERROR(MIN(B19:B28)/B23,0)</f>
        <v>1</v>
      </c>
      <c r="C45">
        <f t="shared" si="13"/>
        <v>0.68239313400073176</v>
      </c>
      <c r="D45">
        <f t="shared" si="13"/>
        <v>0.24801353204164478</v>
      </c>
      <c r="E45">
        <f t="shared" si="13"/>
        <v>0.7503218957885246</v>
      </c>
      <c r="F45">
        <f t="shared" si="13"/>
        <v>0.56015137736549792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/>
      <c r="W45" s="39"/>
      <c r="X45" s="39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29" customFormat="1" x14ac:dyDescent="0.25">
      <c r="A46" t="s">
        <v>92</v>
      </c>
      <c r="B46" s="47">
        <f>+B45^AA20</f>
        <v>1</v>
      </c>
      <c r="C46" s="47">
        <f t="shared" ref="C46:F46" si="14">+C45^AB20</f>
        <v>0.31776345245581444</v>
      </c>
      <c r="D46" s="47">
        <f t="shared" si="14"/>
        <v>0.24801353204164478</v>
      </c>
      <c r="E46" s="47">
        <f t="shared" si="14"/>
        <v>0.23781437401813621</v>
      </c>
      <c r="F46" s="47">
        <f t="shared" si="14"/>
        <v>0.31376956556446445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/>
      <c r="W46" s="39"/>
      <c r="X46" s="39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29" customFormat="1" x14ac:dyDescent="0.25">
      <c r="A47"/>
      <c r="B47" s="48" t="s">
        <v>62</v>
      </c>
      <c r="C47" s="48" t="s">
        <v>63</v>
      </c>
      <c r="D47" s="48" t="s">
        <v>64</v>
      </c>
      <c r="E47" s="48" t="s">
        <v>65</v>
      </c>
      <c r="F47" s="48" t="s">
        <v>66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/>
      <c r="U47"/>
      <c r="V47" s="47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29" customFormat="1" x14ac:dyDescent="0.25">
      <c r="A48"/>
      <c r="B48">
        <f t="shared" ref="B48:F48" si="15">+IFERROR(MIN(B19:B28)/B24,0)</f>
        <v>0.7976768113086572</v>
      </c>
      <c r="C48">
        <f t="shared" si="15"/>
        <v>1</v>
      </c>
      <c r="D48">
        <f t="shared" si="15"/>
        <v>0.56522240601861973</v>
      </c>
      <c r="E48">
        <f t="shared" si="15"/>
        <v>0.36693949203259485</v>
      </c>
      <c r="F48">
        <f t="shared" si="15"/>
        <v>0.5494002336656566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47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92</v>
      </c>
      <c r="B49" s="47">
        <f>+ B48^AA20</f>
        <v>0.40486279473520365</v>
      </c>
      <c r="C49" s="47">
        <f t="shared" ref="C49:F49" si="16">+ C48^AB20</f>
        <v>1</v>
      </c>
      <c r="D49" s="47">
        <f t="shared" si="16"/>
        <v>0.56522240601861973</v>
      </c>
      <c r="E49" s="47">
        <f t="shared" si="16"/>
        <v>6.6523069025567439E-3</v>
      </c>
      <c r="F49" s="47">
        <f t="shared" si="16"/>
        <v>0.30184061675187807</v>
      </c>
      <c r="V49" s="47"/>
    </row>
    <row r="50" spans="1:22" x14ac:dyDescent="0.25">
      <c r="B50" s="48" t="s">
        <v>67</v>
      </c>
      <c r="C50" s="48" t="s">
        <v>68</v>
      </c>
      <c r="D50" s="48" t="s">
        <v>69</v>
      </c>
      <c r="E50" s="48" t="s">
        <v>70</v>
      </c>
      <c r="F50" s="48" t="s">
        <v>71</v>
      </c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22" x14ac:dyDescent="0.25">
      <c r="B51">
        <f>+IFERROR(MIN(B19:B28)/B25,0)</f>
        <v>0.74833121572646377</v>
      </c>
      <c r="C51">
        <f t="shared" ref="C51:F51" si="17">+IFERROR(MIN(C19:C28)/C25,0)</f>
        <v>0.51875258819866332</v>
      </c>
      <c r="D51">
        <f t="shared" si="17"/>
        <v>0.6743075252687698</v>
      </c>
      <c r="E51">
        <f t="shared" si="17"/>
        <v>1</v>
      </c>
      <c r="F51">
        <f t="shared" si="17"/>
        <v>0.37748655788548841</v>
      </c>
    </row>
    <row r="52" spans="1:22" x14ac:dyDescent="0.25">
      <c r="A52" t="s">
        <v>92</v>
      </c>
      <c r="B52" s="47">
        <f>+B51^AA20</f>
        <v>0.31359956144247819</v>
      </c>
      <c r="C52" s="47">
        <f t="shared" ref="C52:F52" si="18">+C51^AB20</f>
        <v>0.13959852502221304</v>
      </c>
      <c r="D52" s="47">
        <f t="shared" si="18"/>
        <v>0.6743075252687698</v>
      </c>
      <c r="E52" s="47">
        <f t="shared" si="18"/>
        <v>1</v>
      </c>
      <c r="F52" s="47">
        <f t="shared" si="18"/>
        <v>0.14249610138423419</v>
      </c>
    </row>
    <row r="53" spans="1:22" x14ac:dyDescent="0.25">
      <c r="B53" s="48"/>
      <c r="C53" s="48"/>
      <c r="D53" s="48"/>
      <c r="E53" s="48"/>
      <c r="F53" s="48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  <row r="55" spans="1:22" x14ac:dyDescent="0.25">
      <c r="B55" s="47"/>
      <c r="C55" s="47"/>
      <c r="D55" s="47"/>
      <c r="E55" s="47"/>
      <c r="F55" s="47"/>
    </row>
    <row r="56" spans="1:22" x14ac:dyDescent="0.25">
      <c r="B56" s="48"/>
      <c r="C56" s="48"/>
      <c r="D56" s="48"/>
      <c r="E56" s="48"/>
      <c r="F56" s="48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8" spans="1:22" x14ac:dyDescent="0.25">
      <c r="B58" s="47"/>
      <c r="C58" s="47"/>
      <c r="D58" s="47"/>
      <c r="E58" s="47"/>
      <c r="F58" s="47"/>
    </row>
    <row r="59" spans="1:22" x14ac:dyDescent="0.25">
      <c r="B59" s="48"/>
      <c r="C59" s="48"/>
      <c r="D59" s="48"/>
      <c r="E59" s="48"/>
      <c r="F59" s="48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1" spans="1:22" x14ac:dyDescent="0.25">
      <c r="B61" s="47"/>
      <c r="C61" s="47"/>
      <c r="D61" s="47"/>
      <c r="E61" s="47"/>
      <c r="F61" s="47"/>
    </row>
    <row r="63" spans="1:22" x14ac:dyDescent="0.25">
      <c r="V63" s="47"/>
    </row>
    <row r="64" spans="1:22" x14ac:dyDescent="0.25">
      <c r="V64" s="47"/>
    </row>
    <row r="65" spans="22:22" x14ac:dyDescent="0.25">
      <c r="V65" s="47"/>
    </row>
    <row r="66" spans="22:22" x14ac:dyDescent="0.25">
      <c r="V66" s="47"/>
    </row>
    <row r="67" spans="22:22" x14ac:dyDescent="0.25">
      <c r="V67" s="47"/>
    </row>
    <row r="68" spans="22:22" x14ac:dyDescent="0.25">
      <c r="V68" s="47"/>
    </row>
    <row r="69" spans="22:22" x14ac:dyDescent="0.25">
      <c r="V69" s="47"/>
    </row>
  </sheetData>
  <mergeCells count="3">
    <mergeCell ref="A1:U1"/>
    <mergeCell ref="AA32:AD32"/>
    <mergeCell ref="U30:U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69"/>
  <sheetViews>
    <sheetView zoomScale="85" zoomScaleNormal="85" workbookViewId="0">
      <selection activeCell="A19" sqref="A19:A25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29" customWidth="1"/>
    <col min="32" max="44" width="10.5703125" bestFit="1" customWidth="1"/>
  </cols>
  <sheetData>
    <row r="1" spans="1:44" ht="15.75" thickBot="1" x14ac:dyDescent="0.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44" ht="18" customHeight="1" thickBot="1" x14ac:dyDescent="0.3">
      <c r="B2" s="64" t="s">
        <v>108</v>
      </c>
      <c r="C2" s="65" t="s">
        <v>109</v>
      </c>
      <c r="D2" s="66" t="s">
        <v>110</v>
      </c>
      <c r="E2" s="67" t="s">
        <v>111</v>
      </c>
      <c r="F2" s="68" t="s">
        <v>112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44" ht="31.5" customHeight="1" thickBot="1" x14ac:dyDescent="0.3">
      <c r="A3" s="45" t="s">
        <v>21</v>
      </c>
    </row>
    <row r="4" spans="1:44" ht="18" customHeight="1" thickBot="1" x14ac:dyDescent="0.3">
      <c r="A4" s="95" t="s">
        <v>101</v>
      </c>
      <c r="B4" s="46">
        <f>+AHP_nivel_0!D55</f>
        <v>0.772888759185555</v>
      </c>
      <c r="C4" s="46">
        <f>+AHP_nivel_0!E55</f>
        <v>0.25066662460072059</v>
      </c>
      <c r="D4" s="46">
        <f>+AHP_nivel_0!F55</f>
        <v>0.18799996845054037</v>
      </c>
      <c r="E4" s="46">
        <f>+AHP_nivel_0!G55</f>
        <v>0.22977773921732714</v>
      </c>
      <c r="F4" s="46">
        <f>+AHP_nivel_0!H55</f>
        <v>0.31333328075090067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U4" s="47"/>
    </row>
    <row r="5" spans="1:44" ht="18" customHeight="1" thickBot="1" x14ac:dyDescent="0.3">
      <c r="A5" s="95" t="s">
        <v>102</v>
      </c>
      <c r="B5" s="46">
        <f>+AHP_nivel_0!D56</f>
        <v>0.48137698945980151</v>
      </c>
      <c r="C5" s="46">
        <f>+AHP_nivel_0!E56</f>
        <v>0.68768141351400214</v>
      </c>
      <c r="D5" s="46">
        <f>+AHP_nivel_0!F56</f>
        <v>0.15472831804065049</v>
      </c>
      <c r="E5" s="46">
        <f>+AHP_nivel_0!G56</f>
        <v>0.17192035337850053</v>
      </c>
      <c r="F5" s="46">
        <f>+AHP_nivel_0!H56</f>
        <v>0.37822477743270116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8" customHeight="1" thickBot="1" x14ac:dyDescent="0.3">
      <c r="A6" s="95" t="s">
        <v>103</v>
      </c>
      <c r="B6" s="46">
        <f>+AHP_nivel_0!D57</f>
        <v>0.99460392600107328</v>
      </c>
      <c r="C6" s="46">
        <f>+AHP_nivel_0!E57</f>
        <v>0.38427878959132378</v>
      </c>
      <c r="D6" s="46">
        <f>+AHP_nivel_0!F57</f>
        <v>0.20344171213658316</v>
      </c>
      <c r="E6" s="46">
        <f>+AHP_nivel_0!G57</f>
        <v>0.15823244277289805</v>
      </c>
      <c r="F6" s="46">
        <f>+AHP_nivel_0!H57</f>
        <v>0.15823244277289805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1:44" ht="18" customHeight="1" thickBot="1" x14ac:dyDescent="0.3">
      <c r="A7" s="95" t="s">
        <v>104</v>
      </c>
      <c r="B7" s="46">
        <f>+AHP_nivel_0!D58</f>
        <v>0.7364440465754637</v>
      </c>
      <c r="C7" s="46">
        <f>+AHP_nivel_0!E58</f>
        <v>0.22855160066135077</v>
      </c>
      <c r="D7" s="46">
        <f>+AHP_nivel_0!F58</f>
        <v>2.5394622295705639E-2</v>
      </c>
      <c r="E7" s="46">
        <f>+AHP_nivel_0!G58</f>
        <v>0.5332870682098183</v>
      </c>
      <c r="F7" s="46">
        <f>+AHP_nivel_0!H58</f>
        <v>0.35552471213987896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spans="1:44" ht="18" customHeight="1" thickBot="1" x14ac:dyDescent="0.3">
      <c r="A8" s="95" t="s">
        <v>105</v>
      </c>
      <c r="B8" s="46">
        <f>+AHP_nivel_0!D59</f>
        <v>0.22640219028520492</v>
      </c>
      <c r="C8" s="46">
        <f>+AHP_nivel_0!E59</f>
        <v>0.19405902024446139</v>
      </c>
      <c r="D8" s="46">
        <f>+AHP_nivel_0!F59</f>
        <v>0.76006449595747372</v>
      </c>
      <c r="E8" s="46">
        <f>+AHP_nivel_0!G59</f>
        <v>0.21023060526483314</v>
      </c>
      <c r="F8" s="46">
        <f>+AHP_nivel_0!H59</f>
        <v>0.45280438057040984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1:44" ht="18" customHeight="1" thickBot="1" x14ac:dyDescent="0.3">
      <c r="A9" s="95" t="s">
        <v>106</v>
      </c>
      <c r="B9" s="46">
        <f>+AHP_nivel_0!D60</f>
        <v>0.33884355757069329</v>
      </c>
      <c r="C9" s="46">
        <f>+AHP_nivel_0!E60</f>
        <v>6.3533167044504985E-2</v>
      </c>
      <c r="D9" s="46">
        <f>+AHP_nivel_0!F60</f>
        <v>0.21177722348168329</v>
      </c>
      <c r="E9" s="46">
        <f>+AHP_nivel_0!G60</f>
        <v>0.65650939279321818</v>
      </c>
      <c r="F9" s="46">
        <f>+AHP_nivel_0!H60</f>
        <v>0.46590989165970326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</row>
    <row r="10" spans="1:44" ht="18" customHeight="1" x14ac:dyDescent="0.25">
      <c r="A10" s="95" t="s">
        <v>107</v>
      </c>
      <c r="B10" s="46">
        <f>+AHP_nivel_0!D61</f>
        <v>0.37549026748097314</v>
      </c>
      <c r="C10" s="46">
        <f>+AHP_nivel_0!E61</f>
        <v>0.32369850644911485</v>
      </c>
      <c r="D10" s="46">
        <f>+AHP_nivel_0!F61</f>
        <v>0.14242734283761052</v>
      </c>
      <c r="E10" s="46">
        <f>+AHP_nivel_0!G61</f>
        <v>0.10358352206371675</v>
      </c>
      <c r="F10" s="46">
        <f>+AHP_nivel_0!H61</f>
        <v>0.77687641547787556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8" customHeight="1" x14ac:dyDescent="0.25">
      <c r="A11" s="48"/>
      <c r="B11" s="46"/>
      <c r="C11" s="46"/>
      <c r="D11" s="46"/>
      <c r="E11" s="46"/>
      <c r="F11" s="69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AA11" s="29">
        <f>ROUND($AC$26*AA19+$AC$25,0)</f>
        <v>4</v>
      </c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</row>
    <row r="12" spans="1:44" ht="18" customHeight="1" x14ac:dyDescent="0.25">
      <c r="A12" s="48"/>
      <c r="B12" s="46"/>
      <c r="C12" s="46"/>
      <c r="D12" s="46"/>
      <c r="E12" s="46"/>
      <c r="F12" s="69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1:44" ht="18" customHeight="1" x14ac:dyDescent="0.25">
      <c r="A13" s="49"/>
      <c r="B13" s="46"/>
      <c r="C13" s="46"/>
      <c r="D13" s="46"/>
      <c r="E13" s="46"/>
      <c r="F13" s="69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5" spans="1:44" x14ac:dyDescent="0.25">
      <c r="AA15" s="29">
        <v>0.25</v>
      </c>
      <c r="AB15" s="29">
        <v>0.25</v>
      </c>
      <c r="AC15" s="29">
        <v>0.25</v>
      </c>
      <c r="AD15" s="29">
        <v>0.25</v>
      </c>
      <c r="AE15" s="29">
        <v>0.25</v>
      </c>
      <c r="AF15" s="29">
        <v>0.25</v>
      </c>
      <c r="AG15" s="29"/>
      <c r="AH15" s="29"/>
      <c r="AI15" s="29"/>
      <c r="AJ15" s="29"/>
      <c r="AK15" s="29"/>
      <c r="AL15" s="29"/>
    </row>
    <row r="17" spans="1:44" ht="15.75" thickBot="1" x14ac:dyDescent="0.3">
      <c r="AA17" s="24">
        <v>0.2112</v>
      </c>
      <c r="AB17" s="24"/>
      <c r="AC17" s="24"/>
      <c r="AD17" s="24"/>
      <c r="AE17" s="24">
        <v>0.19639999999999999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4" ht="30.75" thickBot="1" x14ac:dyDescent="0.3">
      <c r="A18" s="50" t="s">
        <v>22</v>
      </c>
      <c r="B18" s="64" t="s">
        <v>108</v>
      </c>
      <c r="C18" s="65" t="s">
        <v>109</v>
      </c>
      <c r="D18" s="66" t="s">
        <v>110</v>
      </c>
      <c r="E18" s="67" t="s">
        <v>111</v>
      </c>
      <c r="F18" s="68" t="s">
        <v>112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AA18" s="64" t="s">
        <v>108</v>
      </c>
      <c r="AB18" s="65" t="s">
        <v>109</v>
      </c>
      <c r="AC18" s="66" t="s">
        <v>110</v>
      </c>
      <c r="AD18" s="67" t="s">
        <v>111</v>
      </c>
      <c r="AE18" s="68" t="s">
        <v>112</v>
      </c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</row>
    <row r="19" spans="1:44" x14ac:dyDescent="0.25">
      <c r="A19" s="51" t="s">
        <v>101</v>
      </c>
      <c r="B19" s="46">
        <f t="shared" ref="B19:F25" si="0">IFERROR(+$U$26*B4+$U$24,"")</f>
        <v>4.0849647605821247</v>
      </c>
      <c r="C19" s="46">
        <f t="shared" si="0"/>
        <v>1.9297145681279839</v>
      </c>
      <c r="D19" s="46">
        <f t="shared" si="0"/>
        <v>1.6710845450334866</v>
      </c>
      <c r="E19" s="46">
        <f t="shared" si="0"/>
        <v>1.8435045604298179</v>
      </c>
      <c r="F19" s="69">
        <f t="shared" si="0"/>
        <v>2.1883445912224806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47"/>
      <c r="U19" t="s">
        <v>23</v>
      </c>
      <c r="Z19" s="52" t="s">
        <v>24</v>
      </c>
      <c r="AA19" s="25">
        <f>+AHP_nivel_0!D41</f>
        <v>0.23661190622200035</v>
      </c>
      <c r="AB19" s="26">
        <f>+AHP_nivel_0!E41</f>
        <v>0.19836512455485553</v>
      </c>
      <c r="AC19" s="27">
        <f>+AHP_nivel_0!F41</f>
        <v>0.13554553409059678</v>
      </c>
      <c r="AD19" s="28">
        <f>+AHP_nivel_0!G41</f>
        <v>0.25355419225961578</v>
      </c>
      <c r="AE19" s="28">
        <f>+AHP_nivel_0!H41</f>
        <v>0.1759232428729316</v>
      </c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</row>
    <row r="20" spans="1:44" x14ac:dyDescent="0.25">
      <c r="A20" s="51" t="s">
        <v>102</v>
      </c>
      <c r="B20" s="46">
        <f t="shared" si="0"/>
        <v>2.8818736692717968</v>
      </c>
      <c r="C20" s="46">
        <f t="shared" si="0"/>
        <v>3.7333076093525683</v>
      </c>
      <c r="D20" s="46">
        <f t="shared" si="0"/>
        <v>1.5337699308105748</v>
      </c>
      <c r="E20" s="46">
        <f t="shared" si="0"/>
        <v>1.604722759150639</v>
      </c>
      <c r="F20" s="69">
        <f t="shared" si="0"/>
        <v>2.4561566992314106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47"/>
      <c r="U20" t="s">
        <v>25</v>
      </c>
      <c r="AA20" s="53">
        <f>ROUND($AC$26*AA19+$AC$25,0)</f>
        <v>4</v>
      </c>
      <c r="AB20" s="53">
        <f t="shared" ref="AB20:AE20" si="1">ROUND($AC$26*AB19+$AC$25,0)</f>
        <v>3</v>
      </c>
      <c r="AC20" s="53">
        <f t="shared" si="1"/>
        <v>1</v>
      </c>
      <c r="AD20" s="53">
        <f t="shared" si="1"/>
        <v>5</v>
      </c>
      <c r="AE20" s="53">
        <f t="shared" si="1"/>
        <v>2</v>
      </c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</row>
    <row r="21" spans="1:44" x14ac:dyDescent="0.25">
      <c r="A21" s="51" t="s">
        <v>103</v>
      </c>
      <c r="B21" s="46">
        <f t="shared" si="0"/>
        <v>5</v>
      </c>
      <c r="C21" s="46">
        <f t="shared" si="0"/>
        <v>2.4811420646647702</v>
      </c>
      <c r="D21" s="46">
        <f t="shared" si="0"/>
        <v>1.7348137875284058</v>
      </c>
      <c r="E21" s="46">
        <f t="shared" si="0"/>
        <v>1.5482317182443148</v>
      </c>
      <c r="F21" s="69">
        <f t="shared" si="0"/>
        <v>1.5482317182443148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47"/>
      <c r="Z21" t="s">
        <v>78</v>
      </c>
      <c r="AA21" s="29">
        <f>ROUND($AC$26*AA19+$AC$25,0)</f>
        <v>4</v>
      </c>
      <c r="AB21" s="29">
        <f t="shared" ref="AB21:AE21" si="2">$AC$26*AB19+$AC$25</f>
        <v>3.1293262560967974</v>
      </c>
      <c r="AC21" s="29">
        <f t="shared" si="2"/>
        <v>0.99984861324056817</v>
      </c>
      <c r="AD21" s="29">
        <f t="shared" si="2"/>
        <v>5.0001421104954495</v>
      </c>
      <c r="AE21" s="29">
        <f t="shared" si="2"/>
        <v>2.3685845041671727</v>
      </c>
    </row>
    <row r="22" spans="1:44" x14ac:dyDescent="0.25">
      <c r="A22" s="51" t="s">
        <v>104</v>
      </c>
      <c r="B22" s="46">
        <f t="shared" si="0"/>
        <v>3.9345546790001169</v>
      </c>
      <c r="C22" s="46">
        <f t="shared" si="0"/>
        <v>1.8384441940000333</v>
      </c>
      <c r="D22" s="46">
        <f t="shared" si="0"/>
        <v>1</v>
      </c>
      <c r="E22" s="46">
        <f t="shared" si="0"/>
        <v>3.0961104850000827</v>
      </c>
      <c r="F22" s="69">
        <f t="shared" si="0"/>
        <v>2.3624718152500543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47"/>
    </row>
    <row r="23" spans="1:44" x14ac:dyDescent="0.25">
      <c r="A23" s="51" t="s">
        <v>105</v>
      </c>
      <c r="B23" s="46">
        <f t="shared" si="0"/>
        <v>1.8295734150344232</v>
      </c>
      <c r="C23" s="46">
        <f t="shared" si="0"/>
        <v>1.6960907094223621</v>
      </c>
      <c r="D23" s="46">
        <f t="shared" si="0"/>
        <v>4.0320380576334305</v>
      </c>
      <c r="E23" s="46">
        <f t="shared" si="0"/>
        <v>1.7628320622283926</v>
      </c>
      <c r="F23" s="69">
        <f t="shared" si="0"/>
        <v>2.7639523543188504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7"/>
      <c r="W23" t="s">
        <v>26</v>
      </c>
      <c r="X23" s="47">
        <f>+MIN(B4:F13)</f>
        <v>2.5394622295705639E-2</v>
      </c>
      <c r="AB23" s="29" t="s">
        <v>26</v>
      </c>
      <c r="AC23" s="54">
        <f>+ROUND(MIN(AA19:AE19),5)</f>
        <v>0.13555</v>
      </c>
      <c r="AD23" s="54"/>
      <c r="AE23" s="54"/>
      <c r="AF23" s="54"/>
      <c r="AG23" s="54"/>
    </row>
    <row r="24" spans="1:44" ht="18" customHeight="1" x14ac:dyDescent="0.25">
      <c r="A24" s="51" t="s">
        <v>106</v>
      </c>
      <c r="B24" s="46">
        <f t="shared" si="0"/>
        <v>2.2936274304286859</v>
      </c>
      <c r="C24" s="46">
        <f t="shared" si="0"/>
        <v>1.1574006547522502</v>
      </c>
      <c r="D24" s="46">
        <f t="shared" si="0"/>
        <v>1.7692150724241771</v>
      </c>
      <c r="E24" s="46">
        <f t="shared" si="0"/>
        <v>3.6046583254399573</v>
      </c>
      <c r="F24" s="69">
        <f t="shared" si="0"/>
        <v>2.8180397884331949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47"/>
      <c r="U24" s="55">
        <f>(5*X23-X24)/(X23-X24)</f>
        <v>0.89519447574999589</v>
      </c>
      <c r="W24" t="s">
        <v>27</v>
      </c>
      <c r="X24" s="47">
        <f>+MAX(B4:F13)</f>
        <v>0.99460392600107328</v>
      </c>
      <c r="AB24" s="29" t="s">
        <v>27</v>
      </c>
      <c r="AC24" s="54">
        <f>+ROUND(MAX(AA19:AE19),5)</f>
        <v>0.25355</v>
      </c>
      <c r="AD24" s="54"/>
      <c r="AE24" s="54"/>
      <c r="AF24" s="54"/>
      <c r="AG24" s="54"/>
    </row>
    <row r="25" spans="1:44" x14ac:dyDescent="0.25">
      <c r="A25" s="51" t="s">
        <v>107</v>
      </c>
      <c r="B25" s="46">
        <f t="shared" si="0"/>
        <v>2.4448711701252672</v>
      </c>
      <c r="C25" s="46">
        <f t="shared" si="0"/>
        <v>2.2311226605562648</v>
      </c>
      <c r="D25" s="46">
        <f t="shared" si="0"/>
        <v>1.4830028770647541</v>
      </c>
      <c r="E25" s="46">
        <f t="shared" si="0"/>
        <v>1.322691494888002</v>
      </c>
      <c r="F25" s="69">
        <f t="shared" si="0"/>
        <v>4.10142211928504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47"/>
      <c r="AB25" t="s">
        <v>28</v>
      </c>
      <c r="AC25" s="56">
        <f>(5*AC23-AC24)/(AC23-AC24)</f>
        <v>-3.5949152542372889</v>
      </c>
      <c r="AD25"/>
      <c r="AE25"/>
    </row>
    <row r="26" spans="1:44" x14ac:dyDescent="0.25">
      <c r="A26" s="51"/>
      <c r="B26" s="46"/>
      <c r="C26" s="46"/>
      <c r="D26" s="46"/>
      <c r="E26" s="46"/>
      <c r="F26" s="69"/>
      <c r="G26" s="58"/>
      <c r="H26" s="70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7"/>
      <c r="U26" s="55">
        <f>+-4/(X23-X24)</f>
        <v>4.1270755292047525</v>
      </c>
      <c r="AB26" t="s">
        <v>29</v>
      </c>
      <c r="AC26" s="56">
        <f>+-4/(AC23-AC24)</f>
        <v>33.898305084745765</v>
      </c>
      <c r="AD26"/>
      <c r="AE26"/>
      <c r="AJ26" t="s">
        <v>30</v>
      </c>
    </row>
    <row r="27" spans="1:44" x14ac:dyDescent="0.25">
      <c r="A27" s="51"/>
      <c r="B27" s="46"/>
      <c r="C27" s="46"/>
      <c r="D27" s="46"/>
      <c r="E27" s="46"/>
      <c r="F27" s="69"/>
      <c r="G27" s="58"/>
      <c r="H27" s="7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47"/>
    </row>
    <row r="28" spans="1:44" x14ac:dyDescent="0.25">
      <c r="A28" s="51"/>
      <c r="B28" s="46"/>
      <c r="C28" s="46"/>
      <c r="D28" s="46"/>
      <c r="E28" s="46"/>
      <c r="F28" s="69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47"/>
    </row>
    <row r="29" spans="1:44" x14ac:dyDescent="0.25">
      <c r="A29" s="57"/>
      <c r="B29" s="58"/>
      <c r="C29" s="58"/>
      <c r="D29" s="58"/>
      <c r="E29" s="58"/>
      <c r="F29" s="58"/>
      <c r="T29" s="47"/>
    </row>
    <row r="30" spans="1:44" x14ac:dyDescent="0.25">
      <c r="A30" s="45"/>
      <c r="B30" s="29"/>
      <c r="C30" s="29"/>
      <c r="D30" s="29"/>
      <c r="E30" s="29"/>
      <c r="F30" s="29"/>
      <c r="U30" s="117" t="s">
        <v>87</v>
      </c>
      <c r="V30" s="47"/>
    </row>
    <row r="31" spans="1:44" x14ac:dyDescent="0.25">
      <c r="A31" s="57"/>
      <c r="B31" s="58"/>
      <c r="C31" s="58"/>
      <c r="D31" s="58"/>
      <c r="E31" s="58"/>
      <c r="F31" s="58"/>
      <c r="U31" s="117"/>
      <c r="V31" s="47"/>
    </row>
    <row r="32" spans="1:44" ht="33.75" customHeight="1" x14ac:dyDescent="0.25">
      <c r="A32" s="52" t="s">
        <v>91</v>
      </c>
      <c r="B32" s="48" t="s">
        <v>32</v>
      </c>
      <c r="C32" s="48" t="s">
        <v>33</v>
      </c>
      <c r="D32" s="48" t="s">
        <v>34</v>
      </c>
      <c r="E32" s="48" t="s">
        <v>35</v>
      </c>
      <c r="F32" s="48" t="s">
        <v>36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U32" s="117"/>
      <c r="V32" s="47"/>
      <c r="AA32" s="116"/>
      <c r="AB32" s="116"/>
      <c r="AC32" s="116"/>
      <c r="AD32" s="116"/>
    </row>
    <row r="33" spans="1:44" s="29" customFormat="1" x14ac:dyDescent="0.25">
      <c r="A33"/>
      <c r="B33">
        <f>+IFERROR(B19/MAX(B19:B28),0)</f>
        <v>0.81699295211642498</v>
      </c>
      <c r="C33">
        <f>+IFERROR(C19/MAX(C19:C28),0)</f>
        <v>0.51689139231220105</v>
      </c>
      <c r="D33">
        <f>+IFERROR(D19/MAX(D19:D28),0)</f>
        <v>0.41445158035396001</v>
      </c>
      <c r="E33">
        <f>+IFERROR(E19/MAX(E19:E28),0)</f>
        <v>0.51142282957007135</v>
      </c>
      <c r="F33">
        <f>+IFERROR(F19/MAX(F19:F28),0)</f>
        <v>0.53355751433942944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59" t="s">
        <v>101</v>
      </c>
      <c r="V33" s="86">
        <f>+PRODUCT(B34:S34)</f>
        <v>2.5398494543130151E-4</v>
      </c>
      <c r="W33">
        <f>+V33/MAX($V$33:$V$42)*100</f>
        <v>14.418968423905099</v>
      </c>
      <c r="X33">
        <f>+RANK(W33,$W$33:$W$42)</f>
        <v>5</v>
      </c>
      <c r="Y33" s="60"/>
      <c r="Z33"/>
      <c r="AA33" s="61"/>
      <c r="AF33" s="47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s="29" customFormat="1" x14ac:dyDescent="0.25">
      <c r="A34" t="s">
        <v>92</v>
      </c>
      <c r="B34" s="47">
        <f>+B33^AA20</f>
        <v>0.44552619139054017</v>
      </c>
      <c r="C34" s="47">
        <f t="shared" ref="C34:F34" si="3">+C33^AB20</f>
        <v>0.13810134237294852</v>
      </c>
      <c r="D34" s="47">
        <f t="shared" si="3"/>
        <v>0.41445158035396001</v>
      </c>
      <c r="E34" s="47">
        <f t="shared" si="3"/>
        <v>3.4986504449182887E-2</v>
      </c>
      <c r="F34" s="47">
        <f t="shared" si="3"/>
        <v>0.28468362110807044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59" t="s">
        <v>102</v>
      </c>
      <c r="V34" s="86">
        <f>+PRODUCT(B37:S37)</f>
        <v>2.6325587432474872E-4</v>
      </c>
      <c r="W34">
        <f t="shared" ref="W34:W39" si="4">+V34/MAX($V$33:$V$42)*100</f>
        <v>14.945287929763538</v>
      </c>
      <c r="X34">
        <f t="shared" ref="X34:X39" si="5">+RANK(W34,$W$33:$W$42)</f>
        <v>3</v>
      </c>
      <c r="Y34" s="60"/>
      <c r="Z34"/>
      <c r="AA34" s="61"/>
      <c r="AF34" s="47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29" customFormat="1" x14ac:dyDescent="0.25">
      <c r="A35"/>
      <c r="B35" s="48" t="s">
        <v>39</v>
      </c>
      <c r="C35" s="48" t="s">
        <v>40</v>
      </c>
      <c r="D35" s="48" t="s">
        <v>41</v>
      </c>
      <c r="E35" s="48" t="s">
        <v>42</v>
      </c>
      <c r="F35" s="48" t="s">
        <v>43</v>
      </c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>
        <v>3</v>
      </c>
      <c r="U35" s="59" t="s">
        <v>103</v>
      </c>
      <c r="V35" s="86">
        <f>+PRODUCT(B40:S40)</f>
        <v>2.6306560441193954E-4</v>
      </c>
      <c r="W35">
        <f t="shared" si="4"/>
        <v>14.934486124718926</v>
      </c>
      <c r="X35">
        <f t="shared" si="5"/>
        <v>4</v>
      </c>
      <c r="Y35" s="60"/>
      <c r="Z35"/>
      <c r="AA35" s="61"/>
      <c r="AF35" s="47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s="29" customFormat="1" x14ac:dyDescent="0.25">
      <c r="A36"/>
      <c r="B36">
        <f>+IFERROR(B20/MAX(B19:B28),0)</f>
        <v>0.57637473385435933</v>
      </c>
      <c r="C36">
        <f>+IFERROR(C20/MAX(C19:C28),0)</f>
        <v>1</v>
      </c>
      <c r="D36">
        <f t="shared" ref="D36:F36" si="6">+IFERROR(D20/MAX(D19:D28),0)</f>
        <v>0.38039569787959981</v>
      </c>
      <c r="E36">
        <f t="shared" si="6"/>
        <v>0.44518026793975785</v>
      </c>
      <c r="F36">
        <f t="shared" si="6"/>
        <v>0.59885489174168882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59" t="s">
        <v>104</v>
      </c>
      <c r="V36" s="86">
        <f>+PRODUCT(B43:S43)</f>
        <v>1.761464051826494E-3</v>
      </c>
      <c r="W36">
        <f t="shared" si="4"/>
        <v>100</v>
      </c>
      <c r="X36">
        <f t="shared" si="5"/>
        <v>1</v>
      </c>
      <c r="Y36" s="60"/>
      <c r="Z36"/>
      <c r="AA36" s="61"/>
      <c r="AF36" s="47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 s="29" customFormat="1" x14ac:dyDescent="0.25">
      <c r="A37" t="s">
        <v>92</v>
      </c>
      <c r="B37">
        <f>+(B36^AA20)</f>
        <v>0.11036204485515297</v>
      </c>
      <c r="C37">
        <f t="shared" ref="C37:F37" si="7">+(C36^AB20)</f>
        <v>1</v>
      </c>
      <c r="D37">
        <f t="shared" si="7"/>
        <v>0.38039569787959981</v>
      </c>
      <c r="E37">
        <f t="shared" si="7"/>
        <v>1.748555947141342E-2</v>
      </c>
      <c r="F37">
        <f t="shared" si="7"/>
        <v>0.35862718136294985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59" t="s">
        <v>105</v>
      </c>
      <c r="V37" s="86">
        <f>+PRODUCT(B46:S46)</f>
        <v>2.1355590691457076E-5</v>
      </c>
      <c r="W37">
        <f t="shared" si="4"/>
        <v>1.2123773215418776</v>
      </c>
      <c r="X37">
        <f t="shared" si="5"/>
        <v>7</v>
      </c>
      <c r="Y37" s="60"/>
      <c r="Z37"/>
      <c r="AA37" s="61"/>
      <c r="AF37" s="4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s="29" customFormat="1" x14ac:dyDescent="0.25">
      <c r="A38"/>
      <c r="B38" s="48" t="s">
        <v>44</v>
      </c>
      <c r="C38" s="48" t="s">
        <v>45</v>
      </c>
      <c r="D38" s="48" t="s">
        <v>46</v>
      </c>
      <c r="E38" s="48" t="s">
        <v>47</v>
      </c>
      <c r="F38" s="48" t="s">
        <v>48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>
        <v>6</v>
      </c>
      <c r="U38" s="59" t="s">
        <v>106</v>
      </c>
      <c r="V38" s="86">
        <f>+PRODUCT(B49:S49)</f>
        <v>2.7331447537844161E-4</v>
      </c>
      <c r="W38">
        <f t="shared" si="4"/>
        <v>15.51632433798674</v>
      </c>
      <c r="X38">
        <f t="shared" si="5"/>
        <v>2</v>
      </c>
      <c r="Y38" s="60"/>
      <c r="Z38"/>
      <c r="AA38" s="61"/>
      <c r="AF38" s="47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s="29" customFormat="1" x14ac:dyDescent="0.25">
      <c r="A39"/>
      <c r="B39">
        <f>+IFERROR(B21/MAX(B19:B28),0)</f>
        <v>1</v>
      </c>
      <c r="C39">
        <f t="shared" ref="C39:F39" si="8">+IFERROR(C21/MAX(C19:C28),0)</f>
        <v>0.66459620376555328</v>
      </c>
      <c r="D39">
        <f t="shared" si="8"/>
        <v>0.4302572948794634</v>
      </c>
      <c r="E39">
        <f t="shared" si="8"/>
        <v>0.42950859095788207</v>
      </c>
      <c r="F39">
        <f t="shared" si="8"/>
        <v>0.37748655788548841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59" t="s">
        <v>107</v>
      </c>
      <c r="V39" s="86">
        <f>+PRODUCT(B52:S52)</f>
        <v>2.9855377243474578E-5</v>
      </c>
      <c r="W39">
        <f t="shared" si="4"/>
        <v>1.6949183386693019</v>
      </c>
      <c r="X39">
        <f t="shared" si="5"/>
        <v>6</v>
      </c>
      <c r="Y39" s="60"/>
      <c r="Z39"/>
      <c r="AA39" s="61"/>
      <c r="AF39" s="47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 s="29" customFormat="1" x14ac:dyDescent="0.25">
      <c r="A40" t="s">
        <v>92</v>
      </c>
      <c r="B40" s="47">
        <f>+B39^AA20</f>
        <v>1</v>
      </c>
      <c r="C40" s="47">
        <f t="shared" ref="C40:F40" si="9">+C39^AB20</f>
        <v>0.29354424385236677</v>
      </c>
      <c r="D40" s="47">
        <f t="shared" si="9"/>
        <v>0.4302572948794634</v>
      </c>
      <c r="E40" s="47">
        <f t="shared" si="9"/>
        <v>1.4617034590247151E-2</v>
      </c>
      <c r="F40" s="47">
        <f t="shared" si="9"/>
        <v>0.14249610138423419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59"/>
      <c r="V40" s="86"/>
      <c r="W40"/>
      <c r="X40"/>
      <c r="Y40" s="60"/>
      <c r="Z40"/>
      <c r="AA40" s="61"/>
      <c r="AF40" s="47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s="29" customFormat="1" x14ac:dyDescent="0.25">
      <c r="A41"/>
      <c r="B41" s="48" t="s">
        <v>49</v>
      </c>
      <c r="C41" s="48" t="s">
        <v>50</v>
      </c>
      <c r="D41" s="48" t="s">
        <v>51</v>
      </c>
      <c r="E41" s="48" t="s">
        <v>52</v>
      </c>
      <c r="F41" s="48" t="s">
        <v>53</v>
      </c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/>
      <c r="U41" s="59"/>
      <c r="V41" s="86"/>
      <c r="W41"/>
      <c r="X41"/>
      <c r="Y41" s="60"/>
      <c r="Z41"/>
      <c r="AA41" s="61"/>
      <c r="AF41" s="47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s="29" customFormat="1" x14ac:dyDescent="0.25">
      <c r="A42"/>
      <c r="B42">
        <f>+IFERROR(B22/MAX(B19:B28),0)</f>
        <v>0.78691093580002336</v>
      </c>
      <c r="C42">
        <f t="shared" ref="C42:F42" si="10">+IFERROR(C22/MAX(C19:C28),0)</f>
        <v>0.49244380221828465</v>
      </c>
      <c r="D42">
        <f t="shared" si="10"/>
        <v>0.24801353204164478</v>
      </c>
      <c r="E42">
        <f t="shared" si="10"/>
        <v>0.85891926653608563</v>
      </c>
      <c r="F42">
        <f t="shared" si="10"/>
        <v>0.57601284299453681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59"/>
      <c r="V42" s="86"/>
      <c r="W42"/>
      <c r="X42"/>
      <c r="Y42" s="60"/>
      <c r="Z42"/>
      <c r="AA42" s="61"/>
      <c r="AF42" s="47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s="29" customFormat="1" x14ac:dyDescent="0.25">
      <c r="A43" t="s">
        <v>92</v>
      </c>
      <c r="B43" s="47">
        <f>+B42^AA20</f>
        <v>0.38344433261050154</v>
      </c>
      <c r="C43" s="47">
        <f t="shared" ref="C43:E43" si="11">+C42^AB20</f>
        <v>0.11941806442147565</v>
      </c>
      <c r="D43" s="47">
        <f t="shared" si="11"/>
        <v>0.24801353204164478</v>
      </c>
      <c r="E43" s="47">
        <f t="shared" si="11"/>
        <v>0.46747858718983526</v>
      </c>
      <c r="F43" s="47">
        <f>+F42^AE20</f>
        <v>0.33179079529464889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47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29" customFormat="1" x14ac:dyDescent="0.25">
      <c r="A44"/>
      <c r="B44" s="48" t="s">
        <v>54</v>
      </c>
      <c r="C44" s="48" t="s">
        <v>55</v>
      </c>
      <c r="D44" s="48" t="s">
        <v>56</v>
      </c>
      <c r="E44" s="48" t="s">
        <v>57</v>
      </c>
      <c r="F44" s="48" t="s">
        <v>58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/>
      <c r="U44"/>
      <c r="V44" s="3"/>
      <c r="W44" s="39"/>
      <c r="X44" s="39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29" customFormat="1" x14ac:dyDescent="0.25">
      <c r="A45"/>
      <c r="B45">
        <f>+IFERROR(B23/MAX(B19:B28),0)</f>
        <v>0.36591468300688462</v>
      </c>
      <c r="C45">
        <f>+IFERROR(C23/MAX(C19:C28),0)</f>
        <v>0.45431314182987959</v>
      </c>
      <c r="D45">
        <f t="shared" ref="D45:F45" si="12">+IFERROR(D23/MAX(D19:D28),0)</f>
        <v>1</v>
      </c>
      <c r="E45">
        <f t="shared" si="12"/>
        <v>0.48904276163628757</v>
      </c>
      <c r="F45">
        <f t="shared" si="12"/>
        <v>0.67390097237800595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/>
      <c r="W45" s="39"/>
      <c r="X45" s="39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29" customFormat="1" x14ac:dyDescent="0.25">
      <c r="A46" t="s">
        <v>92</v>
      </c>
      <c r="B46" s="47">
        <f>+B45^AA20</f>
        <v>1.792748413481466E-2</v>
      </c>
      <c r="C46" s="47">
        <f t="shared" ref="C46:F46" si="13">+C45^AB20</f>
        <v>9.377042820965964E-2</v>
      </c>
      <c r="D46" s="47">
        <f t="shared" si="13"/>
        <v>1</v>
      </c>
      <c r="E46" s="47">
        <f t="shared" si="13"/>
        <v>2.7972686386271279E-2</v>
      </c>
      <c r="F46" s="47">
        <f t="shared" si="13"/>
        <v>0.45414252057202192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/>
      <c r="W46" s="39"/>
      <c r="X46" s="39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29" customFormat="1" x14ac:dyDescent="0.25">
      <c r="A47"/>
      <c r="B47" s="48" t="s">
        <v>62</v>
      </c>
      <c r="C47" s="48" t="s">
        <v>63</v>
      </c>
      <c r="D47" s="48" t="s">
        <v>64</v>
      </c>
      <c r="E47" s="48" t="s">
        <v>65</v>
      </c>
      <c r="F47" s="48" t="s">
        <v>66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/>
      <c r="U47"/>
      <c r="V47" s="47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29" customFormat="1" x14ac:dyDescent="0.25">
      <c r="A48"/>
      <c r="B48">
        <f>+IFERROR(B24/MAX(B19:B28),0)</f>
        <v>0.45872548608573716</v>
      </c>
      <c r="C48">
        <f t="shared" ref="C48:F48" si="14">+IFERROR(C24/MAX(C19:C28),0)</f>
        <v>0.31002016867101051</v>
      </c>
      <c r="D48">
        <f t="shared" si="14"/>
        <v>0.43878927905323456</v>
      </c>
      <c r="E48">
        <f t="shared" si="14"/>
        <v>1</v>
      </c>
      <c r="F48">
        <f t="shared" si="14"/>
        <v>0.68708845529034102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47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92</v>
      </c>
      <c r="B49" s="47">
        <f>+ B48^AA20</f>
        <v>4.4280394167954963E-2</v>
      </c>
      <c r="C49" s="47">
        <f t="shared" ref="C49:F49" si="15">+ C48^AB20</f>
        <v>2.9796815006161551E-2</v>
      </c>
      <c r="D49" s="47">
        <f t="shared" si="15"/>
        <v>0.43878927905323456</v>
      </c>
      <c r="E49" s="47">
        <f t="shared" si="15"/>
        <v>1</v>
      </c>
      <c r="F49" s="47">
        <f t="shared" si="15"/>
        <v>0.47209054539326695</v>
      </c>
      <c r="V49" s="47"/>
    </row>
    <row r="50" spans="1:22" x14ac:dyDescent="0.25">
      <c r="B50" s="48" t="s">
        <v>67</v>
      </c>
      <c r="C50" s="48" t="s">
        <v>68</v>
      </c>
      <c r="D50" s="48" t="s">
        <v>69</v>
      </c>
      <c r="E50" s="48" t="s">
        <v>70</v>
      </c>
      <c r="F50" s="48" t="s">
        <v>71</v>
      </c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22" x14ac:dyDescent="0.25">
      <c r="B51">
        <f>+IFERROR(B25/MAX(B19:B28),0)</f>
        <v>0.48897423402505347</v>
      </c>
      <c r="C51">
        <f t="shared" ref="C51:F51" si="16">+IFERROR(C25/MAX(C19:C28),0)</f>
        <v>0.59762625907571199</v>
      </c>
      <c r="D51">
        <f t="shared" si="16"/>
        <v>0.36780478156875079</v>
      </c>
      <c r="E51">
        <f t="shared" si="16"/>
        <v>0.36693949203259485</v>
      </c>
      <c r="F51">
        <f t="shared" si="16"/>
        <v>1</v>
      </c>
    </row>
    <row r="52" spans="1:22" x14ac:dyDescent="0.25">
      <c r="A52" t="s">
        <v>92</v>
      </c>
      <c r="B52" s="47">
        <f>+B51^AA20</f>
        <v>5.716680231424049E-2</v>
      </c>
      <c r="C52" s="47">
        <f t="shared" ref="C52:F52" si="17">+C51^AB20</f>
        <v>0.21344648878933536</v>
      </c>
      <c r="D52" s="47">
        <f t="shared" si="17"/>
        <v>0.36780478156875079</v>
      </c>
      <c r="E52" s="47">
        <f t="shared" si="17"/>
        <v>6.6523069025567439E-3</v>
      </c>
      <c r="F52" s="47">
        <f t="shared" si="17"/>
        <v>1</v>
      </c>
    </row>
    <row r="53" spans="1:22" x14ac:dyDescent="0.25">
      <c r="B53" s="48"/>
      <c r="C53" s="48"/>
      <c r="D53" s="48"/>
      <c r="E53" s="48"/>
      <c r="F53" s="48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  <row r="55" spans="1:22" x14ac:dyDescent="0.25">
      <c r="B55" s="47"/>
      <c r="C55" s="47"/>
      <c r="D55" s="47"/>
      <c r="E55" s="47"/>
      <c r="F55" s="47"/>
    </row>
    <row r="56" spans="1:22" x14ac:dyDescent="0.25">
      <c r="B56" s="48"/>
      <c r="C56" s="48"/>
      <c r="D56" s="48"/>
      <c r="E56" s="48"/>
      <c r="F56" s="48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8" spans="1:22" x14ac:dyDescent="0.25">
      <c r="B58" s="47"/>
      <c r="C58" s="47"/>
      <c r="D58" s="47"/>
      <c r="E58" s="47"/>
      <c r="F58" s="47"/>
    </row>
    <row r="59" spans="1:22" x14ac:dyDescent="0.25">
      <c r="B59" s="48"/>
      <c r="C59" s="48"/>
      <c r="D59" s="48"/>
      <c r="E59" s="48"/>
      <c r="F59" s="48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1" spans="1:22" x14ac:dyDescent="0.25">
      <c r="B61" s="47"/>
      <c r="C61" s="47"/>
      <c r="D61" s="47"/>
      <c r="E61" s="47"/>
      <c r="F61" s="47"/>
    </row>
    <row r="63" spans="1:22" x14ac:dyDescent="0.25">
      <c r="V63" s="47"/>
    </row>
    <row r="64" spans="1:22" x14ac:dyDescent="0.25">
      <c r="V64" s="47"/>
    </row>
    <row r="65" spans="22:22" x14ac:dyDescent="0.25">
      <c r="V65" s="47"/>
    </row>
    <row r="66" spans="22:22" x14ac:dyDescent="0.25">
      <c r="V66" s="47"/>
    </row>
    <row r="67" spans="22:22" x14ac:dyDescent="0.25">
      <c r="V67" s="47"/>
    </row>
    <row r="68" spans="22:22" x14ac:dyDescent="0.25">
      <c r="V68" s="47"/>
    </row>
    <row r="69" spans="22:22" x14ac:dyDescent="0.25">
      <c r="V69" s="47"/>
    </row>
  </sheetData>
  <mergeCells count="3">
    <mergeCell ref="A1:U1"/>
    <mergeCell ref="U30:U32"/>
    <mergeCell ref="AA32:AD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9E44C-A6E9-49E9-B0BF-B61ABBC587FC}">
  <dimension ref="A1:AR69"/>
  <sheetViews>
    <sheetView zoomScale="85" zoomScaleNormal="85" workbookViewId="0">
      <selection activeCell="A4" sqref="A4:A10"/>
    </sheetView>
  </sheetViews>
  <sheetFormatPr defaultRowHeight="15" x14ac:dyDescent="0.25"/>
  <cols>
    <col min="1" max="1" width="48.5703125" customWidth="1"/>
    <col min="2" max="5" width="8.7109375" customWidth="1"/>
    <col min="6" max="8" width="12.42578125" customWidth="1"/>
    <col min="9" max="9" width="15.140625" customWidth="1"/>
    <col min="21" max="21" width="26.28515625" customWidth="1"/>
    <col min="22" max="22" width="18.28515625" customWidth="1"/>
    <col min="27" max="31" width="13.42578125" style="29" customWidth="1"/>
    <col min="32" max="44" width="10.5703125" bestFit="1" customWidth="1"/>
  </cols>
  <sheetData>
    <row r="1" spans="1:44" ht="15.75" thickBot="1" x14ac:dyDescent="0.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44" ht="18" customHeight="1" thickBot="1" x14ac:dyDescent="0.3">
      <c r="B2" s="64" t="s">
        <v>108</v>
      </c>
      <c r="C2" s="65" t="s">
        <v>109</v>
      </c>
      <c r="D2" s="66" t="s">
        <v>110</v>
      </c>
      <c r="E2" s="67" t="s">
        <v>111</v>
      </c>
      <c r="F2" s="68" t="s">
        <v>112</v>
      </c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44" ht="31.5" customHeight="1" thickBot="1" x14ac:dyDescent="0.3">
      <c r="A3" s="45" t="s">
        <v>21</v>
      </c>
    </row>
    <row r="4" spans="1:44" ht="18" customHeight="1" x14ac:dyDescent="0.25">
      <c r="A4" s="95" t="s">
        <v>101</v>
      </c>
      <c r="B4" s="46">
        <f>+AHP_nivel_0!D55</f>
        <v>0.772888759185555</v>
      </c>
      <c r="C4" s="46">
        <f>+AHP_nivel_0!E55</f>
        <v>0.25066662460072059</v>
      </c>
      <c r="D4" s="46">
        <f>+AHP_nivel_0!F55</f>
        <v>0.18799996845054037</v>
      </c>
      <c r="E4" s="46">
        <f>+AHP_nivel_0!G55</f>
        <v>0.22977773921732714</v>
      </c>
      <c r="F4" s="46">
        <f>+AHP_nivel_0!H55</f>
        <v>0.31333328075090067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U4" s="47"/>
    </row>
    <row r="5" spans="1:44" ht="18" customHeight="1" x14ac:dyDescent="0.25">
      <c r="A5" s="96" t="s">
        <v>102</v>
      </c>
      <c r="B5" s="46">
        <f>+AHP_nivel_0!D56</f>
        <v>0.48137698945980151</v>
      </c>
      <c r="C5" s="46">
        <f>+AHP_nivel_0!E56</f>
        <v>0.68768141351400214</v>
      </c>
      <c r="D5" s="46">
        <f>+AHP_nivel_0!F56</f>
        <v>0.15472831804065049</v>
      </c>
      <c r="E5" s="46">
        <f>+AHP_nivel_0!G56</f>
        <v>0.17192035337850053</v>
      </c>
      <c r="F5" s="46">
        <f>+AHP_nivel_0!H56</f>
        <v>0.37822477743270116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</row>
    <row r="6" spans="1:44" ht="18" customHeight="1" x14ac:dyDescent="0.25">
      <c r="A6" s="96" t="s">
        <v>103</v>
      </c>
      <c r="B6" s="46">
        <f>+AHP_nivel_0!D57</f>
        <v>0.99460392600107328</v>
      </c>
      <c r="C6" s="46">
        <f>+AHP_nivel_0!E57</f>
        <v>0.38427878959132378</v>
      </c>
      <c r="D6" s="46">
        <f>+AHP_nivel_0!F57</f>
        <v>0.20344171213658316</v>
      </c>
      <c r="E6" s="46">
        <f>+AHP_nivel_0!G57</f>
        <v>0.15823244277289805</v>
      </c>
      <c r="F6" s="46">
        <f>+AHP_nivel_0!H57</f>
        <v>0.15823244277289805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</row>
    <row r="7" spans="1:44" ht="18" customHeight="1" x14ac:dyDescent="0.25">
      <c r="A7" s="96" t="s">
        <v>104</v>
      </c>
      <c r="B7" s="46">
        <f>+AHP_nivel_0!D58</f>
        <v>0.7364440465754637</v>
      </c>
      <c r="C7" s="46">
        <f>+AHP_nivel_0!E58</f>
        <v>0.22855160066135077</v>
      </c>
      <c r="D7" s="46">
        <f>+AHP_nivel_0!F58</f>
        <v>2.5394622295705639E-2</v>
      </c>
      <c r="E7" s="46">
        <f>+AHP_nivel_0!G58</f>
        <v>0.5332870682098183</v>
      </c>
      <c r="F7" s="46">
        <f>+AHP_nivel_0!H58</f>
        <v>0.35552471213987896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</row>
    <row r="8" spans="1:44" ht="18" customHeight="1" x14ac:dyDescent="0.25">
      <c r="A8" s="96" t="s">
        <v>105</v>
      </c>
      <c r="B8" s="46">
        <f>+AHP_nivel_0!D59</f>
        <v>0.22640219028520492</v>
      </c>
      <c r="C8" s="46">
        <f>+AHP_nivel_0!E59</f>
        <v>0.19405902024446139</v>
      </c>
      <c r="D8" s="46">
        <f>+AHP_nivel_0!F59</f>
        <v>0.76006449595747372</v>
      </c>
      <c r="E8" s="46">
        <f>+AHP_nivel_0!G59</f>
        <v>0.21023060526483314</v>
      </c>
      <c r="F8" s="46">
        <f>+AHP_nivel_0!H59</f>
        <v>0.45280438057040984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</row>
    <row r="9" spans="1:44" ht="18" customHeight="1" x14ac:dyDescent="0.25">
      <c r="A9" s="96" t="s">
        <v>106</v>
      </c>
      <c r="B9" s="46">
        <f>+AHP_nivel_0!D60</f>
        <v>0.33884355757069329</v>
      </c>
      <c r="C9" s="46">
        <f>+AHP_nivel_0!E60</f>
        <v>6.3533167044504985E-2</v>
      </c>
      <c r="D9" s="46">
        <f>+AHP_nivel_0!F60</f>
        <v>0.21177722348168329</v>
      </c>
      <c r="E9" s="46">
        <f>+AHP_nivel_0!G60</f>
        <v>0.65650939279321818</v>
      </c>
      <c r="F9" s="46">
        <f>+AHP_nivel_0!H60</f>
        <v>0.46590989165970326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</row>
    <row r="10" spans="1:44" ht="18" customHeight="1" thickBot="1" x14ac:dyDescent="0.3">
      <c r="A10" s="97" t="s">
        <v>107</v>
      </c>
      <c r="B10" s="46">
        <f>+AHP_nivel_0!D61</f>
        <v>0.37549026748097314</v>
      </c>
      <c r="C10" s="46">
        <f>+AHP_nivel_0!E61</f>
        <v>0.32369850644911485</v>
      </c>
      <c r="D10" s="46">
        <f>+AHP_nivel_0!F61</f>
        <v>0.14242734283761052</v>
      </c>
      <c r="E10" s="46">
        <f>+AHP_nivel_0!G61</f>
        <v>0.10358352206371675</v>
      </c>
      <c r="F10" s="46">
        <f>+AHP_nivel_0!H61</f>
        <v>0.77687641547787556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</row>
    <row r="11" spans="1:44" ht="18" customHeight="1" x14ac:dyDescent="0.25">
      <c r="A11" s="48"/>
      <c r="B11" s="46"/>
      <c r="C11" s="46"/>
      <c r="D11" s="46"/>
      <c r="E11" s="46"/>
      <c r="F11" s="69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AA11" s="29">
        <f>ROUND($AC$26*AA19+$AC$25,0)</f>
        <v>5</v>
      </c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</row>
    <row r="12" spans="1:44" ht="18" customHeight="1" x14ac:dyDescent="0.25">
      <c r="A12" s="48"/>
      <c r="B12" s="46"/>
      <c r="C12" s="46"/>
      <c r="D12" s="46"/>
      <c r="E12" s="46"/>
      <c r="F12" s="69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</row>
    <row r="13" spans="1:44" ht="18" customHeight="1" x14ac:dyDescent="0.25">
      <c r="A13" s="49"/>
      <c r="B13" s="46"/>
      <c r="C13" s="46"/>
      <c r="D13" s="46"/>
      <c r="E13" s="46"/>
      <c r="F13" s="69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5" spans="1:44" x14ac:dyDescent="0.25">
      <c r="AA15" s="29">
        <v>0.25</v>
      </c>
      <c r="AB15" s="29">
        <v>0.25</v>
      </c>
      <c r="AC15" s="29">
        <v>0.25</v>
      </c>
      <c r="AD15" s="29">
        <v>0.25</v>
      </c>
      <c r="AE15" s="29">
        <v>0.25</v>
      </c>
      <c r="AF15" s="29">
        <v>0.25</v>
      </c>
      <c r="AG15" s="29"/>
      <c r="AH15" s="29"/>
      <c r="AI15" s="29"/>
      <c r="AJ15" s="29"/>
      <c r="AK15" s="29"/>
      <c r="AL15" s="29"/>
    </row>
    <row r="17" spans="1:44" ht="15.75" thickBot="1" x14ac:dyDescent="0.3">
      <c r="AA17" s="24">
        <v>0.2112</v>
      </c>
      <c r="AB17" s="24"/>
      <c r="AC17" s="24"/>
      <c r="AD17" s="24"/>
      <c r="AE17" s="24">
        <v>0.19639999999999999</v>
      </c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4" ht="30.75" thickBot="1" x14ac:dyDescent="0.3">
      <c r="A18" s="50" t="s">
        <v>22</v>
      </c>
      <c r="B18" s="64" t="s">
        <v>108</v>
      </c>
      <c r="C18" s="65" t="s">
        <v>109</v>
      </c>
      <c r="D18" s="66" t="s">
        <v>110</v>
      </c>
      <c r="E18" s="67" t="s">
        <v>111</v>
      </c>
      <c r="F18" s="68" t="s">
        <v>112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AA18" s="64" t="s">
        <v>108</v>
      </c>
      <c r="AB18" s="65" t="s">
        <v>109</v>
      </c>
      <c r="AC18" s="66" t="s">
        <v>110</v>
      </c>
      <c r="AD18" s="67" t="s">
        <v>111</v>
      </c>
      <c r="AE18" s="68" t="s">
        <v>112</v>
      </c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</row>
    <row r="19" spans="1:44" x14ac:dyDescent="0.25">
      <c r="A19" s="51" t="s">
        <v>101</v>
      </c>
      <c r="B19" s="46">
        <f t="shared" ref="B19:F25" si="0">IFERROR(+$U$26*B4+$U$24,"")</f>
        <v>4.0849647605821247</v>
      </c>
      <c r="C19" s="46">
        <f t="shared" si="0"/>
        <v>1.9297145681279839</v>
      </c>
      <c r="D19" s="46">
        <f t="shared" si="0"/>
        <v>1.6710845450334866</v>
      </c>
      <c r="E19" s="46">
        <f t="shared" si="0"/>
        <v>1.8435045604298179</v>
      </c>
      <c r="F19" s="69">
        <f t="shared" si="0"/>
        <v>2.1883445912224806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47"/>
      <c r="U19" t="s">
        <v>23</v>
      </c>
      <c r="Z19" s="52" t="s">
        <v>24</v>
      </c>
      <c r="AA19" s="25">
        <v>0.2</v>
      </c>
      <c r="AB19" s="26">
        <v>0.2</v>
      </c>
      <c r="AC19" s="27">
        <v>0.2</v>
      </c>
      <c r="AD19" s="28">
        <v>0.19989999999999999</v>
      </c>
      <c r="AE19" s="28">
        <v>0.2</v>
      </c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</row>
    <row r="20" spans="1:44" x14ac:dyDescent="0.25">
      <c r="A20" s="51" t="s">
        <v>102</v>
      </c>
      <c r="B20" s="46">
        <f t="shared" si="0"/>
        <v>2.8818736692717968</v>
      </c>
      <c r="C20" s="46">
        <f t="shared" si="0"/>
        <v>3.7333076093525683</v>
      </c>
      <c r="D20" s="46">
        <f t="shared" si="0"/>
        <v>1.5337699308105748</v>
      </c>
      <c r="E20" s="46">
        <f t="shared" si="0"/>
        <v>1.604722759150639</v>
      </c>
      <c r="F20" s="69">
        <f t="shared" si="0"/>
        <v>2.4561566992314106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47"/>
      <c r="U20" t="s">
        <v>25</v>
      </c>
      <c r="AA20" s="53">
        <f>ROUND($AC$26*AA19+$AC$25,0)</f>
        <v>5</v>
      </c>
      <c r="AB20" s="53">
        <f t="shared" ref="AB20:AE20" si="1">ROUND($AC$26*AB19+$AC$25,0)</f>
        <v>5</v>
      </c>
      <c r="AC20" s="53">
        <f t="shared" si="1"/>
        <v>5</v>
      </c>
      <c r="AD20" s="53">
        <f t="shared" si="1"/>
        <v>1</v>
      </c>
      <c r="AE20" s="53">
        <f t="shared" si="1"/>
        <v>5</v>
      </c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</row>
    <row r="21" spans="1:44" x14ac:dyDescent="0.25">
      <c r="A21" s="51" t="s">
        <v>103</v>
      </c>
      <c r="B21" s="46">
        <f t="shared" si="0"/>
        <v>5</v>
      </c>
      <c r="C21" s="46">
        <f t="shared" si="0"/>
        <v>2.4811420646647702</v>
      </c>
      <c r="D21" s="46">
        <f t="shared" si="0"/>
        <v>1.7348137875284058</v>
      </c>
      <c r="E21" s="46">
        <f t="shared" si="0"/>
        <v>1.5482317182443148</v>
      </c>
      <c r="F21" s="69">
        <f t="shared" si="0"/>
        <v>1.5482317182443148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47"/>
      <c r="Z21" t="s">
        <v>78</v>
      </c>
      <c r="AA21" s="29">
        <f>ROUND($AC$26*AA19+$AC$25,0)</f>
        <v>5</v>
      </c>
      <c r="AB21" s="29">
        <f t="shared" ref="AB21:AE21" si="2">$AC$26*AB19+$AC$25</f>
        <v>5.0000000000009095</v>
      </c>
      <c r="AC21" s="29">
        <f t="shared" si="2"/>
        <v>5.0000000000009095</v>
      </c>
      <c r="AD21" s="29">
        <f t="shared" si="2"/>
        <v>1.0000000000009095</v>
      </c>
      <c r="AE21" s="29">
        <f t="shared" si="2"/>
        <v>5.0000000000009095</v>
      </c>
    </row>
    <row r="22" spans="1:44" x14ac:dyDescent="0.25">
      <c r="A22" s="51" t="s">
        <v>104</v>
      </c>
      <c r="B22" s="46">
        <f t="shared" si="0"/>
        <v>3.9345546790001169</v>
      </c>
      <c r="C22" s="46">
        <f t="shared" si="0"/>
        <v>1.8384441940000333</v>
      </c>
      <c r="D22" s="46">
        <f t="shared" si="0"/>
        <v>1</v>
      </c>
      <c r="E22" s="46">
        <f t="shared" si="0"/>
        <v>3.0961104850000827</v>
      </c>
      <c r="F22" s="69">
        <f t="shared" si="0"/>
        <v>2.3624718152500543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47"/>
    </row>
    <row r="23" spans="1:44" x14ac:dyDescent="0.25">
      <c r="A23" s="51" t="s">
        <v>105</v>
      </c>
      <c r="B23" s="46">
        <f t="shared" si="0"/>
        <v>1.8295734150344232</v>
      </c>
      <c r="C23" s="46">
        <f t="shared" si="0"/>
        <v>1.6960907094223621</v>
      </c>
      <c r="D23" s="46">
        <f t="shared" si="0"/>
        <v>4.0320380576334305</v>
      </c>
      <c r="E23" s="46">
        <f t="shared" si="0"/>
        <v>1.7628320622283926</v>
      </c>
      <c r="F23" s="69">
        <f t="shared" si="0"/>
        <v>2.7639523543188504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7"/>
      <c r="W23" t="s">
        <v>26</v>
      </c>
      <c r="X23" s="47">
        <f>+MIN(B4:F13)</f>
        <v>2.5394622295705639E-2</v>
      </c>
      <c r="AB23" s="29" t="s">
        <v>26</v>
      </c>
      <c r="AC23" s="54">
        <f>+ROUND(MIN(AA19:AE19),5)</f>
        <v>0.19989999999999999</v>
      </c>
      <c r="AD23" s="54"/>
      <c r="AE23" s="54"/>
      <c r="AF23" s="54"/>
      <c r="AG23" s="54"/>
    </row>
    <row r="24" spans="1:44" ht="18" customHeight="1" x14ac:dyDescent="0.25">
      <c r="A24" s="51" t="s">
        <v>106</v>
      </c>
      <c r="B24" s="46">
        <f t="shared" si="0"/>
        <v>2.2936274304286859</v>
      </c>
      <c r="C24" s="46">
        <f t="shared" si="0"/>
        <v>1.1574006547522502</v>
      </c>
      <c r="D24" s="46">
        <f t="shared" si="0"/>
        <v>1.7692150724241771</v>
      </c>
      <c r="E24" s="46">
        <f t="shared" si="0"/>
        <v>3.6046583254399573</v>
      </c>
      <c r="F24" s="69">
        <f t="shared" si="0"/>
        <v>2.8180397884331949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47"/>
      <c r="U24" s="55">
        <f>(5*X23-X24)/(X23-X24)</f>
        <v>0.89519447574999589</v>
      </c>
      <c r="W24" t="s">
        <v>27</v>
      </c>
      <c r="X24" s="47">
        <f>+MAX(B4:F13)</f>
        <v>0.99460392600107328</v>
      </c>
      <c r="AB24" s="29" t="s">
        <v>27</v>
      </c>
      <c r="AC24" s="54">
        <f>+ROUND(MAX(AA19:AE19),5)</f>
        <v>0.2</v>
      </c>
      <c r="AD24" s="54"/>
      <c r="AE24" s="54"/>
      <c r="AF24" s="54"/>
      <c r="AG24" s="54"/>
    </row>
    <row r="25" spans="1:44" x14ac:dyDescent="0.25">
      <c r="A25" s="51" t="s">
        <v>107</v>
      </c>
      <c r="B25" s="46">
        <f t="shared" si="0"/>
        <v>2.4448711701252672</v>
      </c>
      <c r="C25" s="46">
        <f t="shared" si="0"/>
        <v>2.2311226605562648</v>
      </c>
      <c r="D25" s="46">
        <f t="shared" si="0"/>
        <v>1.4830028770647541</v>
      </c>
      <c r="E25" s="46">
        <f t="shared" si="0"/>
        <v>1.322691494888002</v>
      </c>
      <c r="F25" s="69">
        <f t="shared" si="0"/>
        <v>4.10142211928504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47"/>
      <c r="AB25" t="s">
        <v>28</v>
      </c>
      <c r="AC25" s="56">
        <f>(5*AC23-AC24)/(AC23-AC24)</f>
        <v>-7994.9999999986603</v>
      </c>
      <c r="AD25"/>
      <c r="AE25"/>
    </row>
    <row r="26" spans="1:44" x14ac:dyDescent="0.25">
      <c r="A26" s="51"/>
      <c r="B26" s="46"/>
      <c r="C26" s="46"/>
      <c r="D26" s="46"/>
      <c r="E26" s="46"/>
      <c r="F26" s="69"/>
      <c r="G26" s="58"/>
      <c r="H26" s="70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7"/>
      <c r="U26" s="55">
        <f>+-4/(X23-X24)</f>
        <v>4.1270755292047525</v>
      </c>
      <c r="AB26" t="s">
        <v>29</v>
      </c>
      <c r="AC26" s="56">
        <f>+-4/(AC23-AC24)</f>
        <v>39999.999999993306</v>
      </c>
      <c r="AD26"/>
      <c r="AE26"/>
      <c r="AJ26" t="s">
        <v>30</v>
      </c>
    </row>
    <row r="27" spans="1:44" x14ac:dyDescent="0.25">
      <c r="A27" s="51"/>
      <c r="B27" s="46"/>
      <c r="C27" s="46"/>
      <c r="D27" s="46"/>
      <c r="E27" s="46"/>
      <c r="F27" s="69"/>
      <c r="G27" s="58"/>
      <c r="H27" s="7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47"/>
    </row>
    <row r="28" spans="1:44" x14ac:dyDescent="0.25">
      <c r="A28" s="51"/>
      <c r="B28" s="46"/>
      <c r="C28" s="46"/>
      <c r="D28" s="46"/>
      <c r="E28" s="46"/>
      <c r="F28" s="69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47"/>
    </row>
    <row r="29" spans="1:44" x14ac:dyDescent="0.25">
      <c r="A29" s="57"/>
      <c r="B29" s="58"/>
      <c r="C29" s="58"/>
      <c r="D29" s="58"/>
      <c r="E29" s="58"/>
      <c r="F29" s="58"/>
      <c r="T29" s="47"/>
    </row>
    <row r="30" spans="1:44" x14ac:dyDescent="0.25">
      <c r="A30" s="45"/>
      <c r="B30" s="29"/>
      <c r="C30" s="29"/>
      <c r="D30" s="29"/>
      <c r="E30" s="29"/>
      <c r="F30" s="29"/>
      <c r="U30" s="117" t="s">
        <v>87</v>
      </c>
      <c r="V30" s="47"/>
    </row>
    <row r="31" spans="1:44" x14ac:dyDescent="0.25">
      <c r="A31" s="57"/>
      <c r="B31" s="58"/>
      <c r="C31" s="58"/>
      <c r="D31" s="58"/>
      <c r="E31" s="58"/>
      <c r="F31" s="58"/>
      <c r="U31" s="117"/>
      <c r="V31" s="47"/>
    </row>
    <row r="32" spans="1:44" ht="33.75" customHeight="1" x14ac:dyDescent="0.25">
      <c r="A32" s="52" t="s">
        <v>91</v>
      </c>
      <c r="B32" s="48" t="s">
        <v>32</v>
      </c>
      <c r="C32" s="48" t="s">
        <v>33</v>
      </c>
      <c r="D32" s="48" t="s">
        <v>34</v>
      </c>
      <c r="E32" s="48" t="s">
        <v>35</v>
      </c>
      <c r="F32" s="48" t="s">
        <v>36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U32" s="117"/>
      <c r="V32" s="47"/>
      <c r="AA32" s="116"/>
      <c r="AB32" s="116"/>
      <c r="AC32" s="116"/>
      <c r="AD32" s="116"/>
    </row>
    <row r="33" spans="1:44" s="29" customFormat="1" x14ac:dyDescent="0.25">
      <c r="A33"/>
      <c r="B33">
        <f>+IFERROR(B19/MAX(B19:B28),0)</f>
        <v>0.81699295211642498</v>
      </c>
      <c r="C33">
        <f>+IFERROR(C19/MAX(C19:C28),0)</f>
        <v>0.51689139231220105</v>
      </c>
      <c r="D33">
        <f>+IFERROR(D19/MAX(D19:D28),0)</f>
        <v>0.41445158035396001</v>
      </c>
      <c r="E33">
        <f>+IFERROR(E19/MAX(E19:E28),0)</f>
        <v>0.51142282957007135</v>
      </c>
      <c r="F33">
        <f>+IFERROR(F19/MAX(F19:F28),0)</f>
        <v>0.53355751433942944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>
        <v>1</v>
      </c>
      <c r="U33" s="59" t="s">
        <v>101</v>
      </c>
      <c r="V33" s="86">
        <f>+PRODUCT(B34:S34)</f>
        <v>3.6319792972060661E-6</v>
      </c>
      <c r="W33">
        <f>+V33/MAX($V$33:$V$42)*100</f>
        <v>20.907244308981955</v>
      </c>
      <c r="X33">
        <f>+RANK(W33,$W$33:$W$42)</f>
        <v>5</v>
      </c>
      <c r="Y33" s="60"/>
      <c r="Z33"/>
      <c r="AA33" s="61"/>
      <c r="AF33" s="47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44" s="29" customFormat="1" x14ac:dyDescent="0.25">
      <c r="A34" t="s">
        <v>92</v>
      </c>
      <c r="B34" s="47">
        <f>+B33^AA20</f>
        <v>0.36399175834934477</v>
      </c>
      <c r="C34" s="47">
        <f t="shared" ref="C34:F34" si="3">+C33^AB20</f>
        <v>3.6897462501544076E-2</v>
      </c>
      <c r="D34" s="47">
        <f t="shared" si="3"/>
        <v>1.2228382080481137E-2</v>
      </c>
      <c r="E34" s="47">
        <f t="shared" si="3"/>
        <v>0.51142282957007135</v>
      </c>
      <c r="F34" s="47">
        <f t="shared" si="3"/>
        <v>4.3242042897936005E-2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>
        <v>2</v>
      </c>
      <c r="U34" s="59" t="s">
        <v>102</v>
      </c>
      <c r="V34" s="86">
        <f>+PRODUCT(B37:S37)</f>
        <v>1.7371869977363458E-5</v>
      </c>
      <c r="W34">
        <f t="shared" ref="W34:W39" si="4">+V34/MAX($V$33:$V$42)*100</f>
        <v>100</v>
      </c>
      <c r="X34">
        <f t="shared" ref="X34:X39" si="5">+RANK(W34,$W$33:$W$42)</f>
        <v>1</v>
      </c>
      <c r="Y34" s="60"/>
      <c r="Z34"/>
      <c r="AA34" s="61"/>
      <c r="AF34" s="47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29" customFormat="1" x14ac:dyDescent="0.25">
      <c r="A35"/>
      <c r="B35" s="48" t="s">
        <v>39</v>
      </c>
      <c r="C35" s="48" t="s">
        <v>40</v>
      </c>
      <c r="D35" s="48" t="s">
        <v>41</v>
      </c>
      <c r="E35" s="48" t="s">
        <v>42</v>
      </c>
      <c r="F35" s="48" t="s">
        <v>43</v>
      </c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>
        <v>3</v>
      </c>
      <c r="U35" s="59" t="s">
        <v>103</v>
      </c>
      <c r="V35" s="86">
        <f>+PRODUCT(B40:S40)</f>
        <v>6.2937545824858958E-6</v>
      </c>
      <c r="W35">
        <f t="shared" si="4"/>
        <v>36.229574540259733</v>
      </c>
      <c r="X35">
        <f t="shared" si="5"/>
        <v>3</v>
      </c>
      <c r="Y35" s="60"/>
      <c r="Z35"/>
      <c r="AA35" s="61"/>
      <c r="AF35" s="47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s="29" customFormat="1" x14ac:dyDescent="0.25">
      <c r="A36"/>
      <c r="B36">
        <f>+IFERROR(B20/MAX(B19:B28),0)</f>
        <v>0.57637473385435933</v>
      </c>
      <c r="C36">
        <f>+IFERROR(C20/MAX(C19:C28),0)</f>
        <v>1</v>
      </c>
      <c r="D36">
        <f t="shared" ref="D36:F36" si="6">+IFERROR(D20/MAX(D19:D28),0)</f>
        <v>0.38039569787959981</v>
      </c>
      <c r="E36">
        <f t="shared" si="6"/>
        <v>0.44518026793975785</v>
      </c>
      <c r="F36">
        <f t="shared" si="6"/>
        <v>0.59885489174168882</v>
      </c>
      <c r="G36"/>
      <c r="H36"/>
      <c r="I36"/>
      <c r="J36"/>
      <c r="K36"/>
      <c r="L36"/>
      <c r="M36"/>
      <c r="N36"/>
      <c r="O36"/>
      <c r="P36"/>
      <c r="Q36"/>
      <c r="R36"/>
      <c r="S36"/>
      <c r="T36">
        <v>4</v>
      </c>
      <c r="U36" s="59" t="s">
        <v>104</v>
      </c>
      <c r="V36" s="86">
        <f>+PRODUCT(B43:S43)</f>
        <v>4.4658213765687462E-7</v>
      </c>
      <c r="W36">
        <f t="shared" si="4"/>
        <v>2.570720010216498</v>
      </c>
      <c r="X36">
        <f t="shared" si="5"/>
        <v>6</v>
      </c>
      <c r="Y36" s="60"/>
      <c r="Z36"/>
      <c r="AA36" s="61"/>
      <c r="AF36" s="47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 s="29" customFormat="1" x14ac:dyDescent="0.25">
      <c r="A37" t="s">
        <v>92</v>
      </c>
      <c r="B37">
        <f>+(B36^AA20)</f>
        <v>6.3609894231011654E-2</v>
      </c>
      <c r="C37">
        <f t="shared" ref="C37:F37" si="7">+(C36^AB20)</f>
        <v>1</v>
      </c>
      <c r="D37">
        <f t="shared" si="7"/>
        <v>7.9648570010347596E-3</v>
      </c>
      <c r="E37">
        <f t="shared" si="7"/>
        <v>0.44518026793975785</v>
      </c>
      <c r="F37">
        <f t="shared" si="7"/>
        <v>7.7020796797706903E-2</v>
      </c>
      <c r="G37"/>
      <c r="H37"/>
      <c r="I37"/>
      <c r="J37"/>
      <c r="K37"/>
      <c r="L37"/>
      <c r="M37"/>
      <c r="N37"/>
      <c r="O37"/>
      <c r="P37"/>
      <c r="Q37"/>
      <c r="R37"/>
      <c r="S37"/>
      <c r="T37">
        <v>5</v>
      </c>
      <c r="U37" s="59" t="s">
        <v>105</v>
      </c>
      <c r="V37" s="86">
        <f>+PRODUCT(B46:S46)</f>
        <v>8.6298437521786446E-6</v>
      </c>
      <c r="W37">
        <f t="shared" si="4"/>
        <v>49.677114573294787</v>
      </c>
      <c r="X37">
        <f t="shared" si="5"/>
        <v>2</v>
      </c>
      <c r="Y37" s="60"/>
      <c r="Z37"/>
      <c r="AA37" s="61"/>
      <c r="AF37" s="4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s="29" customFormat="1" x14ac:dyDescent="0.25">
      <c r="A38"/>
      <c r="B38" s="48" t="s">
        <v>44</v>
      </c>
      <c r="C38" s="48" t="s">
        <v>45</v>
      </c>
      <c r="D38" s="48" t="s">
        <v>46</v>
      </c>
      <c r="E38" s="48" t="s">
        <v>47</v>
      </c>
      <c r="F38" s="48" t="s">
        <v>48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>
        <v>6</v>
      </c>
      <c r="U38" s="59" t="s">
        <v>106</v>
      </c>
      <c r="V38" s="86">
        <f>+PRODUCT(B49:S49)</f>
        <v>1.4489632994592775E-7</v>
      </c>
      <c r="W38">
        <f t="shared" si="4"/>
        <v>0.83408596849237282</v>
      </c>
      <c r="X38">
        <f t="shared" si="5"/>
        <v>7</v>
      </c>
      <c r="Y38" s="60"/>
      <c r="Z38"/>
      <c r="AA38" s="61"/>
      <c r="AF38" s="47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s="29" customFormat="1" x14ac:dyDescent="0.25">
      <c r="A39"/>
      <c r="B39">
        <f>+IFERROR(B21/MAX(B19:B28),0)</f>
        <v>1</v>
      </c>
      <c r="C39">
        <f t="shared" ref="C39:F39" si="8">+IFERROR(C21/MAX(C19:C28),0)</f>
        <v>0.66459620376555328</v>
      </c>
      <c r="D39">
        <f t="shared" si="8"/>
        <v>0.4302572948794634</v>
      </c>
      <c r="E39">
        <f t="shared" si="8"/>
        <v>0.42950859095788207</v>
      </c>
      <c r="F39">
        <f t="shared" si="8"/>
        <v>0.37748655788548841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>
        <v>7</v>
      </c>
      <c r="U39" s="59" t="s">
        <v>107</v>
      </c>
      <c r="V39" s="86">
        <f>+PRODUCT(B52:S52)</f>
        <v>5.2633171926136133E-6</v>
      </c>
      <c r="W39">
        <f t="shared" si="4"/>
        <v>30.297931077494923</v>
      </c>
      <c r="X39">
        <f t="shared" si="5"/>
        <v>4</v>
      </c>
      <c r="Y39" s="60"/>
      <c r="Z39"/>
      <c r="AA39" s="61"/>
      <c r="AF39" s="47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44" s="29" customFormat="1" x14ac:dyDescent="0.25">
      <c r="A40" t="s">
        <v>92</v>
      </c>
      <c r="B40" s="47">
        <f>+B39^AA20</f>
        <v>1</v>
      </c>
      <c r="C40" s="47">
        <f t="shared" ref="C40:F40" si="9">+C39^AB20</f>
        <v>0.12965500346019876</v>
      </c>
      <c r="D40" s="47">
        <f t="shared" si="9"/>
        <v>1.4744878965218592E-2</v>
      </c>
      <c r="E40" s="47">
        <f t="shared" si="9"/>
        <v>0.42950859095788207</v>
      </c>
      <c r="F40" s="47">
        <f t="shared" si="9"/>
        <v>7.6649169944115964E-3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59"/>
      <c r="V40" s="86"/>
      <c r="W40"/>
      <c r="X40"/>
      <c r="Y40" s="60"/>
      <c r="Z40"/>
      <c r="AA40" s="61"/>
      <c r="AF40" s="47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44" s="29" customFormat="1" x14ac:dyDescent="0.25">
      <c r="A41"/>
      <c r="B41" s="48" t="s">
        <v>49</v>
      </c>
      <c r="C41" s="48" t="s">
        <v>50</v>
      </c>
      <c r="D41" s="48" t="s">
        <v>51</v>
      </c>
      <c r="E41" s="48" t="s">
        <v>52</v>
      </c>
      <c r="F41" s="48" t="s">
        <v>53</v>
      </c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/>
      <c r="U41" s="59"/>
      <c r="V41" s="86"/>
      <c r="W41"/>
      <c r="X41"/>
      <c r="Y41" s="60"/>
      <c r="Z41"/>
      <c r="AA41" s="61"/>
      <c r="AF41" s="47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44" s="29" customFormat="1" x14ac:dyDescent="0.25">
      <c r="A42"/>
      <c r="B42">
        <f>+IFERROR(B22/MAX(B19:B28),0)</f>
        <v>0.78691093580002336</v>
      </c>
      <c r="C42">
        <f t="shared" ref="C42:F42" si="10">+IFERROR(C22/MAX(C19:C28),0)</f>
        <v>0.49244380221828465</v>
      </c>
      <c r="D42">
        <f t="shared" si="10"/>
        <v>0.24801353204164478</v>
      </c>
      <c r="E42">
        <f t="shared" si="10"/>
        <v>0.85891926653608563</v>
      </c>
      <c r="F42">
        <f t="shared" si="10"/>
        <v>0.57601284299453681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59"/>
      <c r="V42" s="86"/>
      <c r="W42"/>
      <c r="X42"/>
      <c r="Y42" s="60"/>
      <c r="Z42"/>
      <c r="AA42" s="61"/>
      <c r="AF42" s="47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44" s="29" customFormat="1" x14ac:dyDescent="0.25">
      <c r="A43" t="s">
        <v>92</v>
      </c>
      <c r="B43" s="47">
        <f>+B42^AA20</f>
        <v>0.30173653860174515</v>
      </c>
      <c r="C43" s="47">
        <f t="shared" ref="C43:E43" si="11">+C42^AB20</f>
        <v>2.8958987900614099E-2</v>
      </c>
      <c r="D43" s="47">
        <f t="shared" si="11"/>
        <v>9.3837598901267577E-4</v>
      </c>
      <c r="E43" s="47">
        <f t="shared" si="11"/>
        <v>0.85891926653608563</v>
      </c>
      <c r="F43" s="47">
        <f>+F42^AE20</f>
        <v>6.3410449763886059E-2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47"/>
      <c r="W43"/>
      <c r="X43"/>
      <c r="Y43"/>
      <c r="Z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44" s="29" customFormat="1" x14ac:dyDescent="0.25">
      <c r="A44"/>
      <c r="B44" s="48" t="s">
        <v>54</v>
      </c>
      <c r="C44" s="48" t="s">
        <v>55</v>
      </c>
      <c r="D44" s="48" t="s">
        <v>56</v>
      </c>
      <c r="E44" s="48" t="s">
        <v>57</v>
      </c>
      <c r="F44" s="48" t="s">
        <v>58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/>
      <c r="U44"/>
      <c r="V44" s="3"/>
      <c r="W44" s="39"/>
      <c r="X44" s="39"/>
      <c r="Y44"/>
      <c r="Z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44" s="29" customFormat="1" x14ac:dyDescent="0.25">
      <c r="A45"/>
      <c r="B45">
        <f>+IFERROR(B23/MAX(B19:B28),0)</f>
        <v>0.36591468300688462</v>
      </c>
      <c r="C45">
        <f>+IFERROR(C23/MAX(C19:C28),0)</f>
        <v>0.45431314182987959</v>
      </c>
      <c r="D45">
        <f t="shared" ref="D45:F45" si="12">+IFERROR(D23/MAX(D19:D28),0)</f>
        <v>1</v>
      </c>
      <c r="E45">
        <f t="shared" si="12"/>
        <v>0.48904276163628757</v>
      </c>
      <c r="F45">
        <f t="shared" si="12"/>
        <v>0.67390097237800595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3"/>
      <c r="W45" s="39"/>
      <c r="X45" s="39"/>
      <c r="Y45"/>
      <c r="Z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44" s="29" customFormat="1" x14ac:dyDescent="0.25">
      <c r="A46" t="s">
        <v>92</v>
      </c>
      <c r="B46" s="47">
        <f>+B45^AA20</f>
        <v>6.5599296743016596E-3</v>
      </c>
      <c r="C46" s="47">
        <f t="shared" ref="C46:F46" si="13">+C45^AB20</f>
        <v>1.9354256782462803E-2</v>
      </c>
      <c r="D46" s="47">
        <f t="shared" si="13"/>
        <v>1</v>
      </c>
      <c r="E46" s="47">
        <f t="shared" si="13"/>
        <v>0.48904276163628757</v>
      </c>
      <c r="F46" s="47">
        <f t="shared" si="13"/>
        <v>0.13898899514589713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 s="3"/>
      <c r="W46" s="39"/>
      <c r="X46" s="39"/>
      <c r="Y46"/>
      <c r="Z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44" s="29" customFormat="1" x14ac:dyDescent="0.25">
      <c r="A47"/>
      <c r="B47" s="48" t="s">
        <v>62</v>
      </c>
      <c r="C47" s="48" t="s">
        <v>63</v>
      </c>
      <c r="D47" s="48" t="s">
        <v>64</v>
      </c>
      <c r="E47" s="48" t="s">
        <v>65</v>
      </c>
      <c r="F47" s="48" t="s">
        <v>66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/>
      <c r="U47"/>
      <c r="V47" s="47"/>
      <c r="W47"/>
      <c r="X47"/>
      <c r="Y47"/>
      <c r="Z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4" s="29" customFormat="1" x14ac:dyDescent="0.25">
      <c r="A48"/>
      <c r="B48">
        <f>+IFERROR(B24/MAX(B19:B28),0)</f>
        <v>0.45872548608573716</v>
      </c>
      <c r="C48">
        <f t="shared" ref="C48:F48" si="14">+IFERROR(C24/MAX(C19:C28),0)</f>
        <v>0.31002016867101051</v>
      </c>
      <c r="D48">
        <f t="shared" si="14"/>
        <v>0.43878927905323456</v>
      </c>
      <c r="E48">
        <f t="shared" si="14"/>
        <v>1</v>
      </c>
      <c r="F48">
        <f t="shared" si="14"/>
        <v>0.68708845529034102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 s="47"/>
      <c r="W48"/>
      <c r="X48"/>
      <c r="Y48"/>
      <c r="Z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2" x14ac:dyDescent="0.25">
      <c r="A49" t="s">
        <v>92</v>
      </c>
      <c r="B49" s="47">
        <f>+ B48^AA20</f>
        <v>2.0312545338763182E-2</v>
      </c>
      <c r="C49" s="47">
        <f t="shared" ref="C49:F49" si="15">+ C48^AB20</f>
        <v>2.8638465307513259E-3</v>
      </c>
      <c r="D49" s="47">
        <f t="shared" si="15"/>
        <v>1.6265972717548323E-2</v>
      </c>
      <c r="E49" s="47">
        <f t="shared" si="15"/>
        <v>1</v>
      </c>
      <c r="F49" s="47">
        <f t="shared" si="15"/>
        <v>0.15313104883998363</v>
      </c>
      <c r="V49" s="47"/>
    </row>
    <row r="50" spans="1:22" x14ac:dyDescent="0.25">
      <c r="B50" s="48" t="s">
        <v>67</v>
      </c>
      <c r="C50" s="48" t="s">
        <v>68</v>
      </c>
      <c r="D50" s="48" t="s">
        <v>69</v>
      </c>
      <c r="E50" s="48" t="s">
        <v>70</v>
      </c>
      <c r="F50" s="48" t="s">
        <v>71</v>
      </c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22" x14ac:dyDescent="0.25">
      <c r="B51">
        <f>+IFERROR(B25/MAX(B19:B28),0)</f>
        <v>0.48897423402505347</v>
      </c>
      <c r="C51">
        <f t="shared" ref="C51:F51" si="16">+IFERROR(C25/MAX(C19:C28),0)</f>
        <v>0.59762625907571199</v>
      </c>
      <c r="D51">
        <f t="shared" si="16"/>
        <v>0.36780478156875079</v>
      </c>
      <c r="E51">
        <f t="shared" si="16"/>
        <v>0.36693949203259485</v>
      </c>
      <c r="F51">
        <f t="shared" si="16"/>
        <v>1</v>
      </c>
    </row>
    <row r="52" spans="1:22" x14ac:dyDescent="0.25">
      <c r="A52" t="s">
        <v>92</v>
      </c>
      <c r="B52" s="47">
        <f>+B51^AA20</f>
        <v>2.7953093373267398E-2</v>
      </c>
      <c r="C52" s="47">
        <f t="shared" ref="C52:F52" si="17">+C51^AB20</f>
        <v>7.6233938660858008E-2</v>
      </c>
      <c r="D52" s="47">
        <f t="shared" si="17"/>
        <v>6.7311125820691533E-3</v>
      </c>
      <c r="E52" s="47">
        <f t="shared" si="17"/>
        <v>0.36693949203259485</v>
      </c>
      <c r="F52" s="47">
        <f t="shared" si="17"/>
        <v>1</v>
      </c>
    </row>
    <row r="53" spans="1:22" x14ac:dyDescent="0.25">
      <c r="B53" s="48"/>
      <c r="C53" s="48"/>
      <c r="D53" s="48"/>
      <c r="E53" s="48"/>
      <c r="F53" s="48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  <row r="55" spans="1:22" x14ac:dyDescent="0.25">
      <c r="B55" s="47"/>
      <c r="C55" s="47"/>
      <c r="D55" s="47"/>
      <c r="E55" s="47"/>
      <c r="F55" s="47"/>
    </row>
    <row r="56" spans="1:22" x14ac:dyDescent="0.25">
      <c r="B56" s="48"/>
      <c r="C56" s="48"/>
      <c r="D56" s="48"/>
      <c r="E56" s="48"/>
      <c r="F56" s="48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</row>
    <row r="58" spans="1:22" x14ac:dyDescent="0.25">
      <c r="B58" s="47"/>
      <c r="C58" s="47"/>
      <c r="D58" s="47"/>
      <c r="E58" s="47"/>
      <c r="F58" s="47"/>
    </row>
    <row r="59" spans="1:22" x14ac:dyDescent="0.25">
      <c r="B59" s="48"/>
      <c r="C59" s="48"/>
      <c r="D59" s="48"/>
      <c r="E59" s="48"/>
      <c r="F59" s="48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1" spans="1:22" x14ac:dyDescent="0.25">
      <c r="B61" s="47"/>
      <c r="C61" s="47"/>
      <c r="D61" s="47"/>
      <c r="E61" s="47"/>
      <c r="F61" s="47"/>
    </row>
    <row r="63" spans="1:22" x14ac:dyDescent="0.25">
      <c r="V63" s="47"/>
    </row>
    <row r="64" spans="1:22" x14ac:dyDescent="0.25">
      <c r="V64" s="47"/>
    </row>
    <row r="65" spans="22:22" x14ac:dyDescent="0.25">
      <c r="V65" s="47"/>
    </row>
    <row r="66" spans="22:22" x14ac:dyDescent="0.25">
      <c r="V66" s="47"/>
    </row>
    <row r="67" spans="22:22" x14ac:dyDescent="0.25">
      <c r="V67" s="47"/>
    </row>
    <row r="68" spans="22:22" x14ac:dyDescent="0.25">
      <c r="V68" s="47"/>
    </row>
    <row r="69" spans="22:22" x14ac:dyDescent="0.25">
      <c r="V69" s="47"/>
    </row>
  </sheetData>
  <mergeCells count="3">
    <mergeCell ref="A1:U1"/>
    <mergeCell ref="U30:U32"/>
    <mergeCell ref="AA32:AD32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43"/>
  <sheetViews>
    <sheetView topLeftCell="A7" workbookViewId="0">
      <selection activeCell="J36" sqref="J36"/>
    </sheetView>
  </sheetViews>
  <sheetFormatPr defaultRowHeight="15" x14ac:dyDescent="0.25"/>
  <cols>
    <col min="1" max="2" width="2.85546875" style="1" customWidth="1"/>
    <col min="3" max="3" width="30.5703125" style="3" customWidth="1"/>
    <col min="4" max="21" width="8.42578125" style="3" customWidth="1"/>
    <col min="22" max="22" width="11" style="2" customWidth="1"/>
    <col min="23" max="26" width="10" style="3" customWidth="1"/>
    <col min="27" max="27" width="25.28515625" style="3" customWidth="1"/>
    <col min="28" max="28" width="9.140625" style="3" customWidth="1"/>
    <col min="29" max="32" width="9.140625" style="3"/>
    <col min="33" max="45" width="9.140625" style="40"/>
    <col min="46" max="16384" width="9.140625" style="3"/>
  </cols>
  <sheetData>
    <row r="1" spans="1:26" ht="26.25" thickBot="1" x14ac:dyDescent="0.3">
      <c r="A1" s="3"/>
      <c r="B1" s="3"/>
      <c r="C1" s="18"/>
      <c r="D1" s="64" t="s">
        <v>108</v>
      </c>
      <c r="E1" s="65" t="s">
        <v>109</v>
      </c>
      <c r="F1" s="66" t="s">
        <v>110</v>
      </c>
      <c r="G1" s="67" t="s">
        <v>111</v>
      </c>
      <c r="H1" s="68" t="s">
        <v>112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6"/>
      <c r="W1" s="17"/>
      <c r="X1" s="17"/>
      <c r="Y1" s="17"/>
      <c r="Z1" s="17"/>
    </row>
    <row r="2" spans="1:26" ht="15.75" thickBot="1" x14ac:dyDescent="0.3">
      <c r="A2" s="3"/>
      <c r="B2" s="3"/>
      <c r="C2" s="15" t="s">
        <v>7</v>
      </c>
      <c r="D2"/>
      <c r="E2"/>
      <c r="F2"/>
      <c r="G2"/>
      <c r="H2"/>
      <c r="V2" s="14"/>
      <c r="W2" s="17"/>
      <c r="X2" s="17"/>
      <c r="Y2" s="17"/>
      <c r="Z2" s="17"/>
    </row>
    <row r="3" spans="1:26" ht="15.75" thickBot="1" x14ac:dyDescent="0.3">
      <c r="A3" s="3"/>
      <c r="B3" s="3"/>
      <c r="C3" s="95" t="s">
        <v>101</v>
      </c>
      <c r="D3" s="46">
        <f>+AHP_nivel_0!D55</f>
        <v>0.772888759185555</v>
      </c>
      <c r="E3" s="46">
        <f>+AHP_nivel_0!E55</f>
        <v>0.25066662460072059</v>
      </c>
      <c r="F3" s="46">
        <f>+AHP_nivel_0!F55</f>
        <v>0.18799996845054037</v>
      </c>
      <c r="G3" s="46">
        <f>+AHP_nivel_0!G55</f>
        <v>0.22977773921732714</v>
      </c>
      <c r="H3" s="46">
        <f>+AHP_nivel_0!H55</f>
        <v>0.31333328075090067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7"/>
      <c r="X3" s="17"/>
      <c r="Y3" s="17"/>
      <c r="Z3" s="17"/>
    </row>
    <row r="4" spans="1:26" ht="15.75" thickBot="1" x14ac:dyDescent="0.3">
      <c r="A4" s="3"/>
      <c r="B4" s="3"/>
      <c r="C4" s="95" t="s">
        <v>102</v>
      </c>
      <c r="D4" s="46">
        <f>+AHP_nivel_0!D56</f>
        <v>0.48137698945980151</v>
      </c>
      <c r="E4" s="46">
        <f>+AHP_nivel_0!E56</f>
        <v>0.68768141351400214</v>
      </c>
      <c r="F4" s="46">
        <f>+AHP_nivel_0!F56</f>
        <v>0.15472831804065049</v>
      </c>
      <c r="G4" s="46">
        <f>+AHP_nivel_0!G56</f>
        <v>0.17192035337850053</v>
      </c>
      <c r="H4" s="46">
        <f>+AHP_nivel_0!H56</f>
        <v>0.37822477743270116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7"/>
      <c r="X4" s="17"/>
      <c r="Y4" s="17"/>
      <c r="Z4" s="17"/>
    </row>
    <row r="5" spans="1:26" ht="15.75" thickBot="1" x14ac:dyDescent="0.3">
      <c r="A5" s="3"/>
      <c r="B5" s="3"/>
      <c r="C5" s="95" t="s">
        <v>103</v>
      </c>
      <c r="D5" s="46">
        <f>+AHP_nivel_0!D57</f>
        <v>0.99460392600107328</v>
      </c>
      <c r="E5" s="46">
        <f>+AHP_nivel_0!E57</f>
        <v>0.38427878959132378</v>
      </c>
      <c r="F5" s="46">
        <f>+AHP_nivel_0!F57</f>
        <v>0.20344171213658316</v>
      </c>
      <c r="G5" s="46">
        <f>+AHP_nivel_0!G57</f>
        <v>0.15823244277289805</v>
      </c>
      <c r="H5" s="46">
        <f>+AHP_nivel_0!H57</f>
        <v>0.15823244277289805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7"/>
      <c r="X5" s="17"/>
      <c r="Y5" s="17"/>
      <c r="Z5" s="17"/>
    </row>
    <row r="6" spans="1:26" ht="15.75" thickBot="1" x14ac:dyDescent="0.3">
      <c r="A6" s="3"/>
      <c r="B6" s="3"/>
      <c r="C6" s="95" t="s">
        <v>104</v>
      </c>
      <c r="D6" s="46">
        <f>+AHP_nivel_0!D58</f>
        <v>0.7364440465754637</v>
      </c>
      <c r="E6" s="46">
        <f>+AHP_nivel_0!E58</f>
        <v>0.22855160066135077</v>
      </c>
      <c r="F6" s="46">
        <f>+AHP_nivel_0!F58</f>
        <v>2.5394622295705639E-2</v>
      </c>
      <c r="G6" s="46">
        <f>+AHP_nivel_0!G58</f>
        <v>0.5332870682098183</v>
      </c>
      <c r="H6" s="46">
        <f>+AHP_nivel_0!H58</f>
        <v>0.35552471213987896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7"/>
      <c r="X6" s="17"/>
      <c r="Y6" s="17"/>
      <c r="Z6" s="17"/>
    </row>
    <row r="7" spans="1:26" ht="15.75" thickBot="1" x14ac:dyDescent="0.3">
      <c r="A7" s="3"/>
      <c r="B7" s="3"/>
      <c r="C7" s="95" t="s">
        <v>105</v>
      </c>
      <c r="D7" s="46">
        <f>+AHP_nivel_0!D59</f>
        <v>0.22640219028520492</v>
      </c>
      <c r="E7" s="46">
        <f>+AHP_nivel_0!E59</f>
        <v>0.19405902024446139</v>
      </c>
      <c r="F7" s="46">
        <f>+AHP_nivel_0!F59</f>
        <v>0.76006449595747372</v>
      </c>
      <c r="G7" s="46">
        <f>+AHP_nivel_0!G59</f>
        <v>0.21023060526483314</v>
      </c>
      <c r="H7" s="46">
        <f>+AHP_nivel_0!H59</f>
        <v>0.45280438057040984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7"/>
      <c r="X7" s="17"/>
      <c r="Y7" s="17"/>
      <c r="Z7" s="17"/>
    </row>
    <row r="8" spans="1:26" ht="15.75" thickBot="1" x14ac:dyDescent="0.3">
      <c r="A8" s="3"/>
      <c r="B8" s="3"/>
      <c r="C8" s="95" t="s">
        <v>106</v>
      </c>
      <c r="D8" s="46">
        <f>+AHP_nivel_0!D60</f>
        <v>0.33884355757069329</v>
      </c>
      <c r="E8" s="46">
        <f>+AHP_nivel_0!E60</f>
        <v>6.3533167044504985E-2</v>
      </c>
      <c r="F8" s="46">
        <f>+AHP_nivel_0!F60</f>
        <v>0.21177722348168329</v>
      </c>
      <c r="G8" s="46">
        <f>+AHP_nivel_0!G60</f>
        <v>0.65650939279321818</v>
      </c>
      <c r="H8" s="46">
        <f>+AHP_nivel_0!H60</f>
        <v>0.46590989165970326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  <c r="X8" s="17"/>
      <c r="Y8" s="17"/>
      <c r="Z8" s="17"/>
    </row>
    <row r="9" spans="1:26" x14ac:dyDescent="0.25">
      <c r="A9" s="3"/>
      <c r="B9" s="3"/>
      <c r="C9" s="95" t="s">
        <v>107</v>
      </c>
      <c r="D9" s="46">
        <f>+AHP_nivel_0!D61</f>
        <v>0.37549026748097314</v>
      </c>
      <c r="E9" s="46">
        <f>+AHP_nivel_0!E61</f>
        <v>0.32369850644911485</v>
      </c>
      <c r="F9" s="46">
        <f>+AHP_nivel_0!F61</f>
        <v>0.14242734283761052</v>
      </c>
      <c r="G9" s="46">
        <f>+AHP_nivel_0!G61</f>
        <v>0.10358352206371675</v>
      </c>
      <c r="H9" s="46">
        <f>+AHP_nivel_0!H61</f>
        <v>0.77687641547787556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  <c r="X9" s="17"/>
      <c r="Y9" s="17"/>
      <c r="Z9" s="17"/>
    </row>
    <row r="10" spans="1:26" x14ac:dyDescent="0.25">
      <c r="A10" s="3"/>
      <c r="B10" s="3"/>
      <c r="C10" s="90"/>
      <c r="D10" s="80"/>
      <c r="E10" s="80"/>
      <c r="F10" s="80"/>
      <c r="G10" s="80"/>
      <c r="H10" s="81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  <c r="X10" s="17"/>
      <c r="Y10" s="17"/>
      <c r="Z10" s="17"/>
    </row>
    <row r="11" spans="1:26" x14ac:dyDescent="0.25">
      <c r="A11" s="3"/>
      <c r="B11" s="3"/>
      <c r="C11" s="90"/>
      <c r="D11" s="80"/>
      <c r="E11" s="80"/>
      <c r="F11" s="80"/>
      <c r="G11" s="80"/>
      <c r="H11" s="81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  <c r="X11" s="17"/>
      <c r="Y11" s="17"/>
      <c r="Z11" s="17"/>
    </row>
    <row r="12" spans="1:26" x14ac:dyDescent="0.25">
      <c r="A12" s="3"/>
      <c r="B12" s="3"/>
      <c r="C12" s="91"/>
      <c r="D12" s="80"/>
      <c r="E12" s="80"/>
      <c r="F12" s="80"/>
      <c r="G12" s="80"/>
      <c r="H12" s="81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  <c r="X12" s="17"/>
      <c r="Y12" s="17"/>
      <c r="Z12" s="17"/>
    </row>
    <row r="13" spans="1:26" x14ac:dyDescent="0.25">
      <c r="A13" s="3"/>
      <c r="B13" s="3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6"/>
      <c r="W13" s="17"/>
      <c r="X13" s="17"/>
      <c r="Y13" s="17"/>
      <c r="Z13" s="17"/>
    </row>
    <row r="14" spans="1:26" x14ac:dyDescent="0.25">
      <c r="A14" s="3"/>
      <c r="B14" s="3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71"/>
      <c r="W14" s="17"/>
      <c r="X14" s="17"/>
      <c r="Y14" s="17"/>
      <c r="Z14" s="17"/>
    </row>
    <row r="15" spans="1:26" ht="29.25" thickBot="1" x14ac:dyDescent="0.3">
      <c r="A15" s="3"/>
      <c r="B15" s="3"/>
      <c r="C15" s="15" t="s">
        <v>72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71"/>
      <c r="W15" s="17"/>
      <c r="X15" s="17"/>
      <c r="Y15" s="17"/>
      <c r="Z15" s="17"/>
    </row>
    <row r="16" spans="1:26" ht="15.75" thickBot="1" x14ac:dyDescent="0.3">
      <c r="A16" s="3"/>
      <c r="B16" s="3"/>
      <c r="C16" s="95" t="s">
        <v>101</v>
      </c>
      <c r="D16" s="16">
        <f>+D3/((D3^2)+(D4^2)+(D5^2)+(D6^2)+(D7^2)+(D8^2)+(D9^2))^0.5</f>
        <v>0.47320112708796103</v>
      </c>
      <c r="E16" s="16">
        <f>+E3/((E3^2)+(E4^2)+(E5^2)+(E6^2)+(E7^2)+(E8^2)+(E9^2))^0.5</f>
        <v>0.26688999030895866</v>
      </c>
      <c r="F16" s="16">
        <f>+F3/((F3^2)+(F4^2)+(F5^2)+(F6^2)+(F7^2)+(F8^2)+(F9^2))^0.5</f>
        <v>0.21793506597807305</v>
      </c>
      <c r="G16" s="16">
        <f>+G3/((G3^2)+(G4^2)+(G5^2)+(G6^2)+(G7^2)+(G8^2)+(G9^2))^0.5</f>
        <v>0.24526209614397365</v>
      </c>
      <c r="H16" s="16">
        <f>+H3/((H3^2)+(H4^2)+(H5^2)+(H6^2)+(H7^2)+(H8^2)+(H9^2))^0.5</f>
        <v>0.26310025694002481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71"/>
      <c r="W16" s="17"/>
      <c r="X16" s="17"/>
      <c r="Y16" s="17"/>
      <c r="Z16" s="17"/>
    </row>
    <row r="17" spans="1:45" ht="15.75" thickBot="1" x14ac:dyDescent="0.3">
      <c r="A17" s="3"/>
      <c r="B17" s="3"/>
      <c r="C17" s="95" t="s">
        <v>102</v>
      </c>
      <c r="D17" s="16">
        <f>+D4/((D3^2)+(D4^2)+(D5^2)+(D6^2)+(D7^2)+(D8^2)+(D9^2))^0.5</f>
        <v>0.29472305200378812</v>
      </c>
      <c r="E17" s="16">
        <f>+E4/((E3^2)+(E4^2)+(E5^2)+(E6^2)+(E7^2)+(E8^2)+(E9^2))^0.5</f>
        <v>0.73218876298650015</v>
      </c>
      <c r="F17" s="16">
        <f>+F4/((F3^2)+(F4^2)+(F5^2)+(F6^2)+(F7^2)+(F8^2)+(F9^2))^0.5</f>
        <v>0.17936559499868635</v>
      </c>
      <c r="G17" s="16">
        <f>+G4/((G3^2)+(G4^2)+(G5^2)+(G6^2)+(G7^2)+(G8^2)+(G9^2))^0.5</f>
        <v>0.18350579295909486</v>
      </c>
      <c r="H17" s="16">
        <f>+H4/((H3^2)+(H4^2)+(H5^2)+(H6^2)+(H7^2)+(H8^2)+(H9^2))^0.5</f>
        <v>0.31758846645702615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71"/>
      <c r="W17" s="17"/>
      <c r="X17" s="17"/>
      <c r="Y17" s="17"/>
      <c r="Z17" s="17"/>
    </row>
    <row r="18" spans="1:45" ht="15.75" thickBot="1" x14ac:dyDescent="0.3">
      <c r="A18" s="3"/>
      <c r="B18" s="3"/>
      <c r="C18" s="95" t="s">
        <v>103</v>
      </c>
      <c r="D18" s="16">
        <f>+D5/((D3^2)+(D4^2)+(D5^2)+(D6^2)+(D7^2)+(D8^2)+(D9^2))^0.5</f>
        <v>0.60894623346026155</v>
      </c>
      <c r="E18" s="16">
        <f>+E5/((E3^2)+(E4^2)+(E5^2)+(E6^2)+(E7^2)+(E8^2)+(E9^2))^0.5</f>
        <v>0.40914965282407179</v>
      </c>
      <c r="F18" s="16">
        <f>+F5/((F3^2)+(F4^2)+(F5^2)+(F6^2)+(F7^2)+(F8^2)+(F9^2))^0.5</f>
        <v>0.2358355872216156</v>
      </c>
      <c r="G18" s="16">
        <f>+G5/((G3^2)+(G4^2)+(G5^2)+(G6^2)+(G7^2)+(G8^2)+(G9^2))^0.5</f>
        <v>0.16889547579609859</v>
      </c>
      <c r="H18" s="16">
        <f>+H5/((H3^2)+(H4^2)+(H5^2)+(H6^2)+(H7^2)+(H8^2)+(H9^2))^0.5</f>
        <v>0.13286490426433126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71"/>
      <c r="W18" s="17"/>
      <c r="X18" s="17"/>
      <c r="Y18" s="17"/>
      <c r="Z18" s="17"/>
    </row>
    <row r="19" spans="1:45" ht="15.75" thickBot="1" x14ac:dyDescent="0.3">
      <c r="A19" s="3"/>
      <c r="B19" s="3"/>
      <c r="C19" s="95" t="s">
        <v>104</v>
      </c>
      <c r="D19" s="16">
        <f>+D6/((D3^2)+(D4^2)+(D5^2)+(D6^2)+(D7^2)+(D8^2)+(D9^2))^0.5</f>
        <v>0.45088785253385189</v>
      </c>
      <c r="E19" s="16">
        <f>+E6/((E3^2)+(E4^2)+(E5^2)+(E6^2)+(E7^2)+(E8^2)+(E9^2))^0.5</f>
        <v>0.24334366245513142</v>
      </c>
      <c r="F19" s="16">
        <f>+F6/((F3^2)+(F4^2)+(F5^2)+(F6^2)+(F7^2)+(F8^2)+(F9^2))^0.5</f>
        <v>2.9438189437562885E-2</v>
      </c>
      <c r="G19" s="16">
        <f>+G6/((G3^2)+(G4^2)+(G5^2)+(G6^2)+(G7^2)+(G8^2)+(G9^2))^0.5</f>
        <v>0.56922443680197576</v>
      </c>
      <c r="H19" s="16">
        <f>+H6/((H3^2)+(H4^2)+(H5^2)+(H6^2)+(H7^2)+(H8^2)+(H9^2))^0.5</f>
        <v>0.29852763449948855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71"/>
      <c r="W19" s="17"/>
      <c r="X19" s="17"/>
      <c r="Y19" s="17"/>
      <c r="Z19" s="17"/>
    </row>
    <row r="20" spans="1:45" ht="15.75" thickBot="1" x14ac:dyDescent="0.3">
      <c r="A20" s="3"/>
      <c r="B20" s="3"/>
      <c r="C20" s="95" t="s">
        <v>105</v>
      </c>
      <c r="D20" s="16">
        <f>IFERROR(+D7/((D3^2)+(D4^2)+(D5^2)+(D6^2)+(D7^2)+(D8^2)+(D9^2))^0.5,"")</f>
        <v>0.13861473639626493</v>
      </c>
      <c r="E20" s="16">
        <f>+E7/((E3^2)+(E4^2)+(E5^2)+(E6^2)+(E7^2)+(E8^2)+(E9^2))^0.5</f>
        <v>0.2066186917181691</v>
      </c>
      <c r="F20" s="16">
        <f>+F7/((F3^2)+(F4^2)+(F5^2)+(F6^2)+(F7^2)+(F8^2)+(F9^2))^0.5</f>
        <v>0.8810890099572608</v>
      </c>
      <c r="G20" s="16">
        <f>+G7/((G3^2)+(G4^2)+(G5^2)+(G6^2)+(G7^2)+(G8^2)+(G9^2))^0.5</f>
        <v>0.22439771187800558</v>
      </c>
      <c r="H20" s="16">
        <f>+H7/((H3^2)+(H4^2)+(H5^2)+(H6^2)+(H7^2)+(H8^2)+(H9^2))^0.5</f>
        <v>0.38021160275774873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71"/>
      <c r="W20" s="17"/>
      <c r="X20" s="17"/>
      <c r="Y20" s="17"/>
      <c r="Z20" s="17"/>
    </row>
    <row r="21" spans="1:45" ht="15.75" thickBot="1" x14ac:dyDescent="0.3">
      <c r="A21" s="3"/>
      <c r="B21" s="3"/>
      <c r="C21" s="95" t="s">
        <v>106</v>
      </c>
      <c r="D21" s="16">
        <f>+D8/((D3^2)+(D4^2)+(D5^2)+(D6^2)+(D7^2)+(D8^2)+(D9^2))^0.5</f>
        <v>0.20745696122933494</v>
      </c>
      <c r="E21" s="16">
        <f>+E8/((E3^2)+(E4^2)+(E5^2)+(E6^2)+(E7^2)+(E8^2)+(E9^2))^0.5</f>
        <v>6.7645089823245033E-2</v>
      </c>
      <c r="F21" s="16">
        <f>+F8/((F3^2)+(F4^2)+(F5^2)+(F6^2)+(F7^2)+(F8^2)+(F9^2))^0.5</f>
        <v>0.24549835594401193</v>
      </c>
      <c r="G21" s="16">
        <f>+G8/((G3^2)+(G4^2)+(G5^2)+(G6^2)+(G7^2)+(G8^2)+(G9^2))^0.5</f>
        <v>0.70075051814475353</v>
      </c>
      <c r="H21" s="16">
        <f>+H8/((H3^2)+(H4^2)+(H5^2)+(H6^2)+(H7^2)+(H8^2)+(H9^2))^0.5</f>
        <v>0.39121606205635945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71"/>
      <c r="W21" s="17"/>
      <c r="X21" s="17"/>
      <c r="Y21" s="17"/>
      <c r="Z21" s="17"/>
    </row>
    <row r="22" spans="1:45" x14ac:dyDescent="0.25">
      <c r="A22" s="3"/>
      <c r="B22" s="3"/>
      <c r="C22" s="95" t="s">
        <v>107</v>
      </c>
      <c r="D22" s="16">
        <f>+D9/((D3^2)+(D4^2)+(D5^2)+(D6^2)+(D7^2)+(D8^2)+(D9^2))^0.5</f>
        <v>0.22989390862637515</v>
      </c>
      <c r="E22" s="16">
        <f>+E9/((E3^2)+(E4^2)+(E5^2)+(E6^2)+(E7^2)+(E8^2)+(E9^2))^0.5</f>
        <v>0.34464856016168777</v>
      </c>
      <c r="F22" s="16">
        <f>+F9/((F3^2)+(F4^2)+(F5^2)+(F6^2)+(F7^2)+(F8^2)+(F9^2))^0.5</f>
        <v>0.16510594450744473</v>
      </c>
      <c r="G22" s="16">
        <f>+G9/((G3^2)+(G4^2)+(G5^2)+(G6^2)+(G7^2)+(G8^2)+(G9^2))^0.5</f>
        <v>0.11056385111046023</v>
      </c>
      <c r="H22" s="16">
        <f>+H9/((H3^2)+(H4^2)+(H5^2)+(H6^2)+(H7^2)+(H8^2)+(H9^2))^0.5</f>
        <v>0.65232899624655327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71"/>
      <c r="W22" s="17"/>
      <c r="X22" s="17"/>
      <c r="Y22" s="17"/>
      <c r="Z22" s="17"/>
    </row>
    <row r="23" spans="1:45" x14ac:dyDescent="0.25">
      <c r="A23" s="3"/>
      <c r="B23" s="3"/>
      <c r="C23" s="90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71"/>
      <c r="W23" s="17"/>
      <c r="X23" s="17"/>
      <c r="Y23" s="17"/>
      <c r="Z23" s="17"/>
    </row>
    <row r="24" spans="1:45" x14ac:dyDescent="0.25">
      <c r="A24" s="3"/>
      <c r="B24" s="3"/>
      <c r="C24" s="90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71"/>
      <c r="W24" s="17"/>
      <c r="X24" s="17"/>
      <c r="Y24" s="17"/>
      <c r="Z24" s="17"/>
    </row>
    <row r="25" spans="1:45" ht="15.75" thickBot="1" x14ac:dyDescent="0.3">
      <c r="A25" s="3"/>
      <c r="B25" s="3"/>
      <c r="C25" s="9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71"/>
      <c r="X25" s="17"/>
      <c r="Y25" s="17"/>
      <c r="Z25" s="17"/>
    </row>
    <row r="26" spans="1:45" ht="15.75" customHeight="1" thickBot="1" x14ac:dyDescent="0.3">
      <c r="A26" s="3"/>
      <c r="B26" s="3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72" t="s">
        <v>73</v>
      </c>
      <c r="W26" s="99" t="s">
        <v>74</v>
      </c>
      <c r="X26" s="73" t="s">
        <v>75</v>
      </c>
      <c r="Y26" s="73" t="s">
        <v>13</v>
      </c>
      <c r="Z26" s="73"/>
      <c r="AB26" s="64" t="s">
        <v>108</v>
      </c>
      <c r="AC26" s="65" t="s">
        <v>109</v>
      </c>
      <c r="AD26" s="66" t="s">
        <v>110</v>
      </c>
      <c r="AE26" s="67" t="s">
        <v>111</v>
      </c>
      <c r="AF26" s="68" t="s">
        <v>112</v>
      </c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</row>
    <row r="27" spans="1:45" ht="15.75" thickBot="1" x14ac:dyDescent="0.3">
      <c r="A27" s="3"/>
      <c r="B27" s="3"/>
      <c r="C27" s="95" t="s">
        <v>101</v>
      </c>
      <c r="D27" s="74">
        <f>+D16*$AB$27</f>
        <v>0.1119650207066815</v>
      </c>
      <c r="E27" s="74">
        <f>+E16*$AC$27</f>
        <v>5.2941666170080767E-2</v>
      </c>
      <c r="F27" s="74">
        <f>+F16*$AD$27</f>
        <v>2.954012491506736E-2</v>
      </c>
      <c r="G27" s="74">
        <f>+G16*$AE$27</f>
        <v>6.218723267968547E-2</v>
      </c>
      <c r="H27" s="74">
        <f>+H16*$AF$27</f>
        <v>4.628545040159069E-2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99">
        <f>+((D27-$D$40)^2+(E27-$E$40)^2+(F27-$F$40)^2+(G27-$G$40)^2+(H27-$H$40)^2+(I27-$I$40)^2+(J27-$J$40)^2+(K27-$K$40)^2+(L27-$L$40)^2+(M27-$M$40)^2+(N27-$N$40)^2+(O27-$O$40)^2+(P27-$P$40)^2+(Q27-$Q$40)^2+(R27-$R$40)^2+(S27-$S$40)^2+(T27-$T$40)^2+(U27-$U$40)^2)^0.5</f>
        <v>7.0270123612271723E-2</v>
      </c>
      <c r="W27" s="100">
        <f t="shared" ref="W27:W33" si="0">+((D27-$D$39)^2+(E27-$E$39)^2+(F27-$F$39)^2+(G27-$G$39)^2+(H27-$H$39)^2+(I27-$I$39)^2+(J27-$J$39)^2+(K27-$K$39)^2+(L27-$L$39)^2+(M27-$M$39)^2+(N27-$N$39)^2+(O27-$O$39)^2+(P27-$P$39)^2+(Q27-$Q$39)^2+(R27-$R$39)^2+(S27-$S$39)^2+(T27-$T$39)^2+(U27-$U$39)^2)^0.5</f>
        <v>0.20222075162026301</v>
      </c>
      <c r="X27" s="73">
        <f>+W27/(V27+W27)</f>
        <v>0.7421193515111083</v>
      </c>
      <c r="Y27" s="75">
        <f>+RANK(X27,$X$27:$X$36)</f>
        <v>2</v>
      </c>
      <c r="Z27" s="75">
        <f>+X27/MAX($X$27:$X$36)*100</f>
        <v>98.860511472335332</v>
      </c>
      <c r="AA27" s="3" t="s">
        <v>24</v>
      </c>
      <c r="AB27" s="25">
        <f>+AHP_nivel_0!D41</f>
        <v>0.23661190622200035</v>
      </c>
      <c r="AC27" s="26">
        <f>+AHP_nivel_0!E41</f>
        <v>0.19836512455485553</v>
      </c>
      <c r="AD27" s="27">
        <f>+AHP_nivel_0!F41</f>
        <v>0.13554553409059678</v>
      </c>
      <c r="AE27" s="28">
        <f>+AHP_nivel_0!G41</f>
        <v>0.25355419225961578</v>
      </c>
      <c r="AF27" s="28">
        <f>+AHP_nivel_0!H41</f>
        <v>0.1759232428729316</v>
      </c>
    </row>
    <row r="28" spans="1:45" ht="15.75" thickBot="1" x14ac:dyDescent="0.3">
      <c r="A28" s="3"/>
      <c r="B28" s="3"/>
      <c r="C28" s="95" t="s">
        <v>102</v>
      </c>
      <c r="D28" s="74">
        <f t="shared" ref="D28:D33" si="1">+D17*$AB$27</f>
        <v>6.9734983142182044E-2</v>
      </c>
      <c r="E28" s="74">
        <f t="shared" ref="E28:E33" si="2">+E17*$AC$27</f>
        <v>0.14524071516748269</v>
      </c>
      <c r="F28" s="74">
        <f>+F17*$AD$27</f>
        <v>2.4312205371574615E-2</v>
      </c>
      <c r="G28" s="74">
        <f t="shared" ref="G28:G33" si="3">+G17*$AE$27</f>
        <v>4.6528663108703586E-2</v>
      </c>
      <c r="H28" s="74">
        <f t="shared" ref="H28:H33" si="4">+H17*$AF$27</f>
        <v>5.5871192918161304E-2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99">
        <f t="shared" ref="V28:V33" si="5">+((D28-$D$40)^2+(E28-$E$40)^2+(F28-$F$40)^2+(G28-$G$40)^2+(H28-$H$40)^2+(I28-$I$40)^2+(J28-$J$40)^2+(K28-$K$40)^2+(L28-$L$40)^2+(M28-$M$40)^2+(N28-$N$40)^2+(O28-$O$40)^2+(P28-$P$40)^2+(Q28-$Q$40)^2+(R28-$R$40)^2+(S28-$S$40)^2+(T28-$T$40)^2+(U28-$U$40)^2)^0.5</f>
        <v>0.15721318633847284</v>
      </c>
      <c r="W28" s="100">
        <f t="shared" si="0"/>
        <v>0.17629345736542931</v>
      </c>
      <c r="X28" s="73">
        <f>+W28/(V28+W28)</f>
        <v>0.52860553363353169</v>
      </c>
      <c r="Y28" s="75">
        <f t="shared" ref="Y28:Y33" si="6">+RANK(X28,$X$27:$X$36)</f>
        <v>5</v>
      </c>
      <c r="Z28" s="75">
        <f t="shared" ref="Z28:Z33" si="7">+X28/MAX($X$27:$X$36)*100</f>
        <v>70.417532322407681</v>
      </c>
    </row>
    <row r="29" spans="1:45" ht="15.75" thickBot="1" x14ac:dyDescent="0.3">
      <c r="A29" s="3"/>
      <c r="B29" s="3"/>
      <c r="C29" s="95" t="s">
        <v>103</v>
      </c>
      <c r="D29" s="74">
        <f t="shared" si="1"/>
        <v>0.14408392908573975</v>
      </c>
      <c r="E29" s="74">
        <f t="shared" si="2"/>
        <v>8.1161021844022893E-2</v>
      </c>
      <c r="F29" s="74">
        <f t="shared" ref="F29:F33" si="8">+F18*$AD$27</f>
        <v>3.1966460627523403E-2</v>
      </c>
      <c r="G29" s="74">
        <f t="shared" si="3"/>
        <v>4.2824155941783265E-2</v>
      </c>
      <c r="H29" s="74">
        <f t="shared" si="4"/>
        <v>2.3374024822182753E-2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99">
        <f t="shared" si="5"/>
        <v>7.476951489818115E-2</v>
      </c>
      <c r="W29" s="100">
        <f t="shared" si="0"/>
        <v>0.22511606019719094</v>
      </c>
      <c r="X29" s="73">
        <f t="shared" ref="X29:X33" si="9">+W29/(V29+W29)</f>
        <v>0.75067318634981928</v>
      </c>
      <c r="Y29" s="75">
        <f t="shared" si="6"/>
        <v>1</v>
      </c>
      <c r="Z29" s="75">
        <f t="shared" si="7"/>
        <v>100</v>
      </c>
    </row>
    <row r="30" spans="1:45" ht="15.75" thickBot="1" x14ac:dyDescent="0.3">
      <c r="A30" s="3"/>
      <c r="B30" s="3"/>
      <c r="C30" s="95" t="s">
        <v>104</v>
      </c>
      <c r="D30" s="74">
        <f t="shared" si="1"/>
        <v>0.10668543428037888</v>
      </c>
      <c r="E30" s="74">
        <f t="shared" si="2"/>
        <v>4.8270895912546866E-2</v>
      </c>
      <c r="F30" s="74">
        <f t="shared" si="8"/>
        <v>3.9902151099746258E-3</v>
      </c>
      <c r="G30" s="74">
        <f t="shared" si="3"/>
        <v>0.14432924228775967</v>
      </c>
      <c r="H30" s="74">
        <f t="shared" si="4"/>
        <v>5.2517949548335274E-2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99">
        <f t="shared" si="5"/>
        <v>0.13033537704258003</v>
      </c>
      <c r="W30" s="100">
        <f t="shared" si="0"/>
        <v>0.18213876436799384</v>
      </c>
      <c r="X30" s="73">
        <f t="shared" si="9"/>
        <v>0.58289227884835926</v>
      </c>
      <c r="Y30" s="75">
        <f t="shared" si="6"/>
        <v>3</v>
      </c>
      <c r="Z30" s="75">
        <f t="shared" si="7"/>
        <v>77.64927393806326</v>
      </c>
    </row>
    <row r="31" spans="1:45" ht="15.75" thickBot="1" x14ac:dyDescent="0.3">
      <c r="A31" s="3"/>
      <c r="B31" s="3"/>
      <c r="C31" s="95" t="s">
        <v>105</v>
      </c>
      <c r="D31" s="74">
        <f t="shared" si="1"/>
        <v>3.2797897009180337E-2</v>
      </c>
      <c r="E31" s="74">
        <f t="shared" si="2"/>
        <v>4.098594251803591E-2</v>
      </c>
      <c r="F31" s="74">
        <f t="shared" si="8"/>
        <v>0.11942768043601205</v>
      </c>
      <c r="G31" s="74">
        <f t="shared" si="3"/>
        <v>5.6896980580133698E-2</v>
      </c>
      <c r="H31" s="74">
        <f t="shared" si="4"/>
        <v>6.6888058135058021E-2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99">
        <f t="shared" si="5"/>
        <v>0.17087101617300171</v>
      </c>
      <c r="W31" s="100">
        <f t="shared" si="0"/>
        <v>0.16657993574882854</v>
      </c>
      <c r="X31" s="73">
        <f t="shared" si="9"/>
        <v>0.49364191981125716</v>
      </c>
      <c r="Y31" s="75">
        <f t="shared" si="6"/>
        <v>6</v>
      </c>
      <c r="Z31" s="75">
        <f t="shared" si="7"/>
        <v>65.759897754122846</v>
      </c>
    </row>
    <row r="32" spans="1:45" ht="15.75" thickBot="1" x14ac:dyDescent="0.3">
      <c r="A32" s="3"/>
      <c r="B32" s="3"/>
      <c r="C32" s="95" t="s">
        <v>106</v>
      </c>
      <c r="D32" s="74">
        <f t="shared" si="1"/>
        <v>4.9086787055496559E-2</v>
      </c>
      <c r="E32" s="74">
        <f t="shared" si="2"/>
        <v>1.341842666831239E-2</v>
      </c>
      <c r="F32" s="74">
        <f t="shared" si="8"/>
        <v>3.327620577479453E-2</v>
      </c>
      <c r="G32" s="74">
        <f t="shared" si="3"/>
        <v>0.17767823160370022</v>
      </c>
      <c r="H32" s="74">
        <f t="shared" si="4"/>
        <v>6.8823998300932804E-2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99">
        <f t="shared" si="5"/>
        <v>0.18531390650713347</v>
      </c>
      <c r="W32" s="100">
        <f t="shared" si="0"/>
        <v>0.16484726606295202</v>
      </c>
      <c r="X32" s="73">
        <f t="shared" si="9"/>
        <v>0.47077539994802675</v>
      </c>
      <c r="Y32" s="75">
        <f t="shared" si="6"/>
        <v>7</v>
      </c>
      <c r="Z32" s="75">
        <f t="shared" si="7"/>
        <v>62.713762594504331</v>
      </c>
    </row>
    <row r="33" spans="1:26" x14ac:dyDescent="0.25">
      <c r="A33" s="3"/>
      <c r="B33" s="3"/>
      <c r="C33" s="95" t="s">
        <v>107</v>
      </c>
      <c r="D33" s="74">
        <f t="shared" si="1"/>
        <v>5.4395635948912995E-2</v>
      </c>
      <c r="E33" s="74">
        <f t="shared" si="2"/>
        <v>6.8366254564124818E-2</v>
      </c>
      <c r="F33" s="74">
        <f t="shared" si="8"/>
        <v>2.2379373429794028E-2</v>
      </c>
      <c r="G33" s="74">
        <f t="shared" si="3"/>
        <v>2.8033927961425169E-2</v>
      </c>
      <c r="H33" s="74">
        <f t="shared" si="4"/>
        <v>0.11475983243973807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99">
        <f t="shared" si="5"/>
        <v>0.14054458614222534</v>
      </c>
      <c r="W33" s="100">
        <f t="shared" si="0"/>
        <v>0.19541733936813444</v>
      </c>
      <c r="X33" s="73">
        <f t="shared" si="9"/>
        <v>0.58166513681952492</v>
      </c>
      <c r="Y33" s="75">
        <f t="shared" si="6"/>
        <v>4</v>
      </c>
      <c r="Z33" s="75">
        <f t="shared" si="7"/>
        <v>77.485801730563566</v>
      </c>
    </row>
    <row r="34" spans="1:26" x14ac:dyDescent="0.25">
      <c r="A34" s="3"/>
      <c r="B34" s="3"/>
      <c r="C34" s="90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2"/>
      <c r="W34" s="73"/>
      <c r="X34" s="73"/>
      <c r="Y34" s="75"/>
      <c r="Z34" s="75"/>
    </row>
    <row r="35" spans="1:26" x14ac:dyDescent="0.25">
      <c r="A35" s="3"/>
      <c r="B35" s="3"/>
      <c r="C35" s="90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2"/>
      <c r="W35" s="73"/>
      <c r="X35" s="73"/>
      <c r="Y35" s="75"/>
      <c r="Z35" s="75"/>
    </row>
    <row r="36" spans="1:26" x14ac:dyDescent="0.25">
      <c r="A36" s="3"/>
      <c r="B36" s="3"/>
      <c r="C36" s="91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2"/>
      <c r="W36" s="73"/>
      <c r="X36" s="73"/>
      <c r="Y36" s="75"/>
      <c r="Z36" s="75"/>
    </row>
    <row r="37" spans="1:26" x14ac:dyDescent="0.25">
      <c r="A37" s="3"/>
      <c r="B37" s="3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71"/>
      <c r="W37" s="73"/>
      <c r="X37" s="73"/>
      <c r="Y37" s="73"/>
      <c r="Z37" s="73"/>
    </row>
    <row r="38" spans="1:26" x14ac:dyDescent="0.25">
      <c r="A38" s="3"/>
      <c r="B38" s="3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71"/>
      <c r="W38" s="17"/>
      <c r="X38" s="17"/>
      <c r="Y38" s="17"/>
      <c r="Z38" s="17"/>
    </row>
    <row r="39" spans="1:26" x14ac:dyDescent="0.25">
      <c r="A39" s="3"/>
      <c r="B39" s="3"/>
      <c r="C39" s="76" t="s">
        <v>77</v>
      </c>
      <c r="D39" s="77">
        <f>+MIN(D27:D36)</f>
        <v>3.2797897009180337E-2</v>
      </c>
      <c r="E39" s="77">
        <f>+MAX(E27:E36)</f>
        <v>0.14524071516748269</v>
      </c>
      <c r="F39" s="77">
        <f t="shared" ref="F39:H39" si="10">+MAX(F27:F36)</f>
        <v>0.11942768043601205</v>
      </c>
      <c r="G39" s="77">
        <f t="shared" si="10"/>
        <v>0.17767823160370022</v>
      </c>
      <c r="H39" s="77">
        <f t="shared" si="10"/>
        <v>0.11475983243973807</v>
      </c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1"/>
      <c r="X39" s="17"/>
      <c r="Y39" s="17"/>
      <c r="Z39" s="17"/>
    </row>
    <row r="40" spans="1:26" x14ac:dyDescent="0.25">
      <c r="A40" s="3"/>
      <c r="B40" s="3"/>
      <c r="C40" s="76" t="s">
        <v>76</v>
      </c>
      <c r="D40" s="77">
        <f>+MAX(D27:D36)</f>
        <v>0.14408392908573975</v>
      </c>
      <c r="E40" s="77">
        <f>+MIN(E27:E36)</f>
        <v>1.341842666831239E-2</v>
      </c>
      <c r="F40" s="77">
        <f t="shared" ref="F40:H40" si="11">+MIN(F27:F36)</f>
        <v>3.9902151099746258E-3</v>
      </c>
      <c r="G40" s="77">
        <f t="shared" si="11"/>
        <v>2.8033927961425169E-2</v>
      </c>
      <c r="H40" s="77">
        <f t="shared" si="11"/>
        <v>2.3374024822182753E-2</v>
      </c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1"/>
      <c r="X40" s="17"/>
      <c r="Y40" s="17"/>
      <c r="Z40" s="17"/>
    </row>
    <row r="41" spans="1:26" x14ac:dyDescent="0.25">
      <c r="A41" s="3"/>
      <c r="B41" s="3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71"/>
      <c r="X41" s="17"/>
      <c r="Y41" s="17"/>
      <c r="Z41" s="17"/>
    </row>
    <row r="42" spans="1:26" x14ac:dyDescent="0.25">
      <c r="A42" s="3"/>
      <c r="B42" s="3"/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71"/>
      <c r="X42" s="17"/>
      <c r="Y42" s="17"/>
      <c r="Z42" s="17"/>
    </row>
    <row r="43" spans="1:26" x14ac:dyDescent="0.25">
      <c r="A43" s="3"/>
      <c r="B43" s="3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71"/>
      <c r="X43" s="17"/>
      <c r="Y43" s="17"/>
      <c r="Z43" s="17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D1BF32678B8C4396D3503A66DF87E1" ma:contentTypeVersion="16" ma:contentTypeDescription="Criar um novo documento." ma:contentTypeScope="" ma:versionID="c1bb8bb8b09b1ceeb1d47a707044e370">
  <xsd:schema xmlns:xsd="http://www.w3.org/2001/XMLSchema" xmlns:xs="http://www.w3.org/2001/XMLSchema" xmlns:p="http://schemas.microsoft.com/office/2006/metadata/properties" xmlns:ns2="a954443d-5ae2-48c6-ae50-eca34d1c85e4" xmlns:ns3="a9f0dbc0-581d-4a2b-92c9-2b3d5622a776" targetNamespace="http://schemas.microsoft.com/office/2006/metadata/properties" ma:root="true" ma:fieldsID="7849ab7f6d04e0256aef421b43e6a414" ns2:_="" ns3:_="">
    <xsd:import namespace="a954443d-5ae2-48c6-ae50-eca34d1c85e4"/>
    <xsd:import namespace="a9f0dbc0-581d-4a2b-92c9-2b3d5622a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4443d-5ae2-48c6-ae50-eca34d1c8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1d602765-7830-46ba-a66b-13b8df2c5c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f0dbc0-581d-4a2b-92c9-2b3d5622a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6311d6-1b7d-4637-912d-912fefadff1b}" ma:internalName="TaxCatchAll" ma:showField="CatchAllData" ma:web="a9f0dbc0-581d-4a2b-92c9-2b3d5622a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f0dbc0-581d-4a2b-92c9-2b3d5622a776" xsi:nil="true"/>
    <lcf76f155ced4ddcb4097134ff3c332f xmlns="a954443d-5ae2-48c6-ae50-eca34d1c85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FB4C4F-5F93-4938-B75F-590DFEF7D2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2B5DD1-1F8F-4B46-B358-838C6DAF0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4443d-5ae2-48c6-ae50-eca34d1c85e4"/>
    <ds:schemaRef ds:uri="a9f0dbc0-581d-4a2b-92c9-2b3d5622a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166DBE-F6CA-4AE3-AAEE-1EBA11DA963D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71f9d32c-0c2b-4340-b262-499cf52787ca"/>
    <ds:schemaRef ds:uri="http://schemas.openxmlformats.org/package/2006/metadata/core-properties"/>
    <ds:schemaRef ds:uri="137996f3-62b9-40d5-8172-3dbaaf141940"/>
    <ds:schemaRef ds:uri="http://www.w3.org/XML/1998/namespace"/>
    <ds:schemaRef ds:uri="a9f0dbc0-581d-4a2b-92c9-2b3d5622a776"/>
    <ds:schemaRef ds:uri="a954443d-5ae2-48c6-ae50-eca34d1c85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AHP_nivel_0</vt:lpstr>
      <vt:lpstr>AHP_nivel_0 (neutral)</vt:lpstr>
      <vt:lpstr>SAW_nivel_0_minimo</vt:lpstr>
      <vt:lpstr>SAW_nivel_0_máximo</vt:lpstr>
      <vt:lpstr>SAW_nivel_0_máximo (neutral)</vt:lpstr>
      <vt:lpstr>WPM_nivel_0</vt:lpstr>
      <vt:lpstr>WPM_nivel_0 (maximo)</vt:lpstr>
      <vt:lpstr>WPM_nivel_0 (maximo) (neutral)</vt:lpstr>
      <vt:lpstr>TOPSIS_Nivel_0</vt:lpstr>
      <vt:lpstr>TOPSIS_Nivel_0 (neutral)</vt:lpstr>
    </vt:vector>
  </TitlesOfParts>
  <Company>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Monique Borges</cp:lastModifiedBy>
  <dcterms:created xsi:type="dcterms:W3CDTF">2021-10-15T13:56:44Z</dcterms:created>
  <dcterms:modified xsi:type="dcterms:W3CDTF">2026-05-11T15:23:30Z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0x01010011D1BF32678B8C4396D3503A66DF87E1</vt:lpwstr>
  </property>
  <property fmtid="{D5CDD505-2E9C-101B-9397-08002B2CF9AE}" pid="3" name="MediaServiceImageTags">
    <vt:lpwstr/>
  </property>
</Properties>
</file>