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Lauren\article\Plant_Soil\Supporting Information\"/>
    </mc:Choice>
  </mc:AlternateContent>
  <xr:revisionPtr revIDLastSave="0" documentId="13_ncr:1_{589BCD17-F369-4F4C-8883-CDB0665EFDA9}" xr6:coauthVersionLast="47" xr6:coauthVersionMax="47" xr10:uidLastSave="{00000000-0000-0000-0000-000000000000}"/>
  <bookViews>
    <workbookView xWindow="-120" yWindow="-120" windowWidth="29040" windowHeight="15840" activeTab="2" xr2:uid="{73D30264-CE41-4D82-B1BF-ADDA7EC357A9}"/>
    <workbookView xWindow="-120" yWindow="-120" windowWidth="29040" windowHeight="15840" xr2:uid="{7333F8BF-A7FB-4948-901C-6861004F93DB}"/>
  </bookViews>
  <sheets>
    <sheet name="README" sheetId="49" r:id="rId1"/>
    <sheet name="INPUT_DATA" sheetId="50" r:id="rId2"/>
    <sheet name="MODEL" sheetId="51" r:id="rId3"/>
  </sheets>
  <definedNames>
    <definedName name="solver_adj" localSheetId="2" hidden="1">MODEL!$B$25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MODEL!$F$45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51" l="1"/>
  <c r="J37" i="51"/>
  <c r="J38" i="51"/>
  <c r="J39" i="51"/>
  <c r="J40" i="51"/>
  <c r="J35" i="51"/>
  <c r="J30" i="51"/>
  <c r="J31" i="51"/>
  <c r="J32" i="51"/>
  <c r="J33" i="51"/>
  <c r="J34" i="51"/>
  <c r="J29" i="51"/>
  <c r="J24" i="51"/>
  <c r="J25" i="51"/>
  <c r="J26" i="51"/>
  <c r="J27" i="51"/>
  <c r="J28" i="51"/>
  <c r="J23" i="51"/>
  <c r="J18" i="51"/>
  <c r="J19" i="51"/>
  <c r="J20" i="51"/>
  <c r="J21" i="51"/>
  <c r="J22" i="51"/>
  <c r="J17" i="51"/>
  <c r="J12" i="51"/>
  <c r="J13" i="51"/>
  <c r="J14" i="51"/>
  <c r="J15" i="51"/>
  <c r="J16" i="51"/>
  <c r="J11" i="51"/>
  <c r="B20" i="51"/>
  <c r="A46" i="51" l="1"/>
  <c r="A47" i="51"/>
  <c r="A48" i="51"/>
  <c r="A49" i="51"/>
  <c r="A50" i="51"/>
  <c r="B46" i="51"/>
  <c r="B47" i="51"/>
  <c r="B48" i="51"/>
  <c r="B49" i="51"/>
  <c r="B50" i="51"/>
  <c r="B45" i="51"/>
  <c r="A45" i="51"/>
  <c r="B38" i="51"/>
  <c r="B39" i="51"/>
  <c r="B40" i="51"/>
  <c r="B41" i="51"/>
  <c r="B42" i="51"/>
  <c r="A38" i="51"/>
  <c r="A39" i="51"/>
  <c r="A40" i="51"/>
  <c r="A41" i="51"/>
  <c r="A42" i="51"/>
  <c r="B37" i="51"/>
  <c r="A37" i="51"/>
  <c r="B31" i="51"/>
  <c r="B12" i="51"/>
  <c r="B8" i="51"/>
  <c r="B9" i="51" s="1"/>
  <c r="B10" i="51"/>
  <c r="B6" i="51"/>
  <c r="B7" i="51" s="1"/>
  <c r="J6" i="51" l="1"/>
  <c r="J10" i="51"/>
  <c r="J7" i="51"/>
  <c r="J5" i="51"/>
  <c r="J8" i="51"/>
  <c r="J9" i="51"/>
  <c r="B13" i="51"/>
  <c r="AE24" i="51" s="1"/>
  <c r="B11" i="51"/>
  <c r="S21" i="51" s="1"/>
  <c r="AD31" i="51" l="1"/>
  <c r="AE13" i="51"/>
  <c r="AD20" i="51"/>
  <c r="AE31" i="51"/>
  <c r="AD26" i="51"/>
  <c r="M16" i="51"/>
  <c r="M27" i="51"/>
  <c r="M38" i="51"/>
  <c r="N35" i="51"/>
  <c r="N22" i="51"/>
  <c r="R26" i="51"/>
  <c r="R39" i="51"/>
  <c r="S35" i="51"/>
  <c r="S22" i="51"/>
  <c r="AE19" i="51"/>
  <c r="AD15" i="51"/>
  <c r="AD37" i="51"/>
  <c r="AE34" i="51"/>
  <c r="AE40" i="51"/>
  <c r="M15" i="51"/>
  <c r="M26" i="51"/>
  <c r="M36" i="51"/>
  <c r="N33" i="51"/>
  <c r="N19" i="51"/>
  <c r="R36" i="51"/>
  <c r="R11" i="51"/>
  <c r="S39" i="51"/>
  <c r="S24" i="51"/>
  <c r="M9" i="51"/>
  <c r="M20" i="51"/>
  <c r="M31" i="51"/>
  <c r="N20" i="51"/>
  <c r="N10" i="51"/>
  <c r="N6" i="51"/>
  <c r="R12" i="51"/>
  <c r="S33" i="51"/>
  <c r="R25" i="51"/>
  <c r="S40" i="51"/>
  <c r="AD33" i="51"/>
  <c r="AD16" i="51"/>
  <c r="AD11" i="51"/>
  <c r="AE39" i="51"/>
  <c r="AE18" i="51"/>
  <c r="AE36" i="51"/>
  <c r="M11" i="51"/>
  <c r="M22" i="51"/>
  <c r="M32" i="51"/>
  <c r="N21" i="51"/>
  <c r="N11" i="51"/>
  <c r="M7" i="51"/>
  <c r="R34" i="51"/>
  <c r="S29" i="51"/>
  <c r="R23" i="51"/>
  <c r="S38" i="51"/>
  <c r="AE35" i="51"/>
  <c r="AE14" i="51"/>
  <c r="AE29" i="51"/>
  <c r="AD24" i="51"/>
  <c r="AD38" i="51"/>
  <c r="N14" i="51"/>
  <c r="S18" i="51"/>
  <c r="S26" i="51"/>
  <c r="S34" i="51"/>
  <c r="S12" i="51"/>
  <c r="S25" i="51"/>
  <c r="S13" i="51"/>
  <c r="R19" i="51"/>
  <c r="R27" i="51"/>
  <c r="R35" i="51"/>
  <c r="R13" i="51"/>
  <c r="S23" i="51"/>
  <c r="S37" i="51"/>
  <c r="R24" i="51"/>
  <c r="R14" i="51"/>
  <c r="R32" i="51"/>
  <c r="N38" i="51"/>
  <c r="N25" i="51"/>
  <c r="N18" i="51"/>
  <c r="N13" i="51"/>
  <c r="N8" i="51"/>
  <c r="N37" i="51"/>
  <c r="N32" i="51"/>
  <c r="N26" i="51"/>
  <c r="N15" i="51"/>
  <c r="M37" i="51"/>
  <c r="M33" i="51"/>
  <c r="M29" i="51"/>
  <c r="M25" i="51"/>
  <c r="M21" i="51"/>
  <c r="M17" i="51"/>
  <c r="M13" i="51"/>
  <c r="M8" i="51"/>
  <c r="S20" i="51"/>
  <c r="S28" i="51"/>
  <c r="S36" i="51"/>
  <c r="S14" i="51"/>
  <c r="S31" i="51"/>
  <c r="S17" i="51"/>
  <c r="R21" i="51"/>
  <c r="R29" i="51"/>
  <c r="R37" i="51"/>
  <c r="R15" i="51"/>
  <c r="S27" i="51"/>
  <c r="S11" i="51"/>
  <c r="R28" i="51"/>
  <c r="R30" i="51"/>
  <c r="R40" i="51"/>
  <c r="N34" i="51"/>
  <c r="N23" i="51"/>
  <c r="N17" i="51"/>
  <c r="N12" i="51"/>
  <c r="N7" i="51"/>
  <c r="N36" i="51"/>
  <c r="N30" i="51"/>
  <c r="N24" i="51"/>
  <c r="M12" i="51"/>
  <c r="M18" i="51"/>
  <c r="M23" i="51"/>
  <c r="M28" i="51"/>
  <c r="M34" i="51"/>
  <c r="M39" i="51"/>
  <c r="N27" i="51"/>
  <c r="N39" i="51"/>
  <c r="N28" i="51"/>
  <c r="R16" i="51"/>
  <c r="R20" i="51"/>
  <c r="S19" i="51"/>
  <c r="R33" i="51"/>
  <c r="R22" i="51"/>
  <c r="S32" i="51"/>
  <c r="Z11" i="51"/>
  <c r="Z13" i="51"/>
  <c r="Z15" i="51"/>
  <c r="Z17" i="51"/>
  <c r="Z19" i="51"/>
  <c r="Z21" i="51"/>
  <c r="Z23" i="51"/>
  <c r="Z25" i="51"/>
  <c r="Z27" i="51"/>
  <c r="Z29" i="51"/>
  <c r="Z31" i="51"/>
  <c r="Z33" i="51"/>
  <c r="Z35" i="51"/>
  <c r="Z37" i="51"/>
  <c r="Z39" i="51"/>
  <c r="Z14" i="51"/>
  <c r="Z16" i="51"/>
  <c r="Z20" i="51"/>
  <c r="Z24" i="51"/>
  <c r="Z28" i="51"/>
  <c r="Z32" i="51"/>
  <c r="Z36" i="51"/>
  <c r="Z40" i="51"/>
  <c r="Y11" i="51"/>
  <c r="Y15" i="51"/>
  <c r="Y19" i="51"/>
  <c r="Y23" i="51"/>
  <c r="Y27" i="51"/>
  <c r="Y31" i="51"/>
  <c r="Y35" i="51"/>
  <c r="Y12" i="51"/>
  <c r="Y14" i="51"/>
  <c r="Y16" i="51"/>
  <c r="Y18" i="51"/>
  <c r="Y20" i="51"/>
  <c r="Y22" i="51"/>
  <c r="Y24" i="51"/>
  <c r="Y26" i="51"/>
  <c r="Y28" i="51"/>
  <c r="Y30" i="51"/>
  <c r="Y32" i="51"/>
  <c r="Y34" i="51"/>
  <c r="Y36" i="51"/>
  <c r="Y38" i="51"/>
  <c r="Y40" i="51"/>
  <c r="Z12" i="51"/>
  <c r="Z18" i="51"/>
  <c r="Z22" i="51"/>
  <c r="Z26" i="51"/>
  <c r="Z30" i="51"/>
  <c r="Z34" i="51"/>
  <c r="Z38" i="51"/>
  <c r="Y13" i="51"/>
  <c r="Y17" i="51"/>
  <c r="Y21" i="51"/>
  <c r="Y25" i="51"/>
  <c r="Y29" i="51"/>
  <c r="Y33" i="51"/>
  <c r="Y37" i="51"/>
  <c r="Y39" i="51"/>
  <c r="AE12" i="51"/>
  <c r="AE28" i="51"/>
  <c r="AD14" i="51"/>
  <c r="AD30" i="51"/>
  <c r="AE22" i="51"/>
  <c r="AE38" i="51"/>
  <c r="AD32" i="51"/>
  <c r="AD21" i="51"/>
  <c r="AE17" i="51"/>
  <c r="AE33" i="51"/>
  <c r="AD19" i="51"/>
  <c r="AD35" i="51"/>
  <c r="AD28" i="51"/>
  <c r="AE23" i="51"/>
  <c r="AD13" i="51"/>
  <c r="AE16" i="51"/>
  <c r="AE32" i="51"/>
  <c r="AD18" i="51"/>
  <c r="AD34" i="51"/>
  <c r="AE26" i="51"/>
  <c r="AD12" i="51"/>
  <c r="AD40" i="51"/>
  <c r="AD29" i="51"/>
  <c r="AE21" i="51"/>
  <c r="AE37" i="51"/>
  <c r="AD23" i="51"/>
  <c r="AD39" i="51"/>
  <c r="AD36" i="51"/>
  <c r="AE27" i="51"/>
  <c r="AD17" i="51"/>
  <c r="M14" i="51"/>
  <c r="M19" i="51"/>
  <c r="M24" i="51"/>
  <c r="M30" i="51"/>
  <c r="M35" i="51"/>
  <c r="M40" i="51"/>
  <c r="N29" i="51"/>
  <c r="N40" i="51"/>
  <c r="N16" i="51"/>
  <c r="N31" i="51"/>
  <c r="R38" i="51"/>
  <c r="S15" i="51"/>
  <c r="R17" i="51"/>
  <c r="R31" i="51"/>
  <c r="R18" i="51"/>
  <c r="S16" i="51"/>
  <c r="S30" i="51"/>
  <c r="AD25" i="51"/>
  <c r="AE11" i="51"/>
  <c r="AD27" i="51"/>
  <c r="AE25" i="51"/>
  <c r="AE15" i="51"/>
  <c r="AE30" i="51"/>
  <c r="AD22" i="51"/>
  <c r="AE20" i="51"/>
  <c r="M5" i="51"/>
  <c r="S5" i="51"/>
  <c r="Y5" i="51"/>
  <c r="Z5" i="51"/>
  <c r="AE5" i="51"/>
  <c r="AD5" i="51"/>
  <c r="R5" i="51"/>
  <c r="S7" i="51"/>
  <c r="Z7" i="51"/>
  <c r="R7" i="51"/>
  <c r="AE7" i="51"/>
  <c r="Y7" i="51"/>
  <c r="AD7" i="51"/>
  <c r="R9" i="51"/>
  <c r="AD9" i="51"/>
  <c r="Y9" i="51"/>
  <c r="AE9" i="51"/>
  <c r="Z9" i="51"/>
  <c r="S9" i="51"/>
  <c r="AE10" i="51"/>
  <c r="Y10" i="51"/>
  <c r="S10" i="51"/>
  <c r="Z10" i="51"/>
  <c r="AD10" i="51"/>
  <c r="R10" i="51"/>
  <c r="M10" i="51"/>
  <c r="N9" i="51"/>
  <c r="AD8" i="51"/>
  <c r="Y8" i="51"/>
  <c r="R8" i="51"/>
  <c r="Z8" i="51"/>
  <c r="AE8" i="51"/>
  <c r="S8" i="51"/>
  <c r="AE6" i="51"/>
  <c r="Y6" i="51"/>
  <c r="S6" i="51"/>
  <c r="M6" i="51"/>
  <c r="Z6" i="51"/>
  <c r="AD6" i="51"/>
  <c r="R6" i="51"/>
  <c r="N5" i="51"/>
  <c r="B30" i="51"/>
  <c r="L5" i="51" l="1"/>
  <c r="L7" i="51"/>
  <c r="L9" i="51"/>
  <c r="L13" i="51"/>
  <c r="L17" i="51"/>
  <c r="L21" i="51"/>
  <c r="L25" i="51"/>
  <c r="L29" i="51"/>
  <c r="L33" i="51"/>
  <c r="L37" i="51"/>
  <c r="L11" i="51"/>
  <c r="L15" i="51"/>
  <c r="L23" i="51"/>
  <c r="L31" i="51"/>
  <c r="L39" i="51"/>
  <c r="L8" i="51"/>
  <c r="L16" i="51"/>
  <c r="L24" i="51"/>
  <c r="L32" i="51"/>
  <c r="L40" i="51"/>
  <c r="L6" i="51"/>
  <c r="L10" i="51"/>
  <c r="L14" i="51"/>
  <c r="L18" i="51"/>
  <c r="L22" i="51"/>
  <c r="L26" i="51"/>
  <c r="L30" i="51"/>
  <c r="L34" i="51"/>
  <c r="L38" i="51"/>
  <c r="L19" i="51"/>
  <c r="L27" i="51"/>
  <c r="L35" i="51"/>
  <c r="L12" i="51"/>
  <c r="L20" i="51"/>
  <c r="L28" i="51"/>
  <c r="L36" i="51"/>
  <c r="O5" i="51"/>
  <c r="O12" i="51" l="1"/>
  <c r="AC12" i="51"/>
  <c r="AF12" i="51" s="1"/>
  <c r="X12" i="51"/>
  <c r="AA12" i="51" s="1"/>
  <c r="Q12" i="51"/>
  <c r="T12" i="51" s="1"/>
  <c r="O38" i="51"/>
  <c r="X38" i="51"/>
  <c r="AA38" i="51" s="1"/>
  <c r="AC38" i="51"/>
  <c r="AF38" i="51" s="1"/>
  <c r="Q38" i="51"/>
  <c r="T38" i="51" s="1"/>
  <c r="O22" i="51"/>
  <c r="X22" i="51"/>
  <c r="AA22" i="51" s="1"/>
  <c r="AC22" i="51"/>
  <c r="AF22" i="51" s="1"/>
  <c r="Q22" i="51"/>
  <c r="T22" i="51" s="1"/>
  <c r="X6" i="51"/>
  <c r="AA6" i="51" s="1"/>
  <c r="AC6" i="51"/>
  <c r="AF6" i="51" s="1"/>
  <c r="Q6" i="51"/>
  <c r="T6" i="51" s="1"/>
  <c r="O16" i="51"/>
  <c r="AC16" i="51"/>
  <c r="AF16" i="51" s="1"/>
  <c r="X16" i="51"/>
  <c r="AA16" i="51" s="1"/>
  <c r="Q16" i="51"/>
  <c r="T16" i="51" s="1"/>
  <c r="O23" i="51"/>
  <c r="X23" i="51"/>
  <c r="AA23" i="51" s="1"/>
  <c r="AC23" i="51"/>
  <c r="AF23" i="51" s="1"/>
  <c r="Q23" i="51"/>
  <c r="T23" i="51" s="1"/>
  <c r="O33" i="51"/>
  <c r="X33" i="51"/>
  <c r="AA33" i="51" s="1"/>
  <c r="AC33" i="51"/>
  <c r="AF33" i="51" s="1"/>
  <c r="Q33" i="51"/>
  <c r="T33" i="51" s="1"/>
  <c r="O17" i="51"/>
  <c r="X17" i="51"/>
  <c r="AA17" i="51" s="1"/>
  <c r="AC17" i="51"/>
  <c r="AF17" i="51" s="1"/>
  <c r="Q17" i="51"/>
  <c r="T17" i="51" s="1"/>
  <c r="Q7" i="51"/>
  <c r="T7" i="51" s="1"/>
  <c r="X7" i="51"/>
  <c r="AA7" i="51" s="1"/>
  <c r="AC7" i="51"/>
  <c r="AF7" i="51" s="1"/>
  <c r="O36" i="51"/>
  <c r="AC36" i="51"/>
  <c r="AF36" i="51" s="1"/>
  <c r="X36" i="51"/>
  <c r="AA36" i="51" s="1"/>
  <c r="Q36" i="51"/>
  <c r="T36" i="51" s="1"/>
  <c r="O35" i="51"/>
  <c r="X35" i="51"/>
  <c r="AA35" i="51" s="1"/>
  <c r="AC35" i="51"/>
  <c r="AF35" i="51" s="1"/>
  <c r="Q35" i="51"/>
  <c r="T35" i="51" s="1"/>
  <c r="O34" i="51"/>
  <c r="X34" i="51"/>
  <c r="AA34" i="51" s="1"/>
  <c r="AC34" i="51"/>
  <c r="AF34" i="51" s="1"/>
  <c r="Q34" i="51"/>
  <c r="T34" i="51" s="1"/>
  <c r="O18" i="51"/>
  <c r="X18" i="51"/>
  <c r="AA18" i="51" s="1"/>
  <c r="AC18" i="51"/>
  <c r="AF18" i="51" s="1"/>
  <c r="Q18" i="51"/>
  <c r="T18" i="51" s="1"/>
  <c r="O40" i="51"/>
  <c r="AC40" i="51"/>
  <c r="AF40" i="51" s="1"/>
  <c r="X40" i="51"/>
  <c r="AA40" i="51" s="1"/>
  <c r="Q40" i="51"/>
  <c r="T40" i="51" s="1"/>
  <c r="AC8" i="51"/>
  <c r="AF8" i="51" s="1"/>
  <c r="X8" i="51"/>
  <c r="AA8" i="51" s="1"/>
  <c r="Q8" i="51"/>
  <c r="T8" i="51" s="1"/>
  <c r="O15" i="51"/>
  <c r="X15" i="51"/>
  <c r="AA15" i="51" s="1"/>
  <c r="AC15" i="51"/>
  <c r="AF15" i="51" s="1"/>
  <c r="Q15" i="51"/>
  <c r="T15" i="51" s="1"/>
  <c r="O29" i="51"/>
  <c r="X29" i="51"/>
  <c r="AA29" i="51" s="1"/>
  <c r="Q29" i="51"/>
  <c r="T29" i="51" s="1"/>
  <c r="AC29" i="51"/>
  <c r="AF29" i="51" s="1"/>
  <c r="O13" i="51"/>
  <c r="X13" i="51"/>
  <c r="AA13" i="51" s="1"/>
  <c r="AC13" i="51"/>
  <c r="AF13" i="51" s="1"/>
  <c r="Q13" i="51"/>
  <c r="T13" i="51" s="1"/>
  <c r="O28" i="51"/>
  <c r="AC28" i="51"/>
  <c r="AF28" i="51" s="1"/>
  <c r="X28" i="51"/>
  <c r="AA28" i="51" s="1"/>
  <c r="Q28" i="51"/>
  <c r="T28" i="51" s="1"/>
  <c r="O27" i="51"/>
  <c r="X27" i="51"/>
  <c r="AA27" i="51" s="1"/>
  <c r="AC27" i="51"/>
  <c r="AF27" i="51" s="1"/>
  <c r="Q27" i="51"/>
  <c r="T27" i="51" s="1"/>
  <c r="O30" i="51"/>
  <c r="X30" i="51"/>
  <c r="AA30" i="51" s="1"/>
  <c r="AC30" i="51"/>
  <c r="AF30" i="51" s="1"/>
  <c r="Q30" i="51"/>
  <c r="T30" i="51" s="1"/>
  <c r="O14" i="51"/>
  <c r="X14" i="51"/>
  <c r="AA14" i="51" s="1"/>
  <c r="AC14" i="51"/>
  <c r="AF14" i="51" s="1"/>
  <c r="Q14" i="51"/>
  <c r="T14" i="51" s="1"/>
  <c r="O32" i="51"/>
  <c r="AC32" i="51"/>
  <c r="AF32" i="51" s="1"/>
  <c r="X32" i="51"/>
  <c r="AA32" i="51" s="1"/>
  <c r="Q32" i="51"/>
  <c r="T32" i="51" s="1"/>
  <c r="O39" i="51"/>
  <c r="X39" i="51"/>
  <c r="AA39" i="51" s="1"/>
  <c r="AC39" i="51"/>
  <c r="AF39" i="51" s="1"/>
  <c r="Q39" i="51"/>
  <c r="T39" i="51" s="1"/>
  <c r="O11" i="51"/>
  <c r="X11" i="51"/>
  <c r="AA11" i="51" s="1"/>
  <c r="AC11" i="51"/>
  <c r="AF11" i="51" s="1"/>
  <c r="Q11" i="51"/>
  <c r="T11" i="51" s="1"/>
  <c r="O25" i="51"/>
  <c r="X25" i="51"/>
  <c r="AA25" i="51" s="1"/>
  <c r="Q25" i="51"/>
  <c r="T25" i="51" s="1"/>
  <c r="AC25" i="51"/>
  <c r="AF25" i="51" s="1"/>
  <c r="X9" i="51"/>
  <c r="AA9" i="51" s="1"/>
  <c r="AC9" i="51"/>
  <c r="AF9" i="51" s="1"/>
  <c r="Q9" i="51"/>
  <c r="T9" i="51" s="1"/>
  <c r="AC5" i="51"/>
  <c r="AF5" i="51" s="1"/>
  <c r="X5" i="51"/>
  <c r="AA5" i="51" s="1"/>
  <c r="O20" i="51"/>
  <c r="AC20" i="51"/>
  <c r="AF20" i="51" s="1"/>
  <c r="X20" i="51"/>
  <c r="AA20" i="51" s="1"/>
  <c r="Q20" i="51"/>
  <c r="T20" i="51" s="1"/>
  <c r="O19" i="51"/>
  <c r="X19" i="51"/>
  <c r="AA19" i="51" s="1"/>
  <c r="AC19" i="51"/>
  <c r="AF19" i="51" s="1"/>
  <c r="Q19" i="51"/>
  <c r="T19" i="51" s="1"/>
  <c r="O26" i="51"/>
  <c r="X26" i="51"/>
  <c r="AA26" i="51" s="1"/>
  <c r="AC26" i="51"/>
  <c r="AF26" i="51" s="1"/>
  <c r="Q26" i="51"/>
  <c r="T26" i="51" s="1"/>
  <c r="X10" i="51"/>
  <c r="AA10" i="51" s="1"/>
  <c r="Q10" i="51"/>
  <c r="T10" i="51" s="1"/>
  <c r="AC10" i="51"/>
  <c r="AF10" i="51" s="1"/>
  <c r="O24" i="51"/>
  <c r="AC24" i="51"/>
  <c r="AF24" i="51" s="1"/>
  <c r="X24" i="51"/>
  <c r="AA24" i="51" s="1"/>
  <c r="Q24" i="51"/>
  <c r="T24" i="51" s="1"/>
  <c r="O31" i="51"/>
  <c r="X31" i="51"/>
  <c r="AA31" i="51" s="1"/>
  <c r="Q31" i="51"/>
  <c r="T31" i="51" s="1"/>
  <c r="AC31" i="51"/>
  <c r="AF31" i="51" s="1"/>
  <c r="O37" i="51"/>
  <c r="X37" i="51"/>
  <c r="AA37" i="51" s="1"/>
  <c r="Q37" i="51"/>
  <c r="T37" i="51" s="1"/>
  <c r="AC37" i="51"/>
  <c r="AF37" i="51" s="1"/>
  <c r="O21" i="51"/>
  <c r="X21" i="51"/>
  <c r="AA21" i="51" s="1"/>
  <c r="Q21" i="51"/>
  <c r="T21" i="51" s="1"/>
  <c r="AC21" i="51"/>
  <c r="AF21" i="51" s="1"/>
  <c r="Q5" i="51"/>
  <c r="T5" i="51" s="1"/>
  <c r="O8" i="51"/>
  <c r="O6" i="51"/>
  <c r="O9" i="51"/>
  <c r="O7" i="51"/>
  <c r="O10" i="51"/>
  <c r="P11" i="51" l="1"/>
  <c r="AB11" i="51"/>
  <c r="P17" i="51"/>
  <c r="P35" i="51"/>
  <c r="U17" i="51"/>
  <c r="U23" i="51"/>
  <c r="P23" i="51"/>
  <c r="P29" i="51"/>
  <c r="AB29" i="51"/>
  <c r="U35" i="51"/>
  <c r="AG17" i="51"/>
  <c r="AG23" i="51"/>
  <c r="U11" i="51"/>
  <c r="AG29" i="51"/>
  <c r="AG35" i="51"/>
  <c r="AB17" i="51"/>
  <c r="AB23" i="51"/>
  <c r="AG11" i="51"/>
  <c r="U29" i="51"/>
  <c r="AB35" i="51"/>
  <c r="U5" i="51"/>
  <c r="P5" i="51"/>
  <c r="V11" i="51" l="1"/>
  <c r="C38" i="51" s="1"/>
  <c r="D38" i="51" s="1"/>
  <c r="V5" i="51"/>
  <c r="C37" i="51" s="1"/>
  <c r="D37" i="51" s="1"/>
  <c r="AH11" i="51"/>
  <c r="C46" i="51" s="1"/>
  <c r="D46" i="51" s="1"/>
  <c r="AH29" i="51"/>
  <c r="C49" i="51" s="1"/>
  <c r="D49" i="51" s="1"/>
  <c r="V35" i="51"/>
  <c r="C42" i="51" s="1"/>
  <c r="D42" i="51" s="1"/>
  <c r="V17" i="51"/>
  <c r="C39" i="51" s="1"/>
  <c r="D39" i="51" s="1"/>
  <c r="V23" i="51"/>
  <c r="C40" i="51" s="1"/>
  <c r="D40" i="51" s="1"/>
  <c r="V29" i="51"/>
  <c r="C41" i="51" s="1"/>
  <c r="D41" i="51" s="1"/>
  <c r="AH23" i="51"/>
  <c r="C48" i="51" s="1"/>
  <c r="D48" i="51" s="1"/>
  <c r="AH35" i="51"/>
  <c r="C50" i="51" s="1"/>
  <c r="D50" i="51" s="1"/>
  <c r="AH17" i="51"/>
  <c r="C47" i="51" s="1"/>
  <c r="D47" i="51" s="1"/>
  <c r="AG5" i="51"/>
  <c r="AB5" i="51" l="1"/>
  <c r="AH5" i="51" s="1"/>
  <c r="C45" i="51" s="1"/>
  <c r="D45" i="51" s="1"/>
  <c r="E45" i="51" s="1"/>
  <c r="E37" i="51"/>
  <c r="F45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</author>
  </authors>
  <commentList>
    <comment ref="A7" authorId="0" shapeId="0" xr:uid="{AAEF24C3-0F6D-4A55-A098-20ADB189AA7D}">
      <text>
        <r>
          <rPr>
            <sz val="9"/>
            <color indexed="81"/>
            <rFont val="Tahoma"/>
            <family val="2"/>
          </rPr>
          <t>l_equivalent = l * (Radius_piston /radius_opening)^2 = l * Area_piston /area_opening
area piston (radius 0.0125 cm)=0.000491m^2
area_opening (radius 0.009 m)=0.000254m^2</t>
        </r>
      </text>
    </comment>
  </commentList>
</comments>
</file>

<file path=xl/sharedStrings.xml><?xml version="1.0" encoding="utf-8"?>
<sst xmlns="http://schemas.openxmlformats.org/spreadsheetml/2006/main" count="161" uniqueCount="98">
  <si>
    <t>Description</t>
  </si>
  <si>
    <t>Value</t>
  </si>
  <si>
    <t>Time (s)</t>
  </si>
  <si>
    <t>Formula</t>
  </si>
  <si>
    <r>
      <t>Constraint:</t>
    </r>
    <r>
      <rPr>
        <sz val="11"/>
        <color theme="1"/>
        <rFont val="Calibri"/>
        <family val="2"/>
        <scheme val="minor"/>
      </rPr>
      <t xml:space="preserve"> None (unless you want to restrict the range of </t>
    </r>
    <r>
      <rPr>
        <sz val="10"/>
        <color theme="1"/>
        <rFont val="Arial Unicode MS"/>
      </rPr>
      <t>Kadsprime</t>
    </r>
    <r>
      <rPr>
        <sz val="11"/>
        <color theme="1"/>
        <rFont val="Calibri"/>
        <family val="2"/>
        <scheme val="minor"/>
      </rPr>
      <t>)</t>
    </r>
  </si>
  <si>
    <t>Exponential term in Sum 1</t>
  </si>
  <si>
    <t>Error function (erfc) term in Sum 1</t>
  </si>
  <si>
    <t>n</t>
  </si>
  <si>
    <t>First term in Sum 1</t>
  </si>
  <si>
    <t>Squared Error (for a time point)=(Experimental Concentration - cMz)^2</t>
  </si>
  <si>
    <t xml:space="preserve">nmax </t>
  </si>
  <si>
    <t>4. Sum 1 and Sum 2 Calculation</t>
  </si>
  <si>
    <t>Total Sum 1</t>
  </si>
  <si>
    <t xml:space="preserve">Total Sum 2 </t>
  </si>
  <si>
    <t xml:space="preserve">cMz single </t>
  </si>
  <si>
    <t xml:space="preserve">cMz double </t>
  </si>
  <si>
    <t>Squared error single</t>
  </si>
  <si>
    <t>Total Sum of Squared Errors (single and double)</t>
  </si>
  <si>
    <t>Total Sum of Squared Errors single</t>
  </si>
  <si>
    <t>Total Sum of Squared Errors double</t>
  </si>
  <si>
    <t xml:space="preserve">K'ads </t>
  </si>
  <si>
    <t>Squared error double</t>
  </si>
  <si>
    <t>DMs_effective</t>
  </si>
  <si>
    <r>
      <rPr>
        <sz val="10"/>
        <color theme="1"/>
        <rFont val="Tahoma"/>
        <family val="2"/>
      </rPr>
      <t>φ</t>
    </r>
    <r>
      <rPr>
        <sz val="10"/>
        <color theme="1"/>
        <rFont val="Arial Unicode MS"/>
      </rPr>
      <t>s_effective</t>
    </r>
  </si>
  <si>
    <t>Analytical Sol.</t>
  </si>
  <si>
    <t>cMz1</t>
  </si>
  <si>
    <t>cMz2</t>
  </si>
  <si>
    <t>cMz3</t>
  </si>
  <si>
    <t>cMz4</t>
  </si>
  <si>
    <t>cMz5</t>
  </si>
  <si>
    <t>cMz6</t>
  </si>
  <si>
    <t>cMz7</t>
  </si>
  <si>
    <t>cMz8</t>
  </si>
  <si>
    <t>cMz9</t>
  </si>
  <si>
    <t>Parameter</t>
  </si>
  <si>
    <t>Unit</t>
  </si>
  <si>
    <t>m²/s</t>
  </si>
  <si>
    <t>m</t>
  </si>
  <si>
    <t>m²</t>
  </si>
  <si>
    <t xml:space="preserve">deltag </t>
  </si>
  <si>
    <t xml:space="preserve">deltaf </t>
  </si>
  <si>
    <t xml:space="preserve">l_equivalent </t>
  </si>
  <si>
    <t>l double</t>
  </si>
  <si>
    <t xml:space="preserve">l_equivalent double </t>
  </si>
  <si>
    <t xml:space="preserve">z </t>
  </si>
  <si>
    <t xml:space="preserve">z_equivalent </t>
  </si>
  <si>
    <t>z double</t>
  </si>
  <si>
    <t xml:space="preserve">z_equivalent double </t>
  </si>
  <si>
    <r>
      <t xml:space="preserve">Original </t>
    </r>
    <r>
      <rPr>
        <sz val="10"/>
        <color theme="1"/>
        <rFont val="Tahoma"/>
        <family val="2"/>
      </rPr>
      <t>φ</t>
    </r>
    <r>
      <rPr>
        <sz val="10"/>
        <color theme="1"/>
        <rFont val="Arial Unicode MS"/>
      </rPr>
      <t>s</t>
    </r>
  </si>
  <si>
    <t>DMg</t>
  </si>
  <si>
    <t xml:space="preserve">cMStar </t>
  </si>
  <si>
    <t xml:space="preserve">Area piston </t>
  </si>
  <si>
    <t xml:space="preserve">Area opening </t>
  </si>
  <si>
    <t xml:space="preserve">OriginalDMs </t>
  </si>
  <si>
    <t>DET concentration experimental (µg L⁻¹)</t>
  </si>
  <si>
    <t>josep.galceran@udl.cat</t>
  </si>
  <si>
    <t>none</t>
  </si>
  <si>
    <t>l (physically real))</t>
  </si>
  <si>
    <t>A cell with yellow background should not be modified unless you want to modify its formula</t>
  </si>
  <si>
    <t xml:space="preserve">φg </t>
  </si>
  <si>
    <t>currently nmax=5 terms are taken. If  cell O10 is not negligible in front of O5, then, more terms should be added (new rows below row10)</t>
  </si>
  <si>
    <t>cMz_modelled_single</t>
  </si>
  <si>
    <t>cMz_modelled_double</t>
  </si>
  <si>
    <t>DET concentration (Experimental) single</t>
  </si>
  <si>
    <t>DET concentration (Experimental) double</t>
  </si>
  <si>
    <t>1. Constants  Parameters (please, input or check parameters in cells with white background)</t>
  </si>
  <si>
    <r>
      <t xml:space="preserve">2. Initial Guess for </t>
    </r>
    <r>
      <rPr>
        <b/>
        <sz val="10"/>
        <color theme="1"/>
        <rFont val="Arial Unicode MS"/>
      </rPr>
      <t>Kadsprime</t>
    </r>
    <r>
      <rPr>
        <b/>
        <sz val="12"/>
        <color theme="1"/>
        <rFont val="Calibri"/>
        <family val="2"/>
        <scheme val="minor"/>
      </rPr>
      <t xml:space="preserve"> (please, start with a reasonable value in B25)</t>
    </r>
  </si>
  <si>
    <r>
      <t xml:space="preserve">3. Calculated Variables based on </t>
    </r>
    <r>
      <rPr>
        <b/>
        <sz val="10"/>
        <color theme="1"/>
        <rFont val="Arial Unicode MS"/>
      </rPr>
      <t>Kadsprime</t>
    </r>
    <r>
      <rPr>
        <b/>
        <sz val="12"/>
        <color theme="1"/>
        <rFont val="Calibri"/>
        <family val="2"/>
        <scheme val="minor"/>
      </rPr>
      <t xml:space="preserve"> (automatically done)</t>
    </r>
  </si>
  <si>
    <r>
      <t>Please, in menu Data, Solver,  Set Objective:</t>
    </r>
    <r>
      <rPr>
        <sz val="11"/>
        <color theme="1"/>
        <rFont val="Calibri"/>
        <family val="2"/>
        <scheme val="minor"/>
      </rPr>
      <t xml:space="preserve"> Minimize cell  $</t>
    </r>
    <r>
      <rPr>
        <sz val="10"/>
        <color theme="1"/>
        <rFont val="Arial Unicode MS"/>
      </rPr>
      <t>F$45</t>
    </r>
  </si>
  <si>
    <r>
      <t>Variable Cell: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Arial Unicode MS"/>
      </rPr>
      <t>B25</t>
    </r>
    <r>
      <rPr>
        <sz val="11"/>
        <color theme="1"/>
        <rFont val="Calibri"/>
        <family val="2"/>
        <scheme val="minor"/>
      </rPr>
      <t xml:space="preserve"> (Kadsprime)</t>
    </r>
  </si>
  <si>
    <t>Initial Guess (will be converted by Solver into the optimized K'ads)</t>
  </si>
  <si>
    <r>
      <rPr>
        <b/>
        <sz val="11"/>
        <color theme="1"/>
        <rFont val="Calibri"/>
        <family val="2"/>
        <scheme val="minor"/>
      </rPr>
      <t>Description</t>
    </r>
    <r>
      <rPr>
        <sz val="11"/>
        <color theme="1"/>
        <rFont val="Calibri"/>
        <family val="2"/>
        <scheme val="minor"/>
      </rPr>
      <t>:</t>
    </r>
  </si>
  <si>
    <t>DET response under 1D diffusion with fast equilibrium between a dissolved analyte and its adsorbed form</t>
  </si>
  <si>
    <t xml:space="preserve">This spreadsheet implements  i) the analytical solution for the transient </t>
  </si>
  <si>
    <r>
      <rPr>
        <b/>
        <sz val="11"/>
        <color theme="1"/>
        <rFont val="Calibri"/>
        <family val="2"/>
        <scheme val="minor"/>
      </rPr>
      <t>Purpose</t>
    </r>
    <r>
      <rPr>
        <sz val="11"/>
        <color theme="1"/>
        <rFont val="Calibri"/>
        <family val="2"/>
        <scheme val="minor"/>
      </rPr>
      <t>:</t>
    </r>
  </si>
  <si>
    <t>To estimate KD and the resupply capacity of soils from transient DET data.</t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</si>
  <si>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>:</t>
    </r>
  </si>
  <si>
    <t>2. Please, adjust parameters and run Solver in the sheet "MODEL"</t>
  </si>
  <si>
    <t>The retrieved K'ads is in cell B25 of the sheet "MODEL"</t>
  </si>
  <si>
    <t>1. Please, enter experimental data in the  sheet "INPUT_DATA"</t>
  </si>
  <si>
    <r>
      <rPr>
        <b/>
        <sz val="11"/>
        <color theme="1"/>
        <rFont val="Calibri"/>
        <family val="2"/>
        <scheme val="minor"/>
      </rPr>
      <t>Units</t>
    </r>
    <r>
      <rPr>
        <sz val="11"/>
        <color theme="1"/>
        <rFont val="Calibri"/>
        <family val="2"/>
        <scheme val="minor"/>
      </rPr>
      <t>:</t>
    </r>
  </si>
  <si>
    <t xml:space="preserve">All units must be the in the International System of units. </t>
  </si>
  <si>
    <t>µg L⁻¹</t>
  </si>
  <si>
    <r>
      <rPr>
        <b/>
        <sz val="11"/>
        <color theme="1"/>
        <rFont val="Calibri"/>
        <family val="2"/>
        <scheme val="minor"/>
      </rPr>
      <t>Contact</t>
    </r>
    <r>
      <rPr>
        <sz val="11"/>
        <color theme="1"/>
        <rFont val="Calibri"/>
        <family val="2"/>
        <scheme val="minor"/>
      </rPr>
      <t>:</t>
    </r>
  </si>
  <si>
    <r>
      <t xml:space="preserve">Sum 1(for a given </t>
    </r>
    <r>
      <rPr>
        <sz val="10"/>
        <color theme="1"/>
        <rFont val="Arial Unicode MS"/>
      </rPr>
      <t>n</t>
    </r>
    <r>
      <rPr>
        <sz val="11"/>
        <color theme="1"/>
        <rFont val="Calibri"/>
        <family val="2"/>
        <scheme val="minor"/>
      </rPr>
      <t>)</t>
    </r>
  </si>
  <si>
    <r>
      <t xml:space="preserve">Sum 2(for a given </t>
    </r>
    <r>
      <rPr>
        <sz val="10"/>
        <color theme="1"/>
        <rFont val="Arial Unicode MS"/>
      </rPr>
      <t>n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</si>
  <si>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Single</t>
    </r>
    <r>
      <rPr>
        <sz val="11"/>
        <color theme="1"/>
        <rFont val="Calibri"/>
        <family val="2"/>
        <scheme val="minor"/>
      </rPr>
      <t xml:space="preserve"> diffusive gel disc</t>
    </r>
  </si>
  <si>
    <r>
      <rPr>
        <b/>
        <sz val="11"/>
        <color theme="1"/>
        <rFont val="Calibri"/>
        <family val="2"/>
        <scheme val="minor"/>
      </rPr>
      <t>Double</t>
    </r>
    <r>
      <rPr>
        <sz val="11"/>
        <color theme="1"/>
        <rFont val="Calibri"/>
        <family val="2"/>
        <scheme val="minor"/>
      </rPr>
      <t xml:space="preserve"> (i.e. two diffusive gel disc of equal thickness)</t>
    </r>
  </si>
  <si>
    <t>and ii) finds Kads' that minimizes the squared differences between experimental and theoretical concentrations in experiments with one and two diffusive-gel discs.</t>
  </si>
  <si>
    <r>
      <rPr>
        <b/>
        <sz val="11"/>
        <color theme="1"/>
        <rFont val="Calibri"/>
        <family val="2"/>
        <scheme val="minor"/>
      </rPr>
      <t>Limitation</t>
    </r>
    <r>
      <rPr>
        <sz val="11"/>
        <color theme="1"/>
        <rFont val="Calibri"/>
        <family val="2"/>
        <scheme val="minor"/>
      </rPr>
      <t>:</t>
    </r>
  </si>
  <si>
    <t>The current computation of the analytical solution in the sheet MODEL uses nmax=5. If more terms were needed, more rows following the sequence 0, 1, 2, 3, 4, 5, 6 and up to the desired nmax have to be added in columns from J to AH.</t>
  </si>
  <si>
    <t>Also the final values in columns V and AH have to be gathered in the cells C37:C42 and C45:C50</t>
  </si>
  <si>
    <r>
      <t>However, any  concentration unit (e.g. µg 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or mol 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) can be used as long as it is simultaneously applied in the sheet INPUT_DATA and in the cell B17 of the sheet MODEL</t>
    </r>
  </si>
  <si>
    <t>(to match the units in INPUT_DATA)</t>
  </si>
  <si>
    <t>4. Calculate Squared Error (automatically done)</t>
  </si>
  <si>
    <t>5. Minimize Squared Error using Solver</t>
  </si>
  <si>
    <r>
      <rPr>
        <b/>
        <sz val="11"/>
        <color theme="1"/>
        <rFont val="Calibri"/>
        <family val="2"/>
        <scheme val="minor"/>
      </rPr>
      <t>Title of this file</t>
    </r>
    <r>
      <rPr>
        <sz val="11"/>
        <color theme="1"/>
        <rFont val="Calibri"/>
        <family val="2"/>
        <scheme val="minor"/>
      </rPr>
      <t>: Fitting Kads' with the Analytical solution for transient DET responses</t>
    </r>
  </si>
  <si>
    <r>
      <rPr>
        <b/>
        <sz val="11"/>
        <color theme="1"/>
        <rFont val="Calibri"/>
        <family val="2"/>
        <scheme val="minor"/>
      </rPr>
      <t>Reference</t>
    </r>
    <r>
      <rPr>
        <sz val="11"/>
        <color theme="1"/>
        <rFont val="Calibri"/>
        <family val="2"/>
        <scheme val="minor"/>
      </rPr>
      <t xml:space="preserve">: 2026 article by L. Yabuki, C. Rey-Castro, C. de Faria, J. Puy, C. Cantero-Martínez and J. Galceran with the title: </t>
    </r>
    <r>
      <rPr>
        <i/>
        <sz val="11"/>
        <color theme="1"/>
        <rFont val="Calibri"/>
        <family val="2"/>
        <scheme val="minor"/>
      </rPr>
      <t>Phosphorus desorption and dynamics in calcareous Mediterranean agricultural soils assessed by DET (Diffusive Equilibrium in Thin-films) and DGT (Diffusive Gradients in Thin-films) passive sampling combined with analytical modelling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</si>
</sst>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0000"/>
    <numFmt numFmtId="165" formatCode="0.000"/>
    <numFmt numFmtId="166" formatCode="0.00000"/>
    <numFmt numFmtId="167" formatCode="0.000000"/>
    <numFmt numFmtId="168" formatCode="0.0000"/>
    <numFmt numFmtId="169" formatCode="0.0000000"/>
    <numFmt numFmtId="170" formatCode="0.000E+0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 Unicode MS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2"/>
      <charset val="134"/>
    </font>
    <font>
      <sz val="9"/>
      <color indexed="81"/>
      <name val="Tahoma"/>
      <family val="2"/>
    </font>
    <font>
      <sz val="10"/>
      <color theme="1"/>
      <name val="Arial Unicode MS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8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>
      <alignment vertical="center"/>
    </xf>
    <xf numFmtId="43" fontId="9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6" fillId="0" borderId="0" xfId="0" applyFont="1" applyAlignment="1">
      <alignment vertical="center" wrapText="1"/>
    </xf>
    <xf numFmtId="11" fontId="0" fillId="0" borderId="0" xfId="0" applyNumberFormat="1"/>
    <xf numFmtId="11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5" fontId="5" fillId="0" borderId="0" xfId="0" applyNumberFormat="1" applyFont="1" applyAlignment="1">
      <alignment vertical="center" wrapText="1"/>
    </xf>
    <xf numFmtId="166" fontId="0" fillId="0" borderId="0" xfId="0" applyNumberFormat="1"/>
    <xf numFmtId="166" fontId="1" fillId="0" borderId="0" xfId="0" applyNumberFormat="1" applyFont="1"/>
    <xf numFmtId="1" fontId="0" fillId="0" borderId="0" xfId="0" applyNumberFormat="1"/>
    <xf numFmtId="1" fontId="2" fillId="0" borderId="0" xfId="0" applyNumberFormat="1" applyFont="1" applyAlignment="1">
      <alignment vertical="center" wrapText="1"/>
    </xf>
    <xf numFmtId="165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7" fontId="0" fillId="0" borderId="0" xfId="0" applyNumberFormat="1"/>
    <xf numFmtId="169" fontId="0" fillId="0" borderId="0" xfId="0" applyNumberFormat="1"/>
    <xf numFmtId="1" fontId="0" fillId="0" borderId="0" xfId="44" applyNumberFormat="1" applyFont="1" applyAlignment="1">
      <alignment horizontal="right" vertical="center" wrapText="1"/>
    </xf>
    <xf numFmtId="1" fontId="0" fillId="0" borderId="0" xfId="44" applyNumberFormat="1" applyFont="1" applyAlignment="1">
      <alignment horizontal="right"/>
    </xf>
    <xf numFmtId="1" fontId="0" fillId="0" borderId="0" xfId="44" applyNumberFormat="1" applyFont="1"/>
    <xf numFmtId="16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9" fillId="0" borderId="0" xfId="45"/>
    <xf numFmtId="0" fontId="0" fillId="33" borderId="0" xfId="0" applyFill="1"/>
    <xf numFmtId="0" fontId="0" fillId="33" borderId="0" xfId="0" applyFill="1" applyAlignment="1">
      <alignment vertical="center" wrapText="1"/>
    </xf>
    <xf numFmtId="166" fontId="0" fillId="33" borderId="0" xfId="0" applyNumberFormat="1" applyFill="1"/>
    <xf numFmtId="167" fontId="0" fillId="33" borderId="0" xfId="0" applyNumberFormat="1" applyFill="1" applyAlignment="1">
      <alignment vertical="center" wrapText="1"/>
    </xf>
    <xf numFmtId="167" fontId="0" fillId="33" borderId="0" xfId="0" applyNumberFormat="1" applyFill="1"/>
    <xf numFmtId="11" fontId="2" fillId="33" borderId="0" xfId="0" applyNumberFormat="1" applyFont="1" applyFill="1" applyAlignment="1">
      <alignment vertical="center" wrapText="1"/>
    </xf>
    <xf numFmtId="0" fontId="2" fillId="33" borderId="0" xfId="0" applyFont="1" applyFill="1" applyAlignment="1">
      <alignment vertical="center" wrapText="1"/>
    </xf>
    <xf numFmtId="0" fontId="0" fillId="33" borderId="0" xfId="0" applyFill="1" applyAlignment="1">
      <alignment horizontal="right" vertical="center" wrapText="1"/>
    </xf>
    <xf numFmtId="164" fontId="0" fillId="33" borderId="0" xfId="0" applyNumberFormat="1" applyFill="1" applyAlignment="1">
      <alignment horizontal="right" vertical="center" wrapText="1"/>
    </xf>
    <xf numFmtId="1" fontId="0" fillId="33" borderId="0" xfId="0" applyNumberFormat="1" applyFill="1"/>
    <xf numFmtId="11" fontId="0" fillId="33" borderId="0" xfId="0" applyNumberFormat="1" applyFill="1"/>
    <xf numFmtId="169" fontId="0" fillId="33" borderId="0" xfId="0" applyNumberFormat="1" applyFill="1"/>
    <xf numFmtId="168" fontId="0" fillId="33" borderId="0" xfId="0" applyNumberFormat="1" applyFill="1"/>
    <xf numFmtId="0" fontId="0" fillId="33" borderId="10" xfId="0" applyFill="1" applyBorder="1"/>
    <xf numFmtId="0" fontId="1" fillId="0" borderId="0" xfId="0" applyFont="1" applyAlignment="1">
      <alignment horizontal="left" vertical="center"/>
    </xf>
    <xf numFmtId="0" fontId="24" fillId="0" borderId="0" xfId="0" applyFont="1"/>
    <xf numFmtId="11" fontId="24" fillId="0" borderId="0" xfId="0" applyNumberFormat="1" applyFont="1"/>
    <xf numFmtId="166" fontId="1" fillId="33" borderId="0" xfId="0" applyNumberFormat="1" applyFont="1" applyFill="1"/>
    <xf numFmtId="166" fontId="0" fillId="0" borderId="0" xfId="0" applyNumberFormat="1" applyAlignment="1">
      <alignment horizontal="right" vertical="center" wrapText="1"/>
    </xf>
    <xf numFmtId="165" fontId="0" fillId="33" borderId="0" xfId="0" applyNumberFormat="1" applyFill="1"/>
    <xf numFmtId="166" fontId="0" fillId="33" borderId="0" xfId="0" applyNumberFormat="1" applyFill="1" applyAlignment="1">
      <alignment horizontal="right" vertical="center" wrapText="1"/>
    </xf>
    <xf numFmtId="168" fontId="31" fillId="0" borderId="10" xfId="0" applyNumberFormat="1" applyFont="1" applyBorder="1"/>
    <xf numFmtId="170" fontId="7" fillId="33" borderId="0" xfId="0" applyNumberFormat="1" applyFont="1" applyFill="1" applyAlignment="1">
      <alignment vertical="center" wrapText="1"/>
    </xf>
    <xf numFmtId="0" fontId="0" fillId="0" borderId="0" xfId="0" applyAlignment="1">
      <alignment horizontal="left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4" xfId="43" xr:uid="{00000000-0005-0000-0000-000024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  <cellStyle name="常规 2" xfId="1" xr:uid="{00000000-0005-0000-0000-00002D000000}"/>
  </cellStyles>
  <dxfs count="0"/>
  <tableStyles count="0" defaultTableStyle="TableStyleMedium2" defaultPivotStyle="PivotStyleLight16"/>
  <colors>
    <mruColors>
      <color rgb="FFFF00FF"/>
      <color rgb="FF0066FF"/>
      <color rgb="FFFF33CC"/>
      <color rgb="FFCC00FF"/>
      <color rgb="FFCC0099"/>
      <color rgb="FFFF66CC"/>
      <color rgb="FFFFCCFF"/>
      <color rgb="FFFF66FF"/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sep.galceran@udl.ca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8B3A-5671-4ED1-B2C8-DCC03A70B418}">
  <dimension ref="A1:P28"/>
  <sheetViews>
    <sheetView topLeftCell="A10" zoomScale="145" zoomScaleNormal="145" workbookViewId="0">
      <selection activeCell="A21" sqref="A21"/>
    </sheetView>
    <sheetView tabSelected="1" workbookViewId="1">
      <selection activeCell="A9" sqref="A9"/>
    </sheetView>
  </sheetViews>
  <sheetFormatPr defaultRowHeight="15"/>
  <sheetData>
    <row r="1" spans="1:16">
      <c r="A1" t="s">
        <v>96</v>
      </c>
    </row>
    <row r="3" spans="1:16">
      <c r="A3" t="s">
        <v>71</v>
      </c>
    </row>
    <row r="4" spans="1:16">
      <c r="A4" t="s">
        <v>73</v>
      </c>
    </row>
    <row r="5" spans="1:16">
      <c r="A5" t="s">
        <v>72</v>
      </c>
    </row>
    <row r="6" spans="1:16">
      <c r="A6" t="s">
        <v>88</v>
      </c>
    </row>
    <row r="8" spans="1:16">
      <c r="A8" t="s">
        <v>97</v>
      </c>
    </row>
    <row r="10" spans="1:16">
      <c r="A10" t="s">
        <v>74</v>
      </c>
    </row>
    <row r="11" spans="1:16">
      <c r="A11" t="s">
        <v>75</v>
      </c>
    </row>
    <row r="13" spans="1:16">
      <c r="A13" t="s">
        <v>76</v>
      </c>
    </row>
    <row r="14" spans="1:16">
      <c r="A14" t="s">
        <v>79</v>
      </c>
      <c r="H14" s="32" t="s">
        <v>58</v>
      </c>
      <c r="I14" s="32"/>
      <c r="J14" s="32"/>
      <c r="K14" s="32"/>
      <c r="L14" s="32"/>
      <c r="M14" s="32"/>
      <c r="N14" s="32"/>
      <c r="O14" s="32"/>
      <c r="P14" s="32"/>
    </row>
    <row r="15" spans="1:16">
      <c r="A15" t="s">
        <v>77</v>
      </c>
      <c r="H15" s="32" t="s">
        <v>58</v>
      </c>
      <c r="I15" s="32"/>
      <c r="J15" s="32"/>
      <c r="K15" s="32"/>
      <c r="L15" s="32"/>
      <c r="M15" s="32"/>
      <c r="N15" s="32"/>
      <c r="O15" s="32"/>
      <c r="P15" s="32"/>
    </row>
    <row r="16" spans="1:16">
      <c r="A16" t="s">
        <v>78</v>
      </c>
    </row>
    <row r="18" spans="1:1">
      <c r="A18" t="s">
        <v>80</v>
      </c>
    </row>
    <row r="19" spans="1:1">
      <c r="A19" t="s">
        <v>81</v>
      </c>
    </row>
    <row r="20" spans="1:1" ht="17.25">
      <c r="A20" t="s">
        <v>92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7" spans="1:1">
      <c r="A27" t="s">
        <v>83</v>
      </c>
    </row>
    <row r="28" spans="1:1">
      <c r="A28" s="31" t="s">
        <v>55</v>
      </c>
    </row>
  </sheetData>
  <hyperlinks>
    <hyperlink ref="A28" r:id="rId1" xr:uid="{3445E83C-C1EF-4FDA-867E-1ED40D6E5E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CDA7-9710-46BB-B814-1F10EDB8A742}">
  <dimension ref="A1:B18"/>
  <sheetViews>
    <sheetView workbookViewId="0">
      <selection activeCell="D4" sqref="D4"/>
    </sheetView>
    <sheetView workbookViewId="1"/>
  </sheetViews>
  <sheetFormatPr defaultRowHeight="15"/>
  <cols>
    <col min="2" max="2" width="30.7109375" customWidth="1"/>
  </cols>
  <sheetData>
    <row r="1" spans="1:2">
      <c r="A1" t="s">
        <v>86</v>
      </c>
    </row>
    <row r="2" spans="1:2" ht="30">
      <c r="A2" s="1" t="s">
        <v>2</v>
      </c>
      <c r="B2" s="1" t="s">
        <v>54</v>
      </c>
    </row>
    <row r="3" spans="1:2">
      <c r="A3" s="21">
        <v>5880</v>
      </c>
      <c r="B3" s="21">
        <v>4.7822179035781495E-2</v>
      </c>
    </row>
    <row r="4" spans="1:2">
      <c r="A4" s="21">
        <v>11880</v>
      </c>
      <c r="B4" s="21">
        <v>5.7148412677431065E-2</v>
      </c>
    </row>
    <row r="5" spans="1:2">
      <c r="A5" s="21">
        <v>27240</v>
      </c>
      <c r="B5" s="21">
        <v>6.4532832558877332E-2</v>
      </c>
    </row>
    <row r="6" spans="1:2">
      <c r="A6" s="20">
        <v>84000</v>
      </c>
      <c r="B6" s="20">
        <v>6.9396457990384991E-2</v>
      </c>
    </row>
    <row r="7" spans="1:2">
      <c r="A7" s="20">
        <v>175680</v>
      </c>
      <c r="B7" s="20">
        <v>7.1274140693491791E-2</v>
      </c>
    </row>
    <row r="8" spans="1:2">
      <c r="A8" s="20">
        <v>258180</v>
      </c>
      <c r="B8" s="20">
        <v>7.1422388151784311E-2</v>
      </c>
    </row>
    <row r="9" spans="1:2">
      <c r="A9" s="20"/>
      <c r="B9" s="20"/>
    </row>
    <row r="10" spans="1:2">
      <c r="A10" s="20"/>
      <c r="B10" s="20"/>
    </row>
    <row r="11" spans="1:2">
      <c r="A11" s="55" t="s">
        <v>87</v>
      </c>
      <c r="B11" s="20"/>
    </row>
    <row r="12" spans="1:2" ht="30">
      <c r="A12" s="28" t="s">
        <v>2</v>
      </c>
      <c r="B12" s="1" t="s">
        <v>54</v>
      </c>
    </row>
    <row r="13" spans="1:2">
      <c r="A13" s="20">
        <v>5880</v>
      </c>
      <c r="B13" s="20">
        <v>3.3804055136162706E-2</v>
      </c>
    </row>
    <row r="14" spans="1:2">
      <c r="A14" s="20">
        <v>11880</v>
      </c>
      <c r="B14" s="20">
        <v>4.1216421844568814E-2</v>
      </c>
    </row>
    <row r="15" spans="1:2">
      <c r="A15" s="20">
        <v>27240</v>
      </c>
      <c r="B15" s="20">
        <v>5.4794402188342632E-2</v>
      </c>
    </row>
    <row r="16" spans="1:2">
      <c r="A16" s="20">
        <v>84000</v>
      </c>
      <c r="B16" s="20">
        <v>6.3637675766395868E-2</v>
      </c>
    </row>
    <row r="17" spans="1:2">
      <c r="A17" s="20">
        <v>175680</v>
      </c>
      <c r="B17" s="20">
        <v>6.675602641460629E-2</v>
      </c>
    </row>
    <row r="18" spans="1:2">
      <c r="A18" s="20">
        <v>258180</v>
      </c>
      <c r="B18" s="20">
        <v>6.8609104095090537E-2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1E58-B7D9-4526-B5FC-5F5119A1F3F8}">
  <dimension ref="A1:AH57"/>
  <sheetViews>
    <sheetView tabSelected="1" topLeftCell="A42" zoomScale="130" zoomScaleNormal="130" workbookViewId="0">
      <selection activeCell="A53" sqref="A53"/>
    </sheetView>
    <sheetView workbookViewId="1">
      <selection activeCell="K6" sqref="K6"/>
    </sheetView>
  </sheetViews>
  <sheetFormatPr defaultRowHeight="15"/>
  <cols>
    <col min="1" max="1" width="25.42578125" customWidth="1"/>
    <col min="2" max="2" width="17.28515625" customWidth="1"/>
    <col min="3" max="3" width="10.42578125" bestFit="1" customWidth="1"/>
    <col min="4" max="4" width="10.28515625" customWidth="1"/>
    <col min="15" max="15" width="13.42578125" bestFit="1" customWidth="1"/>
    <col min="16" max="16" width="11.5703125" customWidth="1"/>
    <col min="17" max="17" width="13.140625" customWidth="1"/>
    <col min="20" max="20" width="14.42578125" bestFit="1" customWidth="1"/>
    <col min="21" max="21" width="11.28515625" customWidth="1"/>
    <col min="22" max="23" width="11.140625" customWidth="1"/>
    <col min="27" max="27" width="10.28515625" customWidth="1"/>
    <col min="32" max="32" width="15.5703125" bestFit="1" customWidth="1"/>
  </cols>
  <sheetData>
    <row r="1" spans="1:34" ht="18">
      <c r="A1" s="5"/>
      <c r="J1" s="6" t="s">
        <v>11</v>
      </c>
      <c r="N1" s="7" t="s">
        <v>14</v>
      </c>
      <c r="O1" s="7" t="s">
        <v>14</v>
      </c>
      <c r="P1" s="7" t="s">
        <v>14</v>
      </c>
      <c r="Q1" s="7" t="s">
        <v>14</v>
      </c>
      <c r="R1" s="7" t="s">
        <v>14</v>
      </c>
      <c r="S1" s="7" t="s">
        <v>14</v>
      </c>
      <c r="T1" s="7" t="s">
        <v>14</v>
      </c>
      <c r="U1" s="7" t="s">
        <v>14</v>
      </c>
      <c r="V1" s="7" t="s">
        <v>14</v>
      </c>
      <c r="W1" s="7"/>
      <c r="X1" s="7" t="s">
        <v>15</v>
      </c>
      <c r="Y1" s="7" t="s">
        <v>15</v>
      </c>
      <c r="Z1" s="7" t="s">
        <v>15</v>
      </c>
      <c r="AA1" s="7" t="s">
        <v>15</v>
      </c>
      <c r="AB1" s="7" t="s">
        <v>15</v>
      </c>
      <c r="AC1" s="7" t="s">
        <v>15</v>
      </c>
      <c r="AD1" s="7" t="s">
        <v>15</v>
      </c>
      <c r="AE1" s="7" t="s">
        <v>15</v>
      </c>
      <c r="AF1" s="7" t="s">
        <v>15</v>
      </c>
      <c r="AG1" s="7" t="s">
        <v>15</v>
      </c>
      <c r="AH1" s="7" t="s">
        <v>15</v>
      </c>
    </row>
    <row r="2" spans="1:34" ht="15.75">
      <c r="A2" s="6" t="s">
        <v>65</v>
      </c>
      <c r="J2" s="7" t="s">
        <v>24</v>
      </c>
      <c r="L2" s="47" t="s">
        <v>25</v>
      </c>
      <c r="M2" s="47" t="s">
        <v>26</v>
      </c>
      <c r="N2" s="47" t="s">
        <v>27</v>
      </c>
      <c r="O2" s="47" t="s">
        <v>28</v>
      </c>
      <c r="P2" s="47" t="s">
        <v>32</v>
      </c>
      <c r="Q2" s="47"/>
      <c r="R2" s="47" t="s">
        <v>29</v>
      </c>
      <c r="S2" s="47" t="s">
        <v>30</v>
      </c>
      <c r="T2" s="47" t="s">
        <v>31</v>
      </c>
      <c r="U2" s="47" t="s">
        <v>33</v>
      </c>
      <c r="V2" s="7" t="s">
        <v>14</v>
      </c>
      <c r="W2" s="7"/>
      <c r="X2" s="47" t="s">
        <v>25</v>
      </c>
      <c r="Y2" s="47" t="s">
        <v>26</v>
      </c>
      <c r="Z2" s="47" t="s">
        <v>27</v>
      </c>
      <c r="AA2" s="47" t="s">
        <v>28</v>
      </c>
      <c r="AB2" s="47" t="s">
        <v>32</v>
      </c>
      <c r="AC2" s="47"/>
      <c r="AD2" s="47" t="s">
        <v>29</v>
      </c>
      <c r="AE2" s="47" t="s">
        <v>30</v>
      </c>
      <c r="AF2" s="48" t="s">
        <v>31</v>
      </c>
      <c r="AG2" s="47" t="s">
        <v>33</v>
      </c>
      <c r="AH2" s="7" t="s">
        <v>15</v>
      </c>
    </row>
    <row r="3" spans="1:34">
      <c r="A3" s="30" t="s">
        <v>34</v>
      </c>
      <c r="B3" s="30" t="s">
        <v>1</v>
      </c>
      <c r="C3" s="30" t="s">
        <v>35</v>
      </c>
      <c r="I3" t="s">
        <v>10</v>
      </c>
      <c r="J3" s="1" t="s">
        <v>2</v>
      </c>
      <c r="K3" t="s">
        <v>7</v>
      </c>
      <c r="L3" t="s">
        <v>8</v>
      </c>
      <c r="M3" t="s">
        <v>5</v>
      </c>
      <c r="N3" t="s">
        <v>6</v>
      </c>
      <c r="O3" t="s">
        <v>84</v>
      </c>
      <c r="P3" t="s">
        <v>12</v>
      </c>
      <c r="Q3" t="s">
        <v>8</v>
      </c>
      <c r="R3" t="s">
        <v>5</v>
      </c>
      <c r="S3" t="s">
        <v>6</v>
      </c>
      <c r="T3" t="s">
        <v>85</v>
      </c>
      <c r="U3" t="s">
        <v>13</v>
      </c>
      <c r="V3" s="7" t="s">
        <v>14</v>
      </c>
      <c r="W3" s="7"/>
      <c r="X3" t="s">
        <v>8</v>
      </c>
      <c r="Y3" s="10" t="s">
        <v>5</v>
      </c>
      <c r="Z3" s="10" t="s">
        <v>6</v>
      </c>
      <c r="AA3" s="10" t="s">
        <v>84</v>
      </c>
      <c r="AB3" t="s">
        <v>12</v>
      </c>
      <c r="AC3" t="s">
        <v>8</v>
      </c>
      <c r="AD3" t="s">
        <v>5</v>
      </c>
      <c r="AE3" t="s">
        <v>6</v>
      </c>
      <c r="AF3" s="10" t="s">
        <v>85</v>
      </c>
      <c r="AG3" t="s">
        <v>13</v>
      </c>
      <c r="AH3" s="7" t="s">
        <v>15</v>
      </c>
    </row>
    <row r="4" spans="1:34">
      <c r="A4" s="2" t="s">
        <v>39</v>
      </c>
      <c r="B4" s="2">
        <v>7.2075544148368089E-4</v>
      </c>
      <c r="C4" s="2" t="s">
        <v>37</v>
      </c>
      <c r="I4" s="17"/>
      <c r="J4" s="17"/>
      <c r="K4" s="17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16"/>
      <c r="X4" s="15"/>
      <c r="Y4" s="10"/>
      <c r="Z4" s="10"/>
      <c r="AA4" s="10"/>
      <c r="AB4" s="15"/>
      <c r="AC4" s="15"/>
      <c r="AD4" s="10"/>
      <c r="AE4" s="10"/>
      <c r="AF4" s="10"/>
      <c r="AG4" s="15"/>
      <c r="AH4" s="16"/>
    </row>
    <row r="5" spans="1:34">
      <c r="A5" s="2" t="s">
        <v>40</v>
      </c>
      <c r="B5" s="2">
        <v>1.2999999999999999E-4</v>
      </c>
      <c r="C5" s="2" t="s">
        <v>37</v>
      </c>
      <c r="I5" s="17">
        <v>5</v>
      </c>
      <c r="J5" s="41">
        <f>$A$37</f>
        <v>5880</v>
      </c>
      <c r="K5" s="41">
        <v>0</v>
      </c>
      <c r="L5" s="34">
        <f>(((-$B$31*SQRT($B$30)+$B$15*SQRT($B$16)) / ($B$31*SQRT($B$30)+$B$15*SQRT($B$16)))^$K5)</f>
        <v>1</v>
      </c>
      <c r="M5" s="34">
        <f>EXP(-(($B$11+2*$K5*$B$7)^2)/(4*$B$16*J5))</f>
        <v>0.99559361172982919</v>
      </c>
      <c r="N5" s="34">
        <f>ERFC(($B$11+2*$K5*$B$7)/(2*SQRT($B$16*J5)))</f>
        <v>0.92512500342382287</v>
      </c>
      <c r="O5" s="34">
        <f>L5*(2*M5*SQRT(J5/PI()) -( ($B$11+2*$K5*$B$7)/SQRT($B$16))*N5)</f>
        <v>76.715718490412328</v>
      </c>
      <c r="P5" s="34">
        <f>SUM(O5:O10)</f>
        <v>73.046353215363752</v>
      </c>
      <c r="Q5" s="42">
        <f>L5</f>
        <v>1</v>
      </c>
      <c r="R5" s="34">
        <f>EXP(-((2*$B$7-$B$11+2*$K5*$B$7)^2)/(4*$B$16*J5))</f>
        <v>0.52448352047549851</v>
      </c>
      <c r="S5" s="34">
        <f>ERFC((2*$B$7-$B$11+2*$K5*$B$7)/(2*SQRT($B$16*J5)))</f>
        <v>0.25592220491711926</v>
      </c>
      <c r="T5" s="34">
        <f t="shared" ref="T5:T40" si="0">Q5*(2*R5*SQRT(J5/PI())-(2*$B$7-$B$11+2*$K5*$B$7)/SQRT($B$16)*S5)</f>
        <v>13.851347992289543</v>
      </c>
      <c r="U5" s="34">
        <f>SUM(T5:T10)</f>
        <v>13.593216506572981</v>
      </c>
      <c r="V5" s="49">
        <f>($B$17 * SQRT($B$16) / (($B$7 - $B$11)*(1 + $B$15/$B$31 * SQRT($B$16/$B$30)))) * (P5 - U5)</f>
        <v>5.2728523559477061E-2</v>
      </c>
      <c r="W5" s="49"/>
      <c r="X5" s="34">
        <f>$L5</f>
        <v>1</v>
      </c>
      <c r="Y5" s="34">
        <f>EXP(-(($B$13+2*$K5*$B$9)^2)/(4*$B$16*J5))</f>
        <v>0.82767756675982795</v>
      </c>
      <c r="Z5" s="34">
        <f>ERFC(($B$13+2*$K5*$B$9)/(2*SQRT($B$16*$J5)))</f>
        <v>0.53853419754862153</v>
      </c>
      <c r="AA5" s="34">
        <f>X5*(2*Y5*SQRT($J5/PI()) -( ($B$13+2*$K5*$B$9)/SQRT($B$16))*Z5)</f>
        <v>35.696996128617066</v>
      </c>
      <c r="AB5" s="34">
        <f>SUM(AA5:AA10)</f>
        <v>35.648216290506831</v>
      </c>
      <c r="AC5" s="34">
        <f>$L5</f>
        <v>1</v>
      </c>
      <c r="AD5" s="34">
        <f>EXP(-((2*$B$9-$B$13+2*$K5*$B$9)^2)/(4*$B$16*$J5))</f>
        <v>0.25333435519290265</v>
      </c>
      <c r="AE5" s="34">
        <f>ERFC((2*$B$9-$B$13+2*$K5*$B$9)/(2*SQRT($B$16*$J5)))</f>
        <v>9.7492562904009372E-2</v>
      </c>
      <c r="AF5" s="34">
        <f t="shared" ref="AF5:AF40" si="1">AC5*(2*AD5*SQRT($J5/PI())-(2*$B$9-$B$13+2*$K5*$B$9)/SQRT($B$16)*$AE5)</f>
        <v>4.3999245053234297</v>
      </c>
      <c r="AG5" s="34">
        <f>SUM(AF5:AF10)</f>
        <v>4.3990840573992962</v>
      </c>
      <c r="AH5" s="49">
        <f>($B$17 * SQRT($B$16) / (($B$7 - $B$11)*(1 + $B$15/$B$31 * SQRT($B$16/$B$30)))) * (AB5 - AG5)</f>
        <v>2.7714611816654439E-2</v>
      </c>
    </row>
    <row r="6" spans="1:34">
      <c r="A6" s="2" t="s">
        <v>57</v>
      </c>
      <c r="B6" s="33">
        <f>$B$4+$B$5</f>
        <v>8.5075544148368091E-4</v>
      </c>
      <c r="C6" s="2" t="s">
        <v>37</v>
      </c>
      <c r="I6" s="17"/>
      <c r="J6" s="41">
        <f t="shared" ref="J6:J10" si="2">$A$37</f>
        <v>5880</v>
      </c>
      <c r="K6" s="41">
        <v>1</v>
      </c>
      <c r="L6" s="34">
        <f>(((-$B$31*SQRT($B$30)+$B$15*SQRT($B$16)) / ($B$31*SQRT($B$30)+$B$15*SQRT($B$16)))^$K6)</f>
        <v>-0.39733034902687508</v>
      </c>
      <c r="M6" s="34">
        <f>EXP(-(($B$11+2*$K6*$B$7)^2)/(4*$B$16*J6))</f>
        <v>0.4162189315478515</v>
      </c>
      <c r="N6" s="34">
        <f t="shared" ref="N6:N40" si="3">ERFC(($B$11+2*$K6*$B$7)/(2*SQRT($B$16*J6)))</f>
        <v>0.18548902849590729</v>
      </c>
      <c r="O6" s="34">
        <f t="shared" ref="O6:O40" si="4">L6*(2*M6*SQRT(J6/PI()) -( ($B$11+2*$K6*$B$7)/SQRT($B$16))*N6)</f>
        <v>-3.7270762679030818</v>
      </c>
      <c r="P6" s="50"/>
      <c r="Q6" s="42">
        <f t="shared" ref="Q6:Q10" si="5">L6</f>
        <v>-0.39733034902687508</v>
      </c>
      <c r="R6" s="34">
        <f t="shared" ref="R6:R10" si="6">EXP(-((2*$B$7-$B$11+2*$K6*$B$7)^2)/(4*$B$16*J6))</f>
        <v>6.085146904553479E-2</v>
      </c>
      <c r="S6" s="34">
        <f t="shared" ref="S6:S10" si="7">ERFC((2*$B$7-$B$11+2*$K6*$B$7)/(2*SQRT($B$16*J6)))</f>
        <v>1.7974439284978005E-2</v>
      </c>
      <c r="T6" s="34">
        <f t="shared" si="0"/>
        <v>-0.25948965594600387</v>
      </c>
      <c r="U6" s="15"/>
      <c r="V6" s="16"/>
      <c r="W6" s="16"/>
      <c r="X6" s="34">
        <f t="shared" ref="X6:X40" si="8">L6</f>
        <v>-0.39733034902687508</v>
      </c>
      <c r="Y6" s="34">
        <f t="shared" ref="Y6:Y40" si="9">EXP(-(($B$13+2*$K6*$B$9)^2)/(4*$B$16*J6))</f>
        <v>1.5483996172300415E-2</v>
      </c>
      <c r="Z6" s="34">
        <f t="shared" ref="Z6:Z40" si="10">ERFC(($B$13+2*$K6*$B$9)/(2*SQRT($B$16*$J6)))</f>
        <v>3.8869290448749249E-3</v>
      </c>
      <c r="AA6" s="34">
        <f t="shared" ref="AA6:AA40" si="11">X6*(2*Y6*SQRT($J6/PI()) -( ($B$13+2*$K6*$B$9)/SQRT($B$16))*Z6)</f>
        <v>-4.8780607780869643E-2</v>
      </c>
      <c r="AB6" s="50"/>
      <c r="AC6" s="34">
        <f t="shared" ref="AC6:AC40" si="12">$L6</f>
        <v>-0.39733034902687508</v>
      </c>
      <c r="AD6" s="34">
        <f t="shared" ref="AD6:AD40" si="13">EXP(-((2*$B$9-$B$13+2*$K6*$B$9)^2)/(4*$B$16*$J6))</f>
        <v>4.4399877348994698E-4</v>
      </c>
      <c r="AE6" s="34">
        <f t="shared" ref="AE6:AE40" si="14">ERFC((2*$B$9-$B$13+2*$K6*$B$9)/(2*SQRT($B$16*$J6)))</f>
        <v>8.5194445563326656E-5</v>
      </c>
      <c r="AF6" s="34">
        <f t="shared" si="1"/>
        <v>-8.4044939698622715E-4</v>
      </c>
      <c r="AG6" s="15"/>
      <c r="AH6" s="16"/>
    </row>
    <row r="7" spans="1:34">
      <c r="A7" s="2" t="s">
        <v>41</v>
      </c>
      <c r="B7" s="43">
        <f>$B$6*($B$18/$B$19)</f>
        <v>1.644570558143651E-3</v>
      </c>
      <c r="C7" s="2" t="s">
        <v>37</v>
      </c>
      <c r="I7" s="17"/>
      <c r="J7" s="41">
        <f t="shared" si="2"/>
        <v>5880</v>
      </c>
      <c r="K7" s="41">
        <v>2</v>
      </c>
      <c r="L7" s="34">
        <f>(((-$B$31*SQRT($B$30)+$B$15*SQRT($B$16)) / ($B$31*SQRT($B$30)+$B$15*SQRT($B$16)))^$K7)</f>
        <v>0.15787140625781837</v>
      </c>
      <c r="M7" s="34">
        <f t="shared" ref="M7:M40" si="15">EXP(-(($B$11+2*$K7*$B$7)^2)/(4*$B$16*J7))</f>
        <v>3.8322252959991303E-2</v>
      </c>
      <c r="N7" s="34">
        <f t="shared" si="3"/>
        <v>1.0646134319550795E-2</v>
      </c>
      <c r="O7" s="34">
        <f t="shared" si="4"/>
        <v>5.7958428906911795E-2</v>
      </c>
      <c r="P7" s="50"/>
      <c r="Q7" s="42">
        <f t="shared" si="5"/>
        <v>0.15787140625781837</v>
      </c>
      <c r="R7" s="34">
        <f t="shared" si="6"/>
        <v>1.5548903273180099E-3</v>
      </c>
      <c r="S7" s="34">
        <f t="shared" si="7"/>
        <v>3.228916281833221E-4</v>
      </c>
      <c r="T7" s="34">
        <f t="shared" si="0"/>
        <v>1.3599898831338994E-3</v>
      </c>
      <c r="U7" s="15"/>
      <c r="V7" s="16"/>
      <c r="W7" s="16"/>
      <c r="X7" s="34">
        <f t="shared" si="8"/>
        <v>0.15787140625781837</v>
      </c>
      <c r="Y7" s="34">
        <f t="shared" si="9"/>
        <v>1.6586689021405265E-6</v>
      </c>
      <c r="Z7" s="34">
        <f t="shared" si="10"/>
        <v>2.4779611882239428E-7</v>
      </c>
      <c r="AA7" s="34">
        <f t="shared" si="11"/>
        <v>7.696707291357053E-7</v>
      </c>
      <c r="AB7" s="50"/>
      <c r="AC7" s="34">
        <f t="shared" si="12"/>
        <v>0.15787140625781837</v>
      </c>
      <c r="AD7" s="34">
        <f t="shared" si="13"/>
        <v>4.455785003569576E-9</v>
      </c>
      <c r="AE7" s="34">
        <f t="shared" si="14"/>
        <v>5.5941193858278587E-10</v>
      </c>
      <c r="AF7" s="34">
        <f t="shared" si="1"/>
        <v>1.4728526118297913E-9</v>
      </c>
      <c r="AG7" s="15"/>
      <c r="AH7" s="16"/>
    </row>
    <row r="8" spans="1:34">
      <c r="A8" t="s">
        <v>42</v>
      </c>
      <c r="B8" s="33">
        <f>(2*$B$4)+$B$5</f>
        <v>1.5715108829673617E-3</v>
      </c>
      <c r="C8" s="2" t="s">
        <v>37</v>
      </c>
      <c r="D8" s="15"/>
      <c r="I8" s="17"/>
      <c r="J8" s="41">
        <f t="shared" si="2"/>
        <v>5880</v>
      </c>
      <c r="K8" s="41">
        <v>3</v>
      </c>
      <c r="L8" s="34">
        <f t="shared" ref="L8:L40" si="16">(((-$B$31*SQRT($B$30)+$B$15*SQRT($B$16)) / ($B$31*SQRT($B$30)+$B$15*SQRT($B$16)))^$K8)</f>
        <v>-6.2727100949782566E-2</v>
      </c>
      <c r="M8" s="34">
        <f t="shared" si="15"/>
        <v>7.7708712050023087E-4</v>
      </c>
      <c r="N8" s="34">
        <f t="shared" si="3"/>
        <v>1.5422454929212817E-4</v>
      </c>
      <c r="O8" s="34">
        <f t="shared" si="4"/>
        <v>-2.4770371971721995E-4</v>
      </c>
      <c r="P8" s="50"/>
      <c r="Q8" s="42">
        <f t="shared" si="5"/>
        <v>-6.2727100949782566E-2</v>
      </c>
      <c r="R8" s="34">
        <f t="shared" si="6"/>
        <v>8.7501990215446848E-6</v>
      </c>
      <c r="S8" s="34">
        <f t="shared" si="7"/>
        <v>1.391148861412511E-6</v>
      </c>
      <c r="T8" s="34">
        <f t="shared" si="0"/>
        <v>-1.820245120899104E-6</v>
      </c>
      <c r="U8" s="15"/>
      <c r="V8" s="16"/>
      <c r="W8" s="16"/>
      <c r="X8" s="34">
        <f t="shared" si="8"/>
        <v>-6.2727100949782566E-2</v>
      </c>
      <c r="Y8" s="34">
        <f t="shared" si="9"/>
        <v>1.0173985756827185E-12</v>
      </c>
      <c r="Z8" s="34">
        <f t="shared" si="10"/>
        <v>1.073537714781535E-13</v>
      </c>
      <c r="AA8" s="34">
        <f t="shared" si="11"/>
        <v>-9.49915313790406E-14</v>
      </c>
      <c r="AB8" s="50"/>
      <c r="AC8" s="34">
        <f t="shared" si="12"/>
        <v>-6.2727100949782566E-2</v>
      </c>
      <c r="AD8" s="34">
        <f t="shared" si="13"/>
        <v>2.5604804286204598E-16</v>
      </c>
      <c r="AE8" s="34">
        <f t="shared" si="14"/>
        <v>2.3787082391050666E-17</v>
      </c>
      <c r="AF8" s="34">
        <f t="shared" si="1"/>
        <v>-1.8597257694259402E-17</v>
      </c>
      <c r="AG8" s="15"/>
      <c r="AH8" s="16"/>
    </row>
    <row r="9" spans="1:34">
      <c r="A9" t="s">
        <v>43</v>
      </c>
      <c r="B9" s="34">
        <f>$B$8*($B$18/$B$19)</f>
        <v>3.0378419036888767E-3</v>
      </c>
      <c r="C9" s="2" t="s">
        <v>37</v>
      </c>
      <c r="D9" s="15"/>
      <c r="I9" s="17"/>
      <c r="J9" s="41">
        <f t="shared" si="2"/>
        <v>5880</v>
      </c>
      <c r="K9" s="41">
        <v>4</v>
      </c>
      <c r="L9" s="34">
        <f t="shared" si="16"/>
        <v>2.4923380913821132E-2</v>
      </c>
      <c r="M9" s="42">
        <f t="shared" si="15"/>
        <v>3.4703866434410066E-6</v>
      </c>
      <c r="N9" s="42">
        <f t="shared" si="3"/>
        <v>5.3246633786096034E-7</v>
      </c>
      <c r="O9" s="42">
        <f t="shared" si="4"/>
        <v>2.6773719948137612E-7</v>
      </c>
      <c r="P9" s="50"/>
      <c r="Q9" s="42">
        <f t="shared" si="5"/>
        <v>2.4923380913821132E-2</v>
      </c>
      <c r="R9" s="34">
        <f t="shared" si="6"/>
        <v>1.0844900573359558E-8</v>
      </c>
      <c r="S9" s="34">
        <f t="shared" si="7"/>
        <v>1.3926154819487468E-9</v>
      </c>
      <c r="T9" s="34">
        <f t="shared" si="0"/>
        <v>5.9147306075559072E-10</v>
      </c>
      <c r="U9" s="15"/>
      <c r="V9" s="16"/>
      <c r="W9" s="16"/>
      <c r="X9" s="34">
        <f t="shared" si="8"/>
        <v>2.4923380913821132E-2</v>
      </c>
      <c r="Y9" s="34">
        <f t="shared" si="9"/>
        <v>3.5733645476645114E-21</v>
      </c>
      <c r="Z9" s="34">
        <f t="shared" si="10"/>
        <v>2.9079358624791725E-22</v>
      </c>
      <c r="AA9" s="34">
        <f t="shared" si="11"/>
        <v>7.935955438726414E-23</v>
      </c>
      <c r="AB9" s="50"/>
      <c r="AC9" s="34">
        <f t="shared" si="12"/>
        <v>2.4923380913821132E-2</v>
      </c>
      <c r="AD9" s="34">
        <f t="shared" si="13"/>
        <v>8.425069065023422E-26</v>
      </c>
      <c r="AE9" s="34">
        <f t="shared" si="14"/>
        <v>6.2028645221608416E-27</v>
      </c>
      <c r="AF9" s="34">
        <f t="shared" si="1"/>
        <v>1.5342222680685434E-27</v>
      </c>
      <c r="AG9" s="15"/>
      <c r="AH9" s="16"/>
    </row>
    <row r="10" spans="1:34">
      <c r="A10" s="2" t="s">
        <v>44</v>
      </c>
      <c r="B10" s="33">
        <f>$B$5</f>
        <v>1.2999999999999999E-4</v>
      </c>
      <c r="C10" s="2" t="s">
        <v>37</v>
      </c>
      <c r="D10" t="s">
        <v>60</v>
      </c>
      <c r="I10" s="17"/>
      <c r="J10" s="41">
        <f t="shared" si="2"/>
        <v>5880</v>
      </c>
      <c r="K10" s="41">
        <v>5</v>
      </c>
      <c r="L10" s="34">
        <f t="shared" si="16"/>
        <v>-9.9028156374183079E-3</v>
      </c>
      <c r="M10" s="34">
        <f t="shared" si="15"/>
        <v>3.4133080884238239E-9</v>
      </c>
      <c r="N10" s="42">
        <f t="shared" si="3"/>
        <v>4.2572725313066871E-10</v>
      </c>
      <c r="O10" s="42">
        <f t="shared" si="4"/>
        <v>-6.9868819950641064E-11</v>
      </c>
      <c r="P10" s="50"/>
      <c r="Q10" s="42">
        <f t="shared" si="5"/>
        <v>-9.9028156374183079E-3</v>
      </c>
      <c r="R10" s="34">
        <f t="shared" si="6"/>
        <v>2.9602111687820379E-12</v>
      </c>
      <c r="S10" s="34">
        <f t="shared" si="7"/>
        <v>3.1836373013897779E-13</v>
      </c>
      <c r="T10" s="34">
        <f t="shared" si="0"/>
        <v>-4.5300786816273724E-14</v>
      </c>
      <c r="U10" s="15"/>
      <c r="V10" s="15"/>
      <c r="W10" s="15"/>
      <c r="X10" s="34">
        <f t="shared" si="8"/>
        <v>-9.9028156374183079E-3</v>
      </c>
      <c r="Y10" s="34">
        <f t="shared" si="9"/>
        <v>7.1865143877205621E-32</v>
      </c>
      <c r="Z10" s="34">
        <f t="shared" si="10"/>
        <v>4.7552667226629007E-33</v>
      </c>
      <c r="AA10" s="34">
        <f t="shared" si="11"/>
        <v>-4.2066431919863551E-34</v>
      </c>
      <c r="AB10" s="50"/>
      <c r="AC10" s="34">
        <f t="shared" si="12"/>
        <v>-9.9028156374183079E-3</v>
      </c>
      <c r="AD10" s="34">
        <f t="shared" si="13"/>
        <v>1.5873776267187106E-37</v>
      </c>
      <c r="AE10" s="34">
        <f t="shared" si="14"/>
        <v>9.6727869328924113E-39</v>
      </c>
      <c r="AF10" s="34">
        <f t="shared" si="1"/>
        <v>-7.887911232724477E-40</v>
      </c>
      <c r="AG10" s="16"/>
      <c r="AH10" s="16"/>
    </row>
    <row r="11" spans="1:34">
      <c r="A11" t="s">
        <v>45</v>
      </c>
      <c r="B11" s="34">
        <f>$B$10*($B$18/$B$19)</f>
        <v>2.5129921259842521E-4</v>
      </c>
      <c r="C11" s="2" t="s">
        <v>37</v>
      </c>
      <c r="I11" s="17">
        <v>5</v>
      </c>
      <c r="J11" s="41">
        <f>$A$38</f>
        <v>11880</v>
      </c>
      <c r="K11" s="41">
        <v>0</v>
      </c>
      <c r="L11" s="34">
        <f t="shared" si="16"/>
        <v>1</v>
      </c>
      <c r="M11" s="34">
        <f t="shared" si="15"/>
        <v>0.99781662818703043</v>
      </c>
      <c r="N11" s="34">
        <f t="shared" si="3"/>
        <v>0.94728431518326572</v>
      </c>
      <c r="O11" s="34">
        <f t="shared" si="4"/>
        <v>113.06534875998591</v>
      </c>
      <c r="P11" s="34">
        <f>SUM(O11:O16)</f>
        <v>102.13504313461532</v>
      </c>
      <c r="Q11" s="42">
        <f t="shared" ref="Q11:Q17" si="17">L11</f>
        <v>1</v>
      </c>
      <c r="R11" s="34">
        <f t="shared" ref="R11:R17" si="18">EXP(-((2*$B$7-$B$11+2*$K11*$B$7)^2)/(4*$B$16*J11))</f>
        <v>0.72657662055166372</v>
      </c>
      <c r="S11" s="34">
        <f t="shared" ref="S11:S17" si="19">ERFC((2*$B$7-$B$11+2*$K11*$B$7)/(2*SQRT($B$16*J11)))</f>
        <v>0.4241374463089857</v>
      </c>
      <c r="T11" s="34">
        <f t="shared" si="0"/>
        <v>37.10626186050257</v>
      </c>
      <c r="U11" s="34">
        <f>SUM(T11:T16)</f>
        <v>34.752975999212651</v>
      </c>
      <c r="V11" s="49">
        <f>($B$17 * SQRT($B$16) / (($B$7 - $B$11)*(1 + $B$15/$B$31 * SQRT($B$16/$B$30)))) * (P11 - U11)</f>
        <v>5.976063015544817E-2</v>
      </c>
      <c r="W11" s="49"/>
      <c r="X11" s="34">
        <f t="shared" si="8"/>
        <v>1</v>
      </c>
      <c r="Y11" s="34">
        <f t="shared" si="9"/>
        <v>0.91063729890734557</v>
      </c>
      <c r="Z11" s="34">
        <f t="shared" si="10"/>
        <v>0.66523952870897152</v>
      </c>
      <c r="AA11" s="34">
        <f t="shared" si="11"/>
        <v>67.628688576414248</v>
      </c>
      <c r="AB11" s="34">
        <f>SUM(AA11:AA16)</f>
        <v>66.674177070103454</v>
      </c>
      <c r="AC11" s="34">
        <f t="shared" si="12"/>
        <v>1</v>
      </c>
      <c r="AD11" s="34">
        <f t="shared" si="13"/>
        <v>0.50682577213972835</v>
      </c>
      <c r="AE11" s="34">
        <f t="shared" si="14"/>
        <v>0.24368034625776894</v>
      </c>
      <c r="AF11" s="34">
        <f t="shared" si="1"/>
        <v>18.542898332549768</v>
      </c>
      <c r="AG11" s="34">
        <f>SUM(AF11:AF16)</f>
        <v>18.437947695406134</v>
      </c>
      <c r="AH11" s="49">
        <f>($B$17 * SQRT($B$16) / (($B$7 - $B$11)*(1 + $B$15/$B$31 * SQRT($B$16/$B$30)))) * (AB11 - AG11)</f>
        <v>4.278033587129465E-2</v>
      </c>
    </row>
    <row r="12" spans="1:34">
      <c r="A12" t="s">
        <v>46</v>
      </c>
      <c r="B12" s="35">
        <f>$B$4+$B$5</f>
        <v>8.5075544148368091E-4</v>
      </c>
      <c r="C12" s="2" t="s">
        <v>37</v>
      </c>
      <c r="D12" s="22"/>
      <c r="I12" s="17"/>
      <c r="J12" s="41">
        <f t="shared" ref="J12:J16" si="20">$A$38</f>
        <v>11880</v>
      </c>
      <c r="K12" s="41">
        <v>1</v>
      </c>
      <c r="L12" s="34">
        <f t="shared" si="16"/>
        <v>-0.39733034902687508</v>
      </c>
      <c r="M12" s="34">
        <f t="shared" si="15"/>
        <v>0.64801272180418579</v>
      </c>
      <c r="N12" s="34">
        <f t="shared" si="3"/>
        <v>0.35159563656690207</v>
      </c>
      <c r="O12" s="34">
        <f t="shared" si="4"/>
        <v>-11.607785562981681</v>
      </c>
      <c r="P12" s="15"/>
      <c r="Q12" s="42">
        <f t="shared" si="17"/>
        <v>-0.39733034902687508</v>
      </c>
      <c r="R12" s="34">
        <f t="shared" si="18"/>
        <v>0.25019324429623485</v>
      </c>
      <c r="S12" s="34">
        <f t="shared" si="19"/>
        <v>9.598357856510574E-2</v>
      </c>
      <c r="T12" s="34">
        <f t="shared" si="0"/>
        <v>-2.4404373334908658</v>
      </c>
      <c r="U12" s="15"/>
      <c r="V12" s="16"/>
      <c r="W12" s="16"/>
      <c r="X12" s="34">
        <f t="shared" si="8"/>
        <v>-0.39733034902687508</v>
      </c>
      <c r="Y12" s="34">
        <f t="shared" si="9"/>
        <v>0.12708185115633763</v>
      </c>
      <c r="Z12" s="34">
        <f t="shared" si="10"/>
        <v>4.2232854221578429E-2</v>
      </c>
      <c r="AA12" s="34">
        <f t="shared" si="11"/>
        <v>-0.95619709363685013</v>
      </c>
      <c r="AB12" s="15"/>
      <c r="AC12" s="34">
        <f t="shared" si="12"/>
        <v>-0.39733034902687508</v>
      </c>
      <c r="AD12" s="34">
        <f t="shared" si="13"/>
        <v>2.1909037590693466E-2</v>
      </c>
      <c r="AE12" s="34">
        <f t="shared" si="14"/>
        <v>5.7033757249448083E-3</v>
      </c>
      <c r="AF12" s="34">
        <f t="shared" si="1"/>
        <v>-0.10501615551799016</v>
      </c>
      <c r="AG12" s="15"/>
      <c r="AH12" s="16"/>
    </row>
    <row r="13" spans="1:34">
      <c r="A13" t="s">
        <v>47</v>
      </c>
      <c r="B13" s="36">
        <f>$B$12*($B$18/$B$19)</f>
        <v>1.644570558143651E-3</v>
      </c>
      <c r="C13" s="2" t="s">
        <v>37</v>
      </c>
      <c r="D13" s="22"/>
      <c r="I13" s="17"/>
      <c r="J13" s="41">
        <f t="shared" si="20"/>
        <v>11880</v>
      </c>
      <c r="K13" s="41">
        <v>2</v>
      </c>
      <c r="L13" s="34">
        <f t="shared" si="16"/>
        <v>0.15787140625781837</v>
      </c>
      <c r="M13" s="34">
        <f t="shared" si="15"/>
        <v>0.19901224750295535</v>
      </c>
      <c r="N13" s="34">
        <f t="shared" si="3"/>
        <v>7.2354668499986813E-2</v>
      </c>
      <c r="O13" s="34">
        <f t="shared" si="4"/>
        <v>0.70025989041939252</v>
      </c>
      <c r="P13" s="15"/>
      <c r="Q13" s="42">
        <f t="shared" si="17"/>
        <v>0.15787140625781837</v>
      </c>
      <c r="R13" s="34">
        <f t="shared" si="18"/>
        <v>4.0741143604455188E-2</v>
      </c>
      <c r="S13" s="34">
        <f t="shared" si="19"/>
        <v>1.1405394389844564E-2</v>
      </c>
      <c r="T13" s="34">
        <f t="shared" si="0"/>
        <v>8.8840792168544333E-2</v>
      </c>
      <c r="U13" s="15"/>
      <c r="V13" s="16"/>
      <c r="W13" s="16"/>
      <c r="X13" s="34">
        <f t="shared" si="8"/>
        <v>0.15787140625781837</v>
      </c>
      <c r="Y13" s="34">
        <f t="shared" si="9"/>
        <v>1.3774409308395816E-3</v>
      </c>
      <c r="Z13" s="34">
        <f t="shared" si="10"/>
        <v>2.8370028114874557E-4</v>
      </c>
      <c r="AA13" s="34">
        <f t="shared" si="11"/>
        <v>1.6858839680309492E-3</v>
      </c>
      <c r="AB13" s="15"/>
      <c r="AC13" s="34">
        <f t="shared" si="12"/>
        <v>0.15787140625781837</v>
      </c>
      <c r="AD13" s="34">
        <f t="shared" si="13"/>
        <v>7.3559583931733457E-5</v>
      </c>
      <c r="AE13" s="34">
        <f t="shared" si="14"/>
        <v>1.2835411259839348E-5</v>
      </c>
      <c r="AF13" s="34">
        <f t="shared" si="1"/>
        <v>6.5522228577775184E-5</v>
      </c>
      <c r="AG13" s="15"/>
      <c r="AH13" s="16"/>
    </row>
    <row r="14" spans="1:34">
      <c r="A14" s="3" t="s">
        <v>48</v>
      </c>
      <c r="B14" s="2">
        <v>0.46</v>
      </c>
      <c r="C14" s="2" t="s">
        <v>56</v>
      </c>
      <c r="I14" s="17"/>
      <c r="J14" s="41">
        <f t="shared" si="20"/>
        <v>11880</v>
      </c>
      <c r="K14" s="41">
        <v>3</v>
      </c>
      <c r="L14" s="34">
        <f t="shared" si="16"/>
        <v>-6.2727100949782566E-2</v>
      </c>
      <c r="M14" s="34">
        <f t="shared" si="15"/>
        <v>2.8902775790851931E-2</v>
      </c>
      <c r="N14" s="34">
        <f t="shared" si="3"/>
        <v>7.7617596687254171E-3</v>
      </c>
      <c r="O14" s="34">
        <f t="shared" si="4"/>
        <v>-2.3178805782398719E-2</v>
      </c>
      <c r="P14" s="15"/>
      <c r="Q14" s="42">
        <f t="shared" si="17"/>
        <v>-6.2727100949782566E-2</v>
      </c>
      <c r="R14" s="34">
        <f t="shared" si="18"/>
        <v>3.1372875751077022E-3</v>
      </c>
      <c r="S14" s="34">
        <f t="shared" si="19"/>
        <v>6.8526477860871764E-4</v>
      </c>
      <c r="T14" s="34">
        <f t="shared" si="0"/>
        <v>-1.7059862915997967E-3</v>
      </c>
      <c r="U14" s="15"/>
      <c r="V14" s="16"/>
      <c r="W14" s="16"/>
      <c r="X14" s="34">
        <f t="shared" si="8"/>
        <v>-6.2727100949782566E-2</v>
      </c>
      <c r="Y14" s="34">
        <f t="shared" si="9"/>
        <v>1.1596149060911041E-6</v>
      </c>
      <c r="Z14" s="34">
        <f t="shared" si="10"/>
        <v>1.7110015471764154E-7</v>
      </c>
      <c r="AA14" s="34">
        <f t="shared" si="11"/>
        <v>-2.9664667867653937E-7</v>
      </c>
      <c r="AB14" s="15"/>
      <c r="AC14" s="34">
        <f t="shared" si="12"/>
        <v>-6.2727100949782566E-2</v>
      </c>
      <c r="AD14" s="34">
        <f t="shared" si="13"/>
        <v>1.9182560716748645E-8</v>
      </c>
      <c r="AE14" s="34">
        <f t="shared" si="14"/>
        <v>2.5005531735035366E-9</v>
      </c>
      <c r="AF14" s="34">
        <f t="shared" si="1"/>
        <v>-3.8542416905985235E-9</v>
      </c>
      <c r="AG14" s="15"/>
      <c r="AH14" s="16"/>
    </row>
    <row r="15" spans="1:34">
      <c r="A15" s="9" t="s">
        <v>59</v>
      </c>
      <c r="B15" s="2">
        <v>0.94</v>
      </c>
      <c r="C15" s="2" t="s">
        <v>56</v>
      </c>
      <c r="D15" s="10"/>
      <c r="I15" s="17"/>
      <c r="J15" s="41">
        <f t="shared" si="20"/>
        <v>11880</v>
      </c>
      <c r="K15" s="41">
        <v>4</v>
      </c>
      <c r="L15" s="34">
        <f t="shared" si="16"/>
        <v>2.4923380913821132E-2</v>
      </c>
      <c r="M15" s="34">
        <f t="shared" si="15"/>
        <v>1.9850103738685973E-3</v>
      </c>
      <c r="N15" s="34">
        <f t="shared" si="3"/>
        <v>4.1927786137483302E-4</v>
      </c>
      <c r="O15" s="34">
        <f t="shared" si="4"/>
        <v>4.0241158096799586E-4</v>
      </c>
      <c r="P15" s="15"/>
      <c r="Q15" s="42">
        <f t="shared" si="17"/>
        <v>2.4923380913821132E-2</v>
      </c>
      <c r="R15" s="34">
        <f t="shared" si="18"/>
        <v>1.142454521528622E-4</v>
      </c>
      <c r="S15" s="34">
        <f t="shared" si="19"/>
        <v>2.0370650798535227E-5</v>
      </c>
      <c r="T15" s="34">
        <f t="shared" si="0"/>
        <v>1.674868115595949E-5</v>
      </c>
      <c r="U15" s="15"/>
      <c r="V15" s="16"/>
      <c r="W15" s="16"/>
      <c r="X15" s="34">
        <f t="shared" si="8"/>
        <v>2.4923380913821132E-2</v>
      </c>
      <c r="Y15" s="34">
        <f t="shared" si="9"/>
        <v>7.5823870288207058E-11</v>
      </c>
      <c r="Z15" s="34">
        <f t="shared" si="10"/>
        <v>8.6828828007094652E-12</v>
      </c>
      <c r="AA15" s="34">
        <f t="shared" si="11"/>
        <v>4.6960895635187389E-12</v>
      </c>
      <c r="AB15" s="15"/>
      <c r="AC15" s="34">
        <f t="shared" si="12"/>
        <v>2.4923380913821132E-2</v>
      </c>
      <c r="AD15" s="34">
        <f t="shared" si="13"/>
        <v>3.8853062139787104E-13</v>
      </c>
      <c r="AE15" s="34">
        <f t="shared" si="14"/>
        <v>4.0323154373085857E-14</v>
      </c>
      <c r="AF15" s="34">
        <f t="shared" si="1"/>
        <v>1.9829806922489733E-14</v>
      </c>
      <c r="AG15" s="15"/>
      <c r="AH15" s="16"/>
    </row>
    <row r="16" spans="1:34">
      <c r="A16" s="2" t="s">
        <v>49</v>
      </c>
      <c r="B16" s="11">
        <v>6.0799999999999997E-10</v>
      </c>
      <c r="C16" s="2" t="s">
        <v>36</v>
      </c>
      <c r="D16" s="10"/>
      <c r="I16" s="17"/>
      <c r="J16" s="41">
        <f t="shared" si="20"/>
        <v>11880</v>
      </c>
      <c r="K16" s="41">
        <v>5</v>
      </c>
      <c r="L16" s="34">
        <f t="shared" si="16"/>
        <v>-9.9028156374183079E-3</v>
      </c>
      <c r="M16" s="34">
        <f t="shared" si="15"/>
        <v>6.4468784919656039E-5</v>
      </c>
      <c r="N16" s="34">
        <f t="shared" si="3"/>
        <v>1.1178484299524077E-5</v>
      </c>
      <c r="O16" s="34">
        <f t="shared" si="4"/>
        <v>-3.5586068788224968E-6</v>
      </c>
      <c r="P16" s="15"/>
      <c r="Q16" s="42">
        <f t="shared" si="17"/>
        <v>-9.9028156374183079E-3</v>
      </c>
      <c r="R16" s="34">
        <f t="shared" si="18"/>
        <v>1.9673742798037373E-6</v>
      </c>
      <c r="S16" s="34">
        <f t="shared" si="19"/>
        <v>2.9569522775515468E-7</v>
      </c>
      <c r="T16" s="34">
        <f t="shared" si="0"/>
        <v>-8.2357164103179333E-8</v>
      </c>
      <c r="U16" s="15"/>
      <c r="V16" s="16"/>
      <c r="W16" s="16"/>
      <c r="X16" s="34">
        <f t="shared" si="8"/>
        <v>-9.9028156374183079E-3</v>
      </c>
      <c r="Y16" s="34">
        <f t="shared" si="9"/>
        <v>3.8507866836212851E-16</v>
      </c>
      <c r="Z16" s="34">
        <f t="shared" si="10"/>
        <v>3.5973812835526412E-17</v>
      </c>
      <c r="AA16" s="34">
        <f t="shared" si="11"/>
        <v>-6.3456216805368377E-18</v>
      </c>
      <c r="AB16" s="15"/>
      <c r="AC16" s="34">
        <f t="shared" si="12"/>
        <v>-9.9028156374183079E-3</v>
      </c>
      <c r="AD16" s="34">
        <f t="shared" si="13"/>
        <v>6.1121679273369665E-19</v>
      </c>
      <c r="AE16" s="34">
        <f t="shared" si="14"/>
        <v>5.2635698642023113E-20</v>
      </c>
      <c r="AF16" s="34">
        <f t="shared" si="1"/>
        <v>-8.5751163893192206E-21</v>
      </c>
      <c r="AG16" s="15"/>
      <c r="AH16" s="16"/>
    </row>
    <row r="17" spans="1:34">
      <c r="A17" s="2" t="s">
        <v>50</v>
      </c>
      <c r="B17" s="27">
        <v>7.1727494018961072E-2</v>
      </c>
      <c r="C17" s="2" t="s">
        <v>82</v>
      </c>
      <c r="D17" s="10" t="s">
        <v>93</v>
      </c>
      <c r="I17" s="17">
        <v>5</v>
      </c>
      <c r="J17" s="41">
        <f>$A$39</f>
        <v>27240</v>
      </c>
      <c r="K17" s="41">
        <v>0</v>
      </c>
      <c r="L17" s="34">
        <f t="shared" si="16"/>
        <v>1</v>
      </c>
      <c r="M17" s="34">
        <f t="shared" si="15"/>
        <v>0.99904719374325923</v>
      </c>
      <c r="N17" s="34">
        <f t="shared" si="3"/>
        <v>0.96517245442916044</v>
      </c>
      <c r="O17" s="34">
        <f t="shared" si="4"/>
        <v>176.21981778317405</v>
      </c>
      <c r="P17" s="34">
        <f>SUM(O17:O22)</f>
        <v>149.51967028103888</v>
      </c>
      <c r="Q17" s="42">
        <f t="shared" si="17"/>
        <v>1</v>
      </c>
      <c r="R17" s="34">
        <f t="shared" si="18"/>
        <v>0.86996461432883454</v>
      </c>
      <c r="S17" s="34">
        <f t="shared" si="19"/>
        <v>0.59761669273492379</v>
      </c>
      <c r="T17" s="34">
        <f t="shared" si="0"/>
        <v>88.390026192215359</v>
      </c>
      <c r="U17" s="34">
        <f>SUM(T17:T22)</f>
        <v>76.973256969986309</v>
      </c>
      <c r="V17" s="49">
        <f>($B$17 * SQRT($B$16) / (($B$7 - $B$11)*(1 + $B$15/$B$31 * SQRT($B$16/$B$30)))) * (P17 - U17)</f>
        <v>6.4340848526866543E-2</v>
      </c>
      <c r="W17" s="49"/>
      <c r="X17" s="34">
        <f t="shared" si="8"/>
        <v>1</v>
      </c>
      <c r="Y17" s="34">
        <f t="shared" si="9"/>
        <v>0.95999637882126709</v>
      </c>
      <c r="Z17" s="34">
        <f t="shared" si="10"/>
        <v>0.77507165585815141</v>
      </c>
      <c r="AA17" s="34">
        <f t="shared" si="11"/>
        <v>127.08952705933538</v>
      </c>
      <c r="AB17" s="42">
        <f>SUM(AA17:AA22)</f>
        <v>119.56187095017077</v>
      </c>
      <c r="AC17" s="34">
        <f t="shared" si="12"/>
        <v>1</v>
      </c>
      <c r="AD17" s="34">
        <f t="shared" si="13"/>
        <v>0.74350173112624041</v>
      </c>
      <c r="AE17" s="34">
        <f t="shared" si="14"/>
        <v>0.44135059966635987</v>
      </c>
      <c r="AF17" s="34">
        <f t="shared" si="1"/>
        <v>59.152112752664721</v>
      </c>
      <c r="AG17" s="34">
        <f>SUM(AF17:AF22)</f>
        <v>56.712295328276397</v>
      </c>
      <c r="AH17" s="49">
        <f>($B$17 * SQRT($B$16) / (($B$7 - $B$11)*(1 + $B$15/$B$31 * SQRT($B$16/$B$30)))) * (AB17 - AG17)</f>
        <v>5.5740798759103788E-2</v>
      </c>
    </row>
    <row r="18" spans="1:34">
      <c r="A18" s="2" t="s">
        <v>51</v>
      </c>
      <c r="B18" s="10">
        <v>4.9100000000000001E-4</v>
      </c>
      <c r="C18" s="2" t="s">
        <v>38</v>
      </c>
      <c r="I18" s="17"/>
      <c r="J18" s="41">
        <f t="shared" ref="J18:J22" si="21">$A$39</f>
        <v>27240</v>
      </c>
      <c r="K18" s="41">
        <v>1</v>
      </c>
      <c r="L18" s="34">
        <f t="shared" si="16"/>
        <v>-0.39733034902687508</v>
      </c>
      <c r="M18" s="34">
        <f t="shared" si="15"/>
        <v>0.82761276236735004</v>
      </c>
      <c r="N18" s="34">
        <f t="shared" si="3"/>
        <v>0.53845013500964511</v>
      </c>
      <c r="O18" s="34">
        <f t="shared" si="4"/>
        <v>-30.521639006260187</v>
      </c>
      <c r="P18" s="15"/>
      <c r="Q18" s="42">
        <f t="shared" ref="Q18:Q40" si="22">L18</f>
        <v>-0.39733034902687508</v>
      </c>
      <c r="R18" s="34">
        <f t="shared" ref="R18:R40" si="23">EXP(-((2*$B$7-$B$11+2*$K18*$B$7)^2)/(4*$B$16*J18))</f>
        <v>0.5464795702611086</v>
      </c>
      <c r="S18" s="34">
        <f t="shared" ref="S18:S40" si="24">ERFC((2*$B$7-$B$11+2*$K18*$B$7)/(2*SQRT($B$16*J18)))</f>
        <v>0.2716260827842466</v>
      </c>
      <c r="T18" s="34">
        <f t="shared" si="0"/>
        <v>-12.74462061282866</v>
      </c>
      <c r="U18" s="15"/>
      <c r="V18" s="16"/>
      <c r="W18" s="16"/>
      <c r="X18" s="34">
        <f t="shared" si="8"/>
        <v>-0.39733034902687508</v>
      </c>
      <c r="Y18" s="34">
        <f t="shared" si="9"/>
        <v>0.40669600901624037</v>
      </c>
      <c r="Z18" s="34">
        <f t="shared" si="10"/>
        <v>0.17978764229587926</v>
      </c>
      <c r="AA18" s="34">
        <f t="shared" si="11"/>
        <v>-7.7278654331605141</v>
      </c>
      <c r="AB18" s="15"/>
      <c r="AC18" s="34">
        <f t="shared" si="12"/>
        <v>-0.39733034902687508</v>
      </c>
      <c r="AD18" s="34">
        <f t="shared" si="13"/>
        <v>0.1889326770141195</v>
      </c>
      <c r="AE18" s="34">
        <f t="shared" si="14"/>
        <v>6.7914098513192453E-2</v>
      </c>
      <c r="AF18" s="34">
        <f t="shared" si="1"/>
        <v>-2.4821202426272646</v>
      </c>
      <c r="AG18" s="15"/>
      <c r="AH18" s="16"/>
    </row>
    <row r="19" spans="1:34">
      <c r="A19" s="2" t="s">
        <v>52</v>
      </c>
      <c r="B19" s="11">
        <v>2.5399999999999999E-4</v>
      </c>
      <c r="C19" s="2" t="s">
        <v>38</v>
      </c>
      <c r="I19" s="17"/>
      <c r="J19" s="41">
        <f t="shared" si="21"/>
        <v>27240</v>
      </c>
      <c r="K19" s="41">
        <v>2</v>
      </c>
      <c r="L19" s="34">
        <f t="shared" si="16"/>
        <v>0.15787140625781837</v>
      </c>
      <c r="M19" s="34">
        <f t="shared" si="15"/>
        <v>0.4945669752094447</v>
      </c>
      <c r="N19" s="34">
        <f t="shared" si="3"/>
        <v>0.23536451255124122</v>
      </c>
      <c r="O19" s="34">
        <f t="shared" si="4"/>
        <v>4.2490717071479693</v>
      </c>
      <c r="P19" s="15"/>
      <c r="Q19" s="42">
        <f t="shared" si="22"/>
        <v>0.15787140625781837</v>
      </c>
      <c r="R19" s="34">
        <f t="shared" si="23"/>
        <v>0.247629871507872</v>
      </c>
      <c r="S19" s="34">
        <f t="shared" si="24"/>
        <v>9.4757193719225613E-2</v>
      </c>
      <c r="T19" s="34">
        <f t="shared" si="0"/>
        <v>1.4465990110927396</v>
      </c>
      <c r="U19" s="15"/>
      <c r="V19" s="16"/>
      <c r="W19" s="16"/>
      <c r="X19" s="34">
        <f t="shared" si="8"/>
        <v>0.15787140625781837</v>
      </c>
      <c r="Y19" s="34">
        <f t="shared" si="9"/>
        <v>5.653051361704136E-2</v>
      </c>
      <c r="Z19" s="34">
        <f t="shared" si="10"/>
        <v>1.6526720375738099E-2</v>
      </c>
      <c r="AA19" s="34">
        <f t="shared" si="11"/>
        <v>0.2022661934704692</v>
      </c>
      <c r="AB19" s="15"/>
      <c r="AC19" s="34">
        <f t="shared" si="12"/>
        <v>0.15787140625781837</v>
      </c>
      <c r="AD19" s="34">
        <f t="shared" si="13"/>
        <v>1.5752332753616208E-2</v>
      </c>
      <c r="AE19" s="34">
        <f t="shared" si="14"/>
        <v>3.961161416213642E-3</v>
      </c>
      <c r="AF19" s="34">
        <f t="shared" si="1"/>
        <v>4.2578418112924357E-2</v>
      </c>
      <c r="AG19" s="15"/>
      <c r="AH19" s="16"/>
    </row>
    <row r="20" spans="1:34">
      <c r="A20" s="2" t="s">
        <v>53</v>
      </c>
      <c r="B20" s="54">
        <f>((1 - LN($B$15^2))/(1 - LN($B$14^2)))*$B$16</f>
        <v>2.676165616246494E-10</v>
      </c>
      <c r="C20" s="2" t="s">
        <v>36</v>
      </c>
      <c r="I20" s="18"/>
      <c r="J20" s="41">
        <f t="shared" si="21"/>
        <v>27240</v>
      </c>
      <c r="K20" s="41">
        <v>3</v>
      </c>
      <c r="L20" s="34">
        <f t="shared" si="16"/>
        <v>-6.2727100949782566E-2</v>
      </c>
      <c r="M20" s="34">
        <f t="shared" si="15"/>
        <v>0.21319636979289894</v>
      </c>
      <c r="N20" s="34">
        <f t="shared" si="3"/>
        <v>7.8722386559160876E-2</v>
      </c>
      <c r="O20" s="34">
        <f t="shared" si="4"/>
        <v>-0.46413042033835678</v>
      </c>
      <c r="P20" s="15"/>
      <c r="Q20" s="42">
        <f t="shared" si="22"/>
        <v>-6.2727100949782566E-2</v>
      </c>
      <c r="R20" s="34">
        <f t="shared" si="23"/>
        <v>8.0944788495042219E-2</v>
      </c>
      <c r="S20" s="34">
        <f t="shared" si="24"/>
        <v>2.4941029600329165E-2</v>
      </c>
      <c r="T20" s="34">
        <f t="shared" si="0"/>
        <v>-0.1267766514064971</v>
      </c>
      <c r="U20" s="15"/>
      <c r="V20" s="16"/>
      <c r="W20" s="16"/>
      <c r="X20" s="34">
        <f t="shared" si="8"/>
        <v>-6.2727100949782566E-2</v>
      </c>
      <c r="Y20" s="34">
        <f t="shared" si="9"/>
        <v>2.5781528224868011E-3</v>
      </c>
      <c r="Z20" s="34">
        <f t="shared" si="10"/>
        <v>5.5493827739101786E-4</v>
      </c>
      <c r="AA20" s="34">
        <f t="shared" si="11"/>
        <v>-2.0646107144119499E-3</v>
      </c>
      <c r="AB20" s="15"/>
      <c r="AC20" s="34">
        <f t="shared" si="12"/>
        <v>-6.2727100949782566E-2</v>
      </c>
      <c r="AD20" s="34">
        <f t="shared" si="13"/>
        <v>4.3091874005638967E-4</v>
      </c>
      <c r="AE20" s="34">
        <f t="shared" si="14"/>
        <v>8.2540963458177814E-5</v>
      </c>
      <c r="AF20" s="34">
        <f t="shared" si="1"/>
        <v>-2.7624664350312959E-4</v>
      </c>
      <c r="AG20" s="15"/>
      <c r="AH20" s="16"/>
    </row>
    <row r="21" spans="1:34">
      <c r="I21" s="17"/>
      <c r="J21" s="41">
        <f t="shared" si="21"/>
        <v>27240</v>
      </c>
      <c r="K21" s="41">
        <v>4</v>
      </c>
      <c r="L21" s="34">
        <f t="shared" si="16"/>
        <v>2.4923380913821132E-2</v>
      </c>
      <c r="M21" s="34">
        <f t="shared" si="15"/>
        <v>6.6296600074950723E-2</v>
      </c>
      <c r="N21" s="34">
        <f t="shared" si="3"/>
        <v>1.9825063574035663E-2</v>
      </c>
      <c r="O21" s="34">
        <f t="shared" si="4"/>
        <v>3.9044490558087966E-2</v>
      </c>
      <c r="P21" s="15"/>
      <c r="Q21" s="42">
        <f t="shared" si="22"/>
        <v>2.4923380913821132E-2</v>
      </c>
      <c r="R21" s="34">
        <f t="shared" si="23"/>
        <v>1.9086729195210109E-2</v>
      </c>
      <c r="S21" s="34">
        <f t="shared" si="24"/>
        <v>4.8958229645112723E-3</v>
      </c>
      <c r="T21" s="34">
        <f t="shared" si="0"/>
        <v>8.4531583678370339E-3</v>
      </c>
      <c r="U21" s="15"/>
      <c r="V21" s="16"/>
      <c r="W21" s="16"/>
      <c r="X21" s="34">
        <f t="shared" si="8"/>
        <v>2.4923380913821132E-2</v>
      </c>
      <c r="Y21" s="34">
        <f t="shared" si="9"/>
        <v>3.857865546485217E-5</v>
      </c>
      <c r="Z21" s="34">
        <f t="shared" si="10"/>
        <v>6.5319973073589488E-6</v>
      </c>
      <c r="AA21" s="34">
        <f t="shared" si="11"/>
        <v>7.7515750160512104E-6</v>
      </c>
      <c r="AB21" s="15"/>
      <c r="AC21" s="34">
        <f t="shared" si="12"/>
        <v>2.4923380913821132E-2</v>
      </c>
      <c r="AD21" s="34">
        <f t="shared" si="13"/>
        <v>3.867751741804294E-6</v>
      </c>
      <c r="AE21" s="34">
        <f t="shared" si="14"/>
        <v>5.9583608185609587E-7</v>
      </c>
      <c r="AF21" s="34">
        <f t="shared" si="1"/>
        <v>6.4730210863657242E-7</v>
      </c>
      <c r="AG21" s="15"/>
      <c r="AH21" s="16"/>
    </row>
    <row r="22" spans="1:34" ht="15.75">
      <c r="A22" s="6" t="s">
        <v>66</v>
      </c>
      <c r="E22" s="7"/>
      <c r="F22" s="7"/>
      <c r="G22" s="7"/>
      <c r="H22" s="17"/>
      <c r="I22" s="17"/>
      <c r="J22" s="41">
        <f t="shared" si="21"/>
        <v>27240</v>
      </c>
      <c r="K22" s="41">
        <v>5</v>
      </c>
      <c r="L22" s="34">
        <f t="shared" si="16"/>
        <v>-9.9028156374183079E-3</v>
      </c>
      <c r="M22" s="34">
        <f t="shared" si="15"/>
        <v>1.4871660652727794E-2</v>
      </c>
      <c r="N22" s="34">
        <f t="shared" si="3"/>
        <v>3.7181132444397127E-3</v>
      </c>
      <c r="O22" s="34">
        <f t="shared" si="4"/>
        <v>-2.4942732426846805E-3</v>
      </c>
      <c r="P22" s="15"/>
      <c r="Q22" s="42">
        <f t="shared" si="22"/>
        <v>-9.9028156374183079E-3</v>
      </c>
      <c r="R22" s="34">
        <f t="shared" si="23"/>
        <v>3.2466157386192704E-3</v>
      </c>
      <c r="S22" s="34">
        <f t="shared" si="24"/>
        <v>7.1099422935147385E-4</v>
      </c>
      <c r="T22" s="34">
        <f t="shared" si="0"/>
        <v>-4.2412745447498618E-4</v>
      </c>
      <c r="U22" s="15"/>
      <c r="V22" s="16"/>
      <c r="W22" s="16"/>
      <c r="X22" s="34">
        <f t="shared" si="8"/>
        <v>-9.9028156374183079E-3</v>
      </c>
      <c r="Y22" s="34">
        <f t="shared" si="9"/>
        <v>1.894079585350921E-7</v>
      </c>
      <c r="Z22" s="34">
        <f t="shared" si="10"/>
        <v>2.6357447202339769E-8</v>
      </c>
      <c r="AA22" s="34">
        <f t="shared" si="11"/>
        <v>-1.0335150216642306E-8</v>
      </c>
      <c r="AB22" s="15"/>
      <c r="AC22" s="34">
        <f t="shared" si="12"/>
        <v>-9.9028156374183079E-3</v>
      </c>
      <c r="AD22" s="34">
        <f t="shared" si="13"/>
        <v>1.1390282731720412E-8</v>
      </c>
      <c r="AE22" s="34">
        <f t="shared" si="14"/>
        <v>1.4645147639163652E-9</v>
      </c>
      <c r="AF22" s="34">
        <f t="shared" si="1"/>
        <v>-5.3259023767197446E-10</v>
      </c>
      <c r="AG22" s="15"/>
      <c r="AH22" s="16"/>
    </row>
    <row r="23" spans="1:34" ht="16.5" customHeight="1">
      <c r="E23" s="14"/>
      <c r="F23" s="14"/>
      <c r="G23" s="14"/>
      <c r="H23" s="17"/>
      <c r="I23" s="17">
        <v>5</v>
      </c>
      <c r="J23" s="41">
        <f>$A$40</f>
        <v>84000</v>
      </c>
      <c r="K23" s="41">
        <v>0</v>
      </c>
      <c r="L23" s="34">
        <f t="shared" si="16"/>
        <v>1</v>
      </c>
      <c r="M23" s="34">
        <f t="shared" si="15"/>
        <v>0.99969091902452445</v>
      </c>
      <c r="N23" s="34">
        <f t="shared" si="3"/>
        <v>0.98016281654702542</v>
      </c>
      <c r="O23" s="34">
        <f t="shared" si="4"/>
        <v>316.94491443115561</v>
      </c>
      <c r="P23" s="34">
        <f>SUM(O23:O28)</f>
        <v>251.86140354542735</v>
      </c>
      <c r="Q23" s="42">
        <f t="shared" si="22"/>
        <v>1</v>
      </c>
      <c r="R23" s="34">
        <f t="shared" si="23"/>
        <v>0.95583125885933851</v>
      </c>
      <c r="S23" s="34">
        <f t="shared" si="24"/>
        <v>0.76373549271869989</v>
      </c>
      <c r="T23" s="34">
        <f t="shared" si="0"/>
        <v>218.49782124921654</v>
      </c>
      <c r="U23" s="34">
        <f>SUM(T23:T28)</f>
        <v>175.59350136885229</v>
      </c>
      <c r="V23" s="49">
        <f>($B$17 * SQRT($B$16) / (($B$7 - $B$11)*(1 + $B$15/$B$31 * SQRT($B$16/$B$30)))) * (P23 - U23)</f>
        <v>6.7641407995800665E-2</v>
      </c>
      <c r="W23" s="49"/>
      <c r="X23" s="34">
        <f t="shared" si="8"/>
        <v>1</v>
      </c>
      <c r="Y23" s="34">
        <f t="shared" si="9"/>
        <v>0.98684804002171811</v>
      </c>
      <c r="Z23" s="34">
        <f t="shared" si="10"/>
        <v>0.87073738127874922</v>
      </c>
      <c r="AA23" s="34">
        <f t="shared" si="11"/>
        <v>264.65937145673399</v>
      </c>
      <c r="AB23" s="42">
        <f>SUM(AA23:AA28)</f>
        <v>227.62821582665748</v>
      </c>
      <c r="AC23" s="34">
        <f t="shared" si="12"/>
        <v>1</v>
      </c>
      <c r="AD23" s="34">
        <f t="shared" si="13"/>
        <v>0.90836122277614073</v>
      </c>
      <c r="AE23" s="34">
        <f t="shared" si="14"/>
        <v>0.66107009922694049</v>
      </c>
      <c r="AF23" s="34">
        <f t="shared" si="1"/>
        <v>178.26838447103495</v>
      </c>
      <c r="AG23" s="51">
        <f>SUM(AF23:AF28)</f>
        <v>155.63699935894655</v>
      </c>
      <c r="AH23" s="49">
        <f>($B$17 * SQRT($B$16) / (($B$7 - $B$11)*(1 + $B$15/$B$31 * SQRT($B$16/$B$30)))) * (AB23 - AG23)</f>
        <v>6.3848448773802566E-2</v>
      </c>
    </row>
    <row r="24" spans="1:34" ht="16.5" customHeight="1" thickBot="1">
      <c r="A24" s="1" t="s">
        <v>0</v>
      </c>
      <c r="B24" s="46" t="s">
        <v>70</v>
      </c>
      <c r="H24" s="17">
        <v>5</v>
      </c>
      <c r="I24" s="17"/>
      <c r="J24" s="41">
        <f t="shared" ref="J24:J28" si="25">$A$40</f>
        <v>84000</v>
      </c>
      <c r="K24" s="41">
        <v>1</v>
      </c>
      <c r="L24" s="34">
        <f t="shared" si="16"/>
        <v>-0.39733034902687508</v>
      </c>
      <c r="M24" s="34">
        <f t="shared" si="15"/>
        <v>0.94048641803966648</v>
      </c>
      <c r="N24" s="34">
        <f t="shared" si="3"/>
        <v>0.72610708195456208</v>
      </c>
      <c r="O24" s="34">
        <f t="shared" si="4"/>
        <v>-80.783252490991657</v>
      </c>
      <c r="P24" s="15"/>
      <c r="Q24" s="42">
        <f t="shared" si="22"/>
        <v>-0.39733034902687508</v>
      </c>
      <c r="R24" s="34">
        <f t="shared" si="23"/>
        <v>0.82205140265032439</v>
      </c>
      <c r="S24" s="34">
        <f t="shared" si="24"/>
        <v>0.53129990368858016</v>
      </c>
      <c r="T24" s="34">
        <f t="shared" si="0"/>
        <v>-52.651043386818515</v>
      </c>
      <c r="U24" s="15"/>
      <c r="V24" s="16"/>
      <c r="W24" s="16"/>
      <c r="X24" s="34">
        <f t="shared" si="8"/>
        <v>-0.39733034902687508</v>
      </c>
      <c r="Y24" s="34">
        <f t="shared" si="9"/>
        <v>0.74695048548097465</v>
      </c>
      <c r="Z24" s="34">
        <f t="shared" si="10"/>
        <v>0.44493871533778073</v>
      </c>
      <c r="AA24" s="34">
        <f t="shared" si="11"/>
        <v>-41.707744989914318</v>
      </c>
      <c r="AB24" s="15"/>
      <c r="AC24" s="34">
        <f t="shared" si="12"/>
        <v>-0.39733034902687508</v>
      </c>
      <c r="AD24" s="34">
        <f t="shared" si="13"/>
        <v>0.58252789105084835</v>
      </c>
      <c r="AE24" s="34">
        <f t="shared" si="14"/>
        <v>0.29852839994487917</v>
      </c>
      <c r="AF24" s="34">
        <f t="shared" si="1"/>
        <v>-25.15188793463259</v>
      </c>
      <c r="AG24" s="15"/>
      <c r="AH24" s="16"/>
    </row>
    <row r="25" spans="1:34" ht="15.75" thickBot="1">
      <c r="A25" s="3" t="s">
        <v>20</v>
      </c>
      <c r="B25" s="53">
        <v>50</v>
      </c>
      <c r="C25" s="19"/>
      <c r="D25" s="14"/>
      <c r="H25" s="17"/>
      <c r="I25" s="17"/>
      <c r="J25" s="41">
        <f t="shared" si="25"/>
        <v>84000</v>
      </c>
      <c r="K25" s="41">
        <v>2</v>
      </c>
      <c r="L25" s="34">
        <f t="shared" si="16"/>
        <v>0.15787140625781837</v>
      </c>
      <c r="M25" s="34">
        <f t="shared" si="15"/>
        <v>0.79586896987275924</v>
      </c>
      <c r="N25" s="34">
        <f t="shared" si="3"/>
        <v>0.49919780030811556</v>
      </c>
      <c r="O25" s="34">
        <f t="shared" si="4"/>
        <v>19.26211575677544</v>
      </c>
      <c r="P25" s="15"/>
      <c r="Q25" s="42">
        <f t="shared" si="22"/>
        <v>0.15787140625781837</v>
      </c>
      <c r="R25" s="34">
        <f t="shared" si="23"/>
        <v>0.63594415980673424</v>
      </c>
      <c r="S25" s="34">
        <f t="shared" si="24"/>
        <v>0.34136747345014279</v>
      </c>
      <c r="T25" s="34">
        <f t="shared" si="0"/>
        <v>11.8163456584779</v>
      </c>
      <c r="U25" s="15"/>
      <c r="V25" s="16"/>
      <c r="W25" s="16"/>
      <c r="X25" s="34">
        <f t="shared" si="8"/>
        <v>0.15787140625781837</v>
      </c>
      <c r="Y25" s="34">
        <f t="shared" si="9"/>
        <v>0.39389745894522415</v>
      </c>
      <c r="Z25" s="34">
        <f t="shared" si="10"/>
        <v>0.17224104027502177</v>
      </c>
      <c r="AA25" s="34">
        <f t="shared" si="11"/>
        <v>5.1228757531248226</v>
      </c>
      <c r="AB25" s="15"/>
      <c r="AC25" s="34">
        <f t="shared" si="12"/>
        <v>0.15787140625781837</v>
      </c>
      <c r="AD25" s="34">
        <f t="shared" si="13"/>
        <v>0.26027034989677111</v>
      </c>
      <c r="AE25" s="34">
        <f t="shared" si="14"/>
        <v>0.10084880230177651</v>
      </c>
      <c r="AF25" s="34">
        <f t="shared" si="1"/>
        <v>2.7305341559493432</v>
      </c>
      <c r="AG25" s="15"/>
      <c r="AH25" s="16"/>
    </row>
    <row r="26" spans="1:34">
      <c r="H26" s="17"/>
      <c r="I26" s="17"/>
      <c r="J26" s="41">
        <f t="shared" si="25"/>
        <v>84000</v>
      </c>
      <c r="K26" s="41">
        <v>3</v>
      </c>
      <c r="L26" s="34">
        <f t="shared" si="16"/>
        <v>-6.2727100949782566E-2</v>
      </c>
      <c r="M26" s="34">
        <f t="shared" si="15"/>
        <v>0.60580503670936314</v>
      </c>
      <c r="N26" s="34">
        <f t="shared" si="3"/>
        <v>0.31673189051720668</v>
      </c>
      <c r="O26" s="34">
        <f t="shared" si="4"/>
        <v>-4.2744070821426678</v>
      </c>
      <c r="P26" s="15"/>
      <c r="Q26" s="42">
        <f t="shared" si="22"/>
        <v>-6.2727100949782566E-2</v>
      </c>
      <c r="R26" s="34">
        <f t="shared" si="23"/>
        <v>0.44252850971400398</v>
      </c>
      <c r="S26" s="34">
        <f t="shared" si="24"/>
        <v>0.20163379822443164</v>
      </c>
      <c r="T26" s="34">
        <f t="shared" si="0"/>
        <v>-2.4583911475737064</v>
      </c>
      <c r="U26" s="15"/>
      <c r="V26" s="16"/>
      <c r="W26" s="16"/>
      <c r="X26" s="34">
        <f t="shared" si="8"/>
        <v>-6.2727100949782566E-2</v>
      </c>
      <c r="Y26" s="34">
        <f t="shared" si="9"/>
        <v>0.14471860874406825</v>
      </c>
      <c r="Z26" s="34">
        <f t="shared" si="10"/>
        <v>4.9275933476683874E-2</v>
      </c>
      <c r="AA26" s="34">
        <f t="shared" si="11"/>
        <v>-0.47776676385701472</v>
      </c>
      <c r="AB26" s="15"/>
      <c r="AC26" s="34">
        <f t="shared" si="12"/>
        <v>-6.2727100949782566E-2</v>
      </c>
      <c r="AD26" s="34">
        <f t="shared" si="13"/>
        <v>8.1018183603509625E-2</v>
      </c>
      <c r="AE26" s="34">
        <f t="shared" si="14"/>
        <v>2.4967148190746774E-2</v>
      </c>
      <c r="AF26" s="34">
        <f t="shared" si="1"/>
        <v>-0.22288507936378119</v>
      </c>
      <c r="AG26" s="15"/>
      <c r="AH26" s="16"/>
    </row>
    <row r="27" spans="1:34" ht="15.75">
      <c r="A27" s="6" t="s">
        <v>67</v>
      </c>
      <c r="H27" s="17"/>
      <c r="I27" s="17"/>
      <c r="J27" s="41">
        <f t="shared" si="25"/>
        <v>84000</v>
      </c>
      <c r="K27" s="41">
        <v>4</v>
      </c>
      <c r="L27" s="34">
        <f t="shared" si="16"/>
        <v>2.4923380913821132E-2</v>
      </c>
      <c r="M27" s="34">
        <f t="shared" si="15"/>
        <v>0.41478825487011656</v>
      </c>
      <c r="N27" s="34">
        <f t="shared" si="3"/>
        <v>0.18462772917897877</v>
      </c>
      <c r="O27" s="34">
        <f t="shared" si="4"/>
        <v>0.87872674331605072</v>
      </c>
      <c r="P27" s="15"/>
      <c r="Q27" s="42">
        <f t="shared" si="22"/>
        <v>2.4923380913821132E-2</v>
      </c>
      <c r="R27" s="34">
        <f t="shared" si="23"/>
        <v>0.27699108421906032</v>
      </c>
      <c r="S27" s="34">
        <f t="shared" si="24"/>
        <v>0.109077241887428</v>
      </c>
      <c r="T27" s="34">
        <f t="shared" si="0"/>
        <v>0.47222896040562978</v>
      </c>
      <c r="U27" s="15"/>
      <c r="V27" s="16"/>
      <c r="W27" s="16"/>
      <c r="X27" s="34">
        <f t="shared" si="8"/>
        <v>2.4923380913821132E-2</v>
      </c>
      <c r="Y27" s="34">
        <f t="shared" si="9"/>
        <v>3.7043789929005366E-2</v>
      </c>
      <c r="Z27" s="34">
        <f t="shared" si="10"/>
        <v>1.0247778746627455E-2</v>
      </c>
      <c r="AA27" s="34">
        <f t="shared" si="11"/>
        <v>3.3169748203808858E-2</v>
      </c>
      <c r="AB27" s="15"/>
      <c r="AC27" s="34">
        <f t="shared" si="12"/>
        <v>2.4923380913821132E-2</v>
      </c>
      <c r="AD27" s="34">
        <f t="shared" si="13"/>
        <v>1.7570743660757407E-2</v>
      </c>
      <c r="AE27" s="34">
        <f t="shared" si="14"/>
        <v>4.468142651577996E-3</v>
      </c>
      <c r="AF27" s="34">
        <f t="shared" si="1"/>
        <v>1.344558146370166E-2</v>
      </c>
      <c r="AG27" s="15"/>
      <c r="AH27" s="16"/>
    </row>
    <row r="28" spans="1:34">
      <c r="H28" s="17"/>
      <c r="I28" s="17"/>
      <c r="J28" s="41">
        <f t="shared" si="25"/>
        <v>84000</v>
      </c>
      <c r="K28" s="41">
        <v>5</v>
      </c>
      <c r="L28" s="34">
        <f t="shared" si="16"/>
        <v>-9.9028156374183079E-3</v>
      </c>
      <c r="M28" s="34">
        <f t="shared" si="15"/>
        <v>0.25545963321782034</v>
      </c>
      <c r="N28" s="34">
        <f t="shared" si="3"/>
        <v>9.8517415628511545E-2</v>
      </c>
      <c r="O28" s="34">
        <f t="shared" si="4"/>
        <v>-0.16669381268541297</v>
      </c>
      <c r="P28" s="15"/>
      <c r="Q28" s="42">
        <f t="shared" si="22"/>
        <v>-9.9028156374183079E-3</v>
      </c>
      <c r="R28" s="34">
        <f t="shared" si="23"/>
        <v>0.15595258883438193</v>
      </c>
      <c r="S28" s="34">
        <f t="shared" si="24"/>
        <v>5.3880213269048183E-2</v>
      </c>
      <c r="T28" s="34">
        <f t="shared" si="0"/>
        <v>-8.3459964855558219E-2</v>
      </c>
      <c r="U28" s="15"/>
      <c r="V28" s="16"/>
      <c r="W28" s="16"/>
      <c r="X28" s="34">
        <f t="shared" si="8"/>
        <v>-9.9028156374183079E-3</v>
      </c>
      <c r="Y28" s="34">
        <f t="shared" si="9"/>
        <v>6.6062694144955105E-3</v>
      </c>
      <c r="Z28" s="34">
        <f t="shared" si="10"/>
        <v>1.5322108720444512E-3</v>
      </c>
      <c r="AA28" s="34">
        <f t="shared" si="11"/>
        <v>-1.6893776338234611E-3</v>
      </c>
      <c r="AB28" s="15"/>
      <c r="AC28" s="34">
        <f t="shared" si="12"/>
        <v>-9.9028156374183079E-3</v>
      </c>
      <c r="AD28" s="34">
        <f t="shared" si="13"/>
        <v>2.6548966398442829E-3</v>
      </c>
      <c r="AE28" s="34">
        <f t="shared" si="14"/>
        <v>5.7269481885565581E-4</v>
      </c>
      <c r="AF28" s="34">
        <f t="shared" si="1"/>
        <v>-5.9183550510353634E-4</v>
      </c>
      <c r="AG28" s="15"/>
      <c r="AH28" s="16"/>
    </row>
    <row r="29" spans="1:34" ht="31.5" customHeight="1">
      <c r="A29" s="1" t="s">
        <v>0</v>
      </c>
      <c r="B29" s="1" t="s">
        <v>3</v>
      </c>
      <c r="H29" s="17"/>
      <c r="I29" s="17">
        <v>5</v>
      </c>
      <c r="J29" s="41">
        <f>$A$41</f>
        <v>175680</v>
      </c>
      <c r="K29" s="41">
        <v>0</v>
      </c>
      <c r="L29" s="34">
        <f t="shared" si="16"/>
        <v>1</v>
      </c>
      <c r="M29" s="34">
        <f t="shared" si="15"/>
        <v>0.99985220346014925</v>
      </c>
      <c r="N29" s="34">
        <f t="shared" si="3"/>
        <v>0.98628228285684116</v>
      </c>
      <c r="O29" s="34">
        <f t="shared" si="4"/>
        <v>462.82945422487063</v>
      </c>
      <c r="P29" s="52">
        <f>SUM(O29:O34)</f>
        <v>356.79021200969089</v>
      </c>
      <c r="Q29" s="42">
        <f t="shared" si="22"/>
        <v>1</v>
      </c>
      <c r="R29" s="34">
        <f t="shared" si="23"/>
        <v>0.97863206244286272</v>
      </c>
      <c r="S29" s="34">
        <f t="shared" si="24"/>
        <v>0.83535087746354431</v>
      </c>
      <c r="T29" s="34">
        <f t="shared" si="0"/>
        <v>359.92922892518152</v>
      </c>
      <c r="U29" s="34">
        <f>SUM(T29:T34)</f>
        <v>279.11892322858989</v>
      </c>
      <c r="V29" s="49">
        <f>($B$17 * SQRT($B$16) / (($B$7 - $B$11)*(1 + $B$15/$B$31 * SQRT($B$16/$B$30)))) * (P29 - U29)</f>
        <v>6.8886060637128141E-2</v>
      </c>
      <c r="W29" s="49"/>
      <c r="X29" s="34">
        <f t="shared" si="8"/>
        <v>1</v>
      </c>
      <c r="Y29" s="34">
        <f t="shared" si="9"/>
        <v>0.99368976892481031</v>
      </c>
      <c r="Z29" s="34">
        <f t="shared" si="10"/>
        <v>0.9104121729442145</v>
      </c>
      <c r="AA29" s="34">
        <f t="shared" si="11"/>
        <v>409.24566777655508</v>
      </c>
      <c r="AB29" s="42">
        <f>SUM(AA29:AA34)</f>
        <v>334.85217559111396</v>
      </c>
      <c r="AC29" s="34">
        <f t="shared" si="12"/>
        <v>1</v>
      </c>
      <c r="AD29" s="34">
        <f t="shared" si="13"/>
        <v>0.95508422899377499</v>
      </c>
      <c r="AE29" s="34">
        <f t="shared" si="14"/>
        <v>0.76176101401682206</v>
      </c>
      <c r="AF29" s="34">
        <f t="shared" si="1"/>
        <v>314.81557024038648</v>
      </c>
      <c r="AG29" s="51">
        <f>SUM(AF29:AF34)</f>
        <v>259.92576019111902</v>
      </c>
      <c r="AH29" s="49">
        <f>($B$17 * SQRT($B$16) / (($B$7 - $B$11)*(1 + $B$15/$B$31 * SQRT($B$16/$B$30)))) * (AB29 - AG29)</f>
        <v>6.6451653829420851E-2</v>
      </c>
    </row>
    <row r="30" spans="1:34">
      <c r="A30" s="3" t="s">
        <v>22</v>
      </c>
      <c r="B30" s="37">
        <f>B20/(1 + $B$25)</f>
        <v>5.2473835612676352E-12</v>
      </c>
      <c r="H30" s="17"/>
      <c r="I30" s="17"/>
      <c r="J30" s="41">
        <f t="shared" ref="J30:J34" si="26">$A$41</f>
        <v>175680</v>
      </c>
      <c r="K30" s="41">
        <v>1</v>
      </c>
      <c r="L30" s="34">
        <f t="shared" si="16"/>
        <v>-0.39733034902687508</v>
      </c>
      <c r="M30" s="34">
        <f t="shared" si="15"/>
        <v>0.97108830184732908</v>
      </c>
      <c r="N30" s="34">
        <f t="shared" si="3"/>
        <v>0.80860134497674885</v>
      </c>
      <c r="O30" s="34">
        <f t="shared" si="4"/>
        <v>-136.35391961408718</v>
      </c>
      <c r="P30" s="15"/>
      <c r="Q30" s="42">
        <f t="shared" si="22"/>
        <v>-0.39733034902687508</v>
      </c>
      <c r="R30" s="34">
        <f t="shared" si="23"/>
        <v>0.910562203130035</v>
      </c>
      <c r="S30" s="34">
        <f t="shared" si="24"/>
        <v>0.66510108205704488</v>
      </c>
      <c r="T30" s="34">
        <f t="shared" si="0"/>
        <v>-103.3023406723253</v>
      </c>
      <c r="U30" s="15"/>
      <c r="V30" s="16"/>
      <c r="W30" s="16"/>
      <c r="X30" s="34">
        <f t="shared" si="8"/>
        <v>-0.39733034902687508</v>
      </c>
      <c r="Y30" s="34">
        <f t="shared" si="9"/>
        <v>0.86979215199777715</v>
      </c>
      <c r="Z30" s="34">
        <f t="shared" si="10"/>
        <v>0.59735608635353021</v>
      </c>
      <c r="AA30" s="34">
        <f t="shared" si="11"/>
        <v>-89.136432859381941</v>
      </c>
      <c r="AB30" s="15"/>
      <c r="AC30" s="34">
        <f t="shared" si="12"/>
        <v>-0.39733034902687508</v>
      </c>
      <c r="AD30" s="34">
        <f t="shared" si="13"/>
        <v>0.77230358542604416</v>
      </c>
      <c r="AE30" s="34">
        <f t="shared" si="14"/>
        <v>0.47222914648443404</v>
      </c>
      <c r="AF30" s="34">
        <f t="shared" si="1"/>
        <v>-65.178754782742516</v>
      </c>
      <c r="AG30" s="15"/>
      <c r="AH30" s="16"/>
    </row>
    <row r="31" spans="1:34">
      <c r="A31" s="29" t="s">
        <v>23</v>
      </c>
      <c r="B31" s="38">
        <f>$B$14*(1+ $B$25)</f>
        <v>23.46</v>
      </c>
      <c r="H31" s="17"/>
      <c r="I31" s="17"/>
      <c r="J31" s="41">
        <f t="shared" si="26"/>
        <v>175680</v>
      </c>
      <c r="K31" s="41">
        <v>2</v>
      </c>
      <c r="L31" s="34">
        <f t="shared" si="16"/>
        <v>0.15787140625781837</v>
      </c>
      <c r="M31" s="34">
        <f t="shared" si="15"/>
        <v>0.89657821766748735</v>
      </c>
      <c r="N31" s="34">
        <f t="shared" si="3"/>
        <v>0.64030807142409829</v>
      </c>
      <c r="O31" s="34">
        <f t="shared" si="4"/>
        <v>38.944918614581837</v>
      </c>
      <c r="P31" s="15"/>
      <c r="Q31" s="42">
        <f t="shared" si="22"/>
        <v>0.15787140625781837</v>
      </c>
      <c r="R31" s="34">
        <f t="shared" si="23"/>
        <v>0.80539020683951557</v>
      </c>
      <c r="S31" s="34">
        <f t="shared" si="24"/>
        <v>0.51059048896287296</v>
      </c>
      <c r="T31" s="34">
        <f t="shared" si="0"/>
        <v>28.699027218189222</v>
      </c>
      <c r="U31" s="15"/>
      <c r="V31" s="16"/>
      <c r="W31" s="16"/>
      <c r="X31" s="34">
        <f t="shared" si="8"/>
        <v>0.15787140625781837</v>
      </c>
      <c r="Y31" s="34">
        <f t="shared" si="9"/>
        <v>0.64052439229874547</v>
      </c>
      <c r="Z31" s="34">
        <f t="shared" si="10"/>
        <v>0.34522374610944606</v>
      </c>
      <c r="AA31" s="34">
        <f t="shared" si="11"/>
        <v>17.331802096236597</v>
      </c>
      <c r="AB31" s="15"/>
      <c r="AC31" s="34">
        <f t="shared" si="12"/>
        <v>0.15787140625781837</v>
      </c>
      <c r="AD31" s="34">
        <f t="shared" si="13"/>
        <v>0.52539985698865166</v>
      </c>
      <c r="AE31" s="34">
        <f t="shared" si="14"/>
        <v>0.25656619533102237</v>
      </c>
      <c r="AF31" s="34">
        <f t="shared" si="1"/>
        <v>11.989623998225277</v>
      </c>
      <c r="AG31" s="15"/>
      <c r="AH31" s="16"/>
    </row>
    <row r="32" spans="1:34" ht="18.75" customHeight="1">
      <c r="H32" s="17"/>
      <c r="I32" s="17"/>
      <c r="J32" s="41">
        <f t="shared" si="26"/>
        <v>175680</v>
      </c>
      <c r="K32" s="41">
        <v>3</v>
      </c>
      <c r="L32" s="34">
        <f t="shared" si="16"/>
        <v>-6.2727100949782566E-2</v>
      </c>
      <c r="M32" s="34">
        <f t="shared" si="15"/>
        <v>0.78690841785579535</v>
      </c>
      <c r="N32" s="34">
        <f t="shared" si="3"/>
        <v>0.48874553916697228</v>
      </c>
      <c r="O32" s="34">
        <f t="shared" si="4"/>
        <v>-10.764187940590503</v>
      </c>
      <c r="P32" s="15"/>
      <c r="Q32" s="42">
        <f t="shared" si="22"/>
        <v>-6.2727100949782566E-2</v>
      </c>
      <c r="R32" s="34">
        <f t="shared" si="23"/>
        <v>0.67718856584121734</v>
      </c>
      <c r="S32" s="34">
        <f t="shared" si="24"/>
        <v>0.3772601280549559</v>
      </c>
      <c r="T32" s="34">
        <f t="shared" si="0"/>
        <v>-7.7046165065126839</v>
      </c>
      <c r="U32" s="15"/>
      <c r="V32" s="16"/>
      <c r="W32" s="16"/>
      <c r="X32" s="34">
        <f t="shared" si="8"/>
        <v>-6.2727100949782566E-2</v>
      </c>
      <c r="Y32" s="34">
        <f t="shared" si="9"/>
        <v>0.39683629229020467</v>
      </c>
      <c r="Z32" s="34">
        <f t="shared" si="10"/>
        <v>0.17396227515576101</v>
      </c>
      <c r="AA32" s="34">
        <f t="shared" si="11"/>
        <v>-2.9787742310097989</v>
      </c>
      <c r="AB32" s="15"/>
      <c r="AC32" s="34">
        <f t="shared" si="12"/>
        <v>-6.2727100949782566E-2</v>
      </c>
      <c r="AD32" s="34">
        <f t="shared" si="13"/>
        <v>0.30070965424308266</v>
      </c>
      <c r="AE32" s="34">
        <f t="shared" si="14"/>
        <v>0.12108577115584526</v>
      </c>
      <c r="AF32" s="34">
        <f t="shared" si="1"/>
        <v>-1.9416571535533849</v>
      </c>
      <c r="AG32" s="15"/>
      <c r="AH32" s="16"/>
    </row>
    <row r="33" spans="1:34" ht="15.75">
      <c r="A33" s="6" t="s">
        <v>94</v>
      </c>
      <c r="H33" s="17"/>
      <c r="I33" s="17"/>
      <c r="J33" s="41">
        <f t="shared" si="26"/>
        <v>175680</v>
      </c>
      <c r="K33" s="41">
        <v>4</v>
      </c>
      <c r="L33" s="34">
        <f t="shared" si="16"/>
        <v>2.4923380913821132E-2</v>
      </c>
      <c r="M33" s="34">
        <f t="shared" si="15"/>
        <v>0.65654839715953428</v>
      </c>
      <c r="N33" s="34">
        <f t="shared" si="3"/>
        <v>0.35896305808311479</v>
      </c>
      <c r="O33" s="34">
        <f t="shared" si="4"/>
        <v>2.8742958360976307</v>
      </c>
      <c r="P33" s="15"/>
      <c r="Q33" s="42">
        <f t="shared" si="22"/>
        <v>2.4923380913821132E-2</v>
      </c>
      <c r="R33" s="34">
        <f t="shared" si="23"/>
        <v>0.54127682778649722</v>
      </c>
      <c r="S33" s="34">
        <f t="shared" si="24"/>
        <v>0.26786476476198895</v>
      </c>
      <c r="T33" s="34">
        <f t="shared" si="0"/>
        <v>1.9956635604770645</v>
      </c>
      <c r="U33" s="15"/>
      <c r="V33" s="16"/>
      <c r="W33" s="16"/>
      <c r="X33" s="34">
        <f t="shared" si="8"/>
        <v>2.4923380913821132E-2</v>
      </c>
      <c r="Y33" s="34">
        <f t="shared" si="9"/>
        <v>0.20684385125398166</v>
      </c>
      <c r="Z33" s="34">
        <f t="shared" si="10"/>
        <v>7.5853379094439732E-2</v>
      </c>
      <c r="AA33" s="34">
        <f t="shared" si="11"/>
        <v>0.44877898505696701</v>
      </c>
      <c r="AB33" s="15"/>
      <c r="AC33" s="34">
        <f t="shared" si="12"/>
        <v>2.4923380913821132E-2</v>
      </c>
      <c r="AD33" s="34">
        <f t="shared" si="13"/>
        <v>0.14479725014396141</v>
      </c>
      <c r="AE33" s="34">
        <f t="shared" si="14"/>
        <v>4.9307848482763164E-2</v>
      </c>
      <c r="AF33" s="34">
        <f t="shared" si="1"/>
        <v>0.2747308290304622</v>
      </c>
      <c r="AG33" s="15"/>
      <c r="AH33" s="16"/>
    </row>
    <row r="34" spans="1:34">
      <c r="A34" t="s">
        <v>9</v>
      </c>
      <c r="H34" s="17"/>
      <c r="I34" s="17"/>
      <c r="J34" s="41">
        <f t="shared" si="26"/>
        <v>175680</v>
      </c>
      <c r="K34" s="41">
        <v>5</v>
      </c>
      <c r="L34" s="34">
        <f t="shared" si="16"/>
        <v>-9.9028156374183079E-3</v>
      </c>
      <c r="M34" s="34">
        <f t="shared" si="15"/>
        <v>0.52073389395855796</v>
      </c>
      <c r="N34" s="34">
        <f t="shared" si="3"/>
        <v>0.25329606609907102</v>
      </c>
      <c r="O34" s="34">
        <f t="shared" si="4"/>
        <v>-0.74034911118159163</v>
      </c>
      <c r="P34" s="15"/>
      <c r="Q34" s="42">
        <f t="shared" si="22"/>
        <v>-9.9028156374183079E-3</v>
      </c>
      <c r="R34" s="34">
        <f t="shared" si="23"/>
        <v>0.41127830453276115</v>
      </c>
      <c r="S34" s="34">
        <f t="shared" si="24"/>
        <v>0.18252179575664923</v>
      </c>
      <c r="T34" s="34">
        <f t="shared" si="0"/>
        <v>-0.49803929641988254</v>
      </c>
      <c r="U34" s="15"/>
      <c r="V34" s="16"/>
      <c r="W34" s="16"/>
      <c r="X34" s="34">
        <f t="shared" si="8"/>
        <v>-9.9028156374183079E-3</v>
      </c>
      <c r="Y34" s="34">
        <f t="shared" si="9"/>
        <v>9.0704611873028515E-2</v>
      </c>
      <c r="Z34" s="34">
        <f t="shared" si="10"/>
        <v>2.8454878276233067E-2</v>
      </c>
      <c r="AA34" s="34">
        <f t="shared" si="11"/>
        <v>-5.88661763428346E-2</v>
      </c>
      <c r="AB34" s="15"/>
      <c r="AC34" s="34">
        <f t="shared" si="12"/>
        <v>-9.9028156374183079E-3</v>
      </c>
      <c r="AD34" s="34">
        <f t="shared" si="13"/>
        <v>5.8658206353527642E-2</v>
      </c>
      <c r="AE34" s="34">
        <f t="shared" si="14"/>
        <v>1.7237246061711193E-2</v>
      </c>
      <c r="AF34" s="34">
        <f t="shared" si="1"/>
        <v>-3.3752940227288475E-2</v>
      </c>
      <c r="AG34" s="15"/>
      <c r="AH34" s="16"/>
    </row>
    <row r="35" spans="1:34" ht="45" customHeight="1">
      <c r="H35" s="17"/>
      <c r="I35" s="17">
        <v>5</v>
      </c>
      <c r="J35" s="41">
        <f>$A$42</f>
        <v>258180</v>
      </c>
      <c r="K35" s="41">
        <v>0</v>
      </c>
      <c r="L35" s="34">
        <f t="shared" si="16"/>
        <v>1</v>
      </c>
      <c r="M35" s="34">
        <f t="shared" si="15"/>
        <v>0.99989942865717585</v>
      </c>
      <c r="N35" s="34">
        <f t="shared" si="3"/>
        <v>0.98868411451373073</v>
      </c>
      <c r="O35" s="34">
        <f t="shared" si="4"/>
        <v>563.21156830679013</v>
      </c>
      <c r="P35" s="52">
        <f>SUM(O35:O40)</f>
        <v>428.7406151544364</v>
      </c>
      <c r="Q35" s="42">
        <f t="shared" si="22"/>
        <v>1</v>
      </c>
      <c r="R35" s="34">
        <f t="shared" si="23"/>
        <v>0.98540995766647144</v>
      </c>
      <c r="S35" s="34">
        <f t="shared" si="24"/>
        <v>0.863870068686036</v>
      </c>
      <c r="T35" s="34">
        <f t="shared" si="0"/>
        <v>458.55085194833669</v>
      </c>
      <c r="U35" s="34">
        <f>SUM(T35:T40)</f>
        <v>350.53931026131568</v>
      </c>
      <c r="V35" s="49">
        <f>($B$17 * SQRT($B$16) / (($B$7 - $B$11)*(1 + $B$15/$B$31 * SQRT($B$16/$B$30)))) * (P35 - U35)</f>
        <v>6.9356127795845476E-2</v>
      </c>
      <c r="W35" s="49"/>
      <c r="X35" s="34">
        <f t="shared" si="8"/>
        <v>1</v>
      </c>
      <c r="Y35" s="34">
        <f t="shared" si="9"/>
        <v>0.99570182748312086</v>
      </c>
      <c r="Z35" s="34">
        <f t="shared" si="10"/>
        <v>0.92604947192478726</v>
      </c>
      <c r="AA35" s="34">
        <f t="shared" si="11"/>
        <v>509.11716726210875</v>
      </c>
      <c r="AB35" s="42">
        <f>SUM(AA35:AA40)</f>
        <v>407.75163113190968</v>
      </c>
      <c r="AC35" s="34">
        <f t="shared" si="12"/>
        <v>1</v>
      </c>
      <c r="AD35" s="34">
        <f t="shared" si="13"/>
        <v>0.96921303691341343</v>
      </c>
      <c r="AE35" s="34">
        <f t="shared" si="14"/>
        <v>0.80252289808245081</v>
      </c>
      <c r="AF35" s="34">
        <f t="shared" si="1"/>
        <v>411.47619238275524</v>
      </c>
      <c r="AG35" s="51">
        <f>SUM(AF35:AF40)</f>
        <v>331.7471843261734</v>
      </c>
      <c r="AH35" s="49">
        <f>($B$17 * SQRT($B$16) / (($B$7 - $B$11)*(1 + $B$15/$B$31 * SQRT($B$16/$B$30)))) * (AB35 - AG35)</f>
        <v>6.7407751480818345E-2</v>
      </c>
    </row>
    <row r="36" spans="1:34" ht="45" customHeight="1">
      <c r="A36" s="1" t="s">
        <v>2</v>
      </c>
      <c r="B36" s="1" t="s">
        <v>63</v>
      </c>
      <c r="C36" t="s">
        <v>61</v>
      </c>
      <c r="D36" t="s">
        <v>16</v>
      </c>
      <c r="E36" s="21" t="s">
        <v>18</v>
      </c>
      <c r="H36" s="17"/>
      <c r="I36" s="17"/>
      <c r="J36" s="41">
        <f t="shared" ref="J36:J40" si="27">$A$42</f>
        <v>258180</v>
      </c>
      <c r="K36" s="41">
        <v>1</v>
      </c>
      <c r="L36" s="34">
        <f t="shared" si="16"/>
        <v>-0.39733034902687508</v>
      </c>
      <c r="M36" s="34">
        <f t="shared" si="15"/>
        <v>0.98023482488024316</v>
      </c>
      <c r="N36" s="34">
        <f t="shared" si="3"/>
        <v>0.84162487158464594</v>
      </c>
      <c r="O36" s="34">
        <f t="shared" si="4"/>
        <v>-175.29001155634447</v>
      </c>
      <c r="P36" s="15"/>
      <c r="Q36" s="42">
        <f t="shared" si="22"/>
        <v>-0.39733034902687508</v>
      </c>
      <c r="R36" s="34">
        <f t="shared" si="23"/>
        <v>0.93823581396359423</v>
      </c>
      <c r="S36" s="34">
        <f t="shared" si="24"/>
        <v>0.72103003482827921</v>
      </c>
      <c r="T36" s="34">
        <f t="shared" si="0"/>
        <v>-140.22659262582954</v>
      </c>
      <c r="U36" s="15"/>
      <c r="V36" s="16"/>
      <c r="W36" s="16"/>
      <c r="X36" s="34">
        <f t="shared" si="8"/>
        <v>-0.39733034902687508</v>
      </c>
      <c r="Y36" s="34">
        <f t="shared" si="9"/>
        <v>0.90944184638029457</v>
      </c>
      <c r="Z36" s="34">
        <f t="shared" si="10"/>
        <v>0.6630427840557761</v>
      </c>
      <c r="AA36" s="42">
        <f t="shared" si="11"/>
        <v>-124.69306535190177</v>
      </c>
      <c r="AB36" s="15"/>
      <c r="AC36" s="34">
        <f t="shared" si="12"/>
        <v>-0.39733034902687508</v>
      </c>
      <c r="AD36" s="34">
        <f t="shared" si="13"/>
        <v>0.83877361894919111</v>
      </c>
      <c r="AE36" s="34">
        <f t="shared" si="14"/>
        <v>0.55319251553260163</v>
      </c>
      <c r="AF36" s="34">
        <f t="shared" si="1"/>
        <v>-97.420587066730747</v>
      </c>
      <c r="AG36" s="15"/>
      <c r="AH36" s="16"/>
    </row>
    <row r="37" spans="1:34">
      <c r="A37" s="39">
        <f>INPUT_DATA!A3</f>
        <v>5880</v>
      </c>
      <c r="B37" s="40">
        <f>INPUT_DATA!B3</f>
        <v>4.7822179035781495E-2</v>
      </c>
      <c r="C37" s="44">
        <f>$V$5</f>
        <v>5.2728523559477061E-2</v>
      </c>
      <c r="D37" s="41">
        <f>(B37-C37)^2</f>
        <v>2.4072216585197472E-5</v>
      </c>
      <c r="E37" s="42">
        <f>SUM(D37:D42)</f>
        <v>4.3985313303819371E-5</v>
      </c>
      <c r="H37" s="17"/>
      <c r="I37" s="17"/>
      <c r="J37" s="41">
        <f t="shared" si="27"/>
        <v>258180</v>
      </c>
      <c r="K37" s="41">
        <v>2</v>
      </c>
      <c r="L37" s="34">
        <f t="shared" si="16"/>
        <v>0.15787140625781837</v>
      </c>
      <c r="M37" s="34">
        <f t="shared" si="15"/>
        <v>0.9284069200159164</v>
      </c>
      <c r="N37" s="34">
        <f t="shared" si="3"/>
        <v>0.69990539009295205</v>
      </c>
      <c r="O37" s="34">
        <f t="shared" si="4"/>
        <v>53.430125185195926</v>
      </c>
      <c r="P37" s="15"/>
      <c r="Q37" s="42">
        <f t="shared" si="22"/>
        <v>0.15787140625781837</v>
      </c>
      <c r="R37" s="34">
        <f t="shared" si="23"/>
        <v>0.86306101659155676</v>
      </c>
      <c r="S37" s="34">
        <f t="shared" si="24"/>
        <v>0.58732591555191105</v>
      </c>
      <c r="T37" s="34">
        <f t="shared" si="0"/>
        <v>41.959630833481718</v>
      </c>
      <c r="U37" s="15"/>
      <c r="V37" s="16"/>
      <c r="W37" s="16"/>
      <c r="X37" s="34">
        <f t="shared" si="8"/>
        <v>0.15787140625781837</v>
      </c>
      <c r="Y37" s="34">
        <f t="shared" si="9"/>
        <v>0.73850958350608442</v>
      </c>
      <c r="Z37" s="34">
        <f t="shared" si="10"/>
        <v>0.43620613092871319</v>
      </c>
      <c r="AA37" s="34">
        <f t="shared" si="11"/>
        <v>28.316466966635119</v>
      </c>
      <c r="AB37" s="15"/>
      <c r="AC37" s="34">
        <f t="shared" si="12"/>
        <v>0.15787140625781837</v>
      </c>
      <c r="AD37" s="34">
        <f t="shared" si="13"/>
        <v>0.64536565642591481</v>
      </c>
      <c r="AE37" s="34">
        <f t="shared" si="14"/>
        <v>0.34933358561597772</v>
      </c>
      <c r="AF37" s="34">
        <f t="shared" si="1"/>
        <v>21.326482017373618</v>
      </c>
      <c r="AG37" s="15"/>
      <c r="AH37" s="16"/>
    </row>
    <row r="38" spans="1:34" ht="22.5" customHeight="1">
      <c r="A38" s="39">
        <f>INPUT_DATA!A4</f>
        <v>11880</v>
      </c>
      <c r="B38" s="40">
        <f>INPUT_DATA!B4</f>
        <v>5.7148412677431065E-2</v>
      </c>
      <c r="C38" s="44">
        <f>$V$11</f>
        <v>5.976063015544817E-2</v>
      </c>
      <c r="D38" s="41">
        <f t="shared" ref="D38:D42" si="28">(B38-C38)^2</f>
        <v>6.8236801524580445E-6</v>
      </c>
      <c r="H38" s="17"/>
      <c r="I38" s="17"/>
      <c r="J38" s="41">
        <f t="shared" si="27"/>
        <v>258180</v>
      </c>
      <c r="K38" s="41">
        <v>3</v>
      </c>
      <c r="L38" s="34">
        <f t="shared" si="16"/>
        <v>-6.2727100949782566E-2</v>
      </c>
      <c r="M38" s="34">
        <f t="shared" si="15"/>
        <v>0.84953454573262843</v>
      </c>
      <c r="N38" s="34">
        <f t="shared" si="3"/>
        <v>0.56794483409320773</v>
      </c>
      <c r="O38" s="34">
        <f t="shared" si="4"/>
        <v>-15.933320054254622</v>
      </c>
      <c r="P38" s="15"/>
      <c r="Q38" s="42">
        <f t="shared" si="22"/>
        <v>-6.2727100949782566E-2</v>
      </c>
      <c r="R38" s="34">
        <f t="shared" si="23"/>
        <v>0.76701777438347452</v>
      </c>
      <c r="S38" s="34">
        <f t="shared" si="24"/>
        <v>0.4664006707393894</v>
      </c>
      <c r="T38" s="34">
        <f t="shared" si="0"/>
        <v>-12.273339274212038</v>
      </c>
      <c r="U38" s="15"/>
      <c r="V38" s="16"/>
      <c r="W38" s="16"/>
      <c r="X38" s="34">
        <f t="shared" si="8"/>
        <v>-6.2727100949782566E-2</v>
      </c>
      <c r="Y38" s="34">
        <f t="shared" si="9"/>
        <v>0.53317884516290437</v>
      </c>
      <c r="Z38" s="34">
        <f t="shared" si="10"/>
        <v>0.26206855126413731</v>
      </c>
      <c r="AA38" s="34">
        <f t="shared" si="11"/>
        <v>-5.9273616343265916</v>
      </c>
      <c r="AB38" s="15"/>
      <c r="AC38" s="34">
        <f t="shared" si="12"/>
        <v>-6.2727100949782566E-2</v>
      </c>
      <c r="AD38" s="34">
        <f t="shared" si="13"/>
        <v>0.44147133579259362</v>
      </c>
      <c r="AE38" s="34">
        <f t="shared" si="14"/>
        <v>0.20097370095058298</v>
      </c>
      <c r="AF38" s="34">
        <f t="shared" si="1"/>
        <v>-4.292970471008748</v>
      </c>
      <c r="AG38" s="15"/>
      <c r="AH38" s="16"/>
    </row>
    <row r="39" spans="1:34">
      <c r="A39" s="39">
        <f>INPUT_DATA!A5</f>
        <v>27240</v>
      </c>
      <c r="B39" s="40">
        <f>INPUT_DATA!B5</f>
        <v>6.4532832558877332E-2</v>
      </c>
      <c r="C39" s="44">
        <f>$V$17</f>
        <v>6.4340848526866543E-2</v>
      </c>
      <c r="D39" s="41">
        <f t="shared" si="28"/>
        <v>3.685786854711968E-8</v>
      </c>
      <c r="H39" s="17"/>
      <c r="I39" s="17"/>
      <c r="J39" s="41">
        <f t="shared" si="27"/>
        <v>258180</v>
      </c>
      <c r="K39" s="41">
        <v>4</v>
      </c>
      <c r="L39" s="34">
        <f t="shared" si="16"/>
        <v>2.4923380913821132E-2</v>
      </c>
      <c r="M39" s="34">
        <f t="shared" si="15"/>
        <v>0.75103149980511585</v>
      </c>
      <c r="N39" s="34">
        <f t="shared" si="3"/>
        <v>0.44922150628907809</v>
      </c>
      <c r="O39" s="34">
        <f t="shared" si="4"/>
        <v>4.644010727192728</v>
      </c>
      <c r="P39" s="15"/>
      <c r="Q39" s="42">
        <f t="shared" si="22"/>
        <v>2.4923380913821132E-2</v>
      </c>
      <c r="R39" s="34">
        <f t="shared" si="23"/>
        <v>0.65857279963967896</v>
      </c>
      <c r="S39" s="34">
        <f t="shared" si="24"/>
        <v>0.36072707321955144</v>
      </c>
      <c r="T39" s="34">
        <f t="shared" si="0"/>
        <v>3.5060971542182378</v>
      </c>
      <c r="U39" s="15"/>
      <c r="V39" s="16"/>
      <c r="W39" s="16"/>
      <c r="X39" s="34">
        <f t="shared" si="8"/>
        <v>2.4923380913821132E-2</v>
      </c>
      <c r="Y39" s="34">
        <f t="shared" si="9"/>
        <v>0.34223565720080962</v>
      </c>
      <c r="Z39" s="34">
        <f t="shared" si="10"/>
        <v>0.14308057776327293</v>
      </c>
      <c r="AA39" s="34">
        <f t="shared" si="11"/>
        <v>1.1378830282002266</v>
      </c>
      <c r="AB39" s="15"/>
      <c r="AC39" s="34">
        <f t="shared" si="12"/>
        <v>2.4923380913821132E-2</v>
      </c>
      <c r="AD39" s="34">
        <f t="shared" si="13"/>
        <v>0.2684940977962138</v>
      </c>
      <c r="AE39" s="34">
        <f t="shared" si="14"/>
        <v>0.10487144259086338</v>
      </c>
      <c r="AF39" s="34">
        <f t="shared" si="1"/>
        <v>0.79086806685793298</v>
      </c>
      <c r="AG39" s="15"/>
      <c r="AH39" s="16"/>
    </row>
    <row r="40" spans="1:34">
      <c r="A40" s="39">
        <f>INPUT_DATA!A6</f>
        <v>84000</v>
      </c>
      <c r="B40" s="40">
        <f>INPUT_DATA!B6</f>
        <v>6.9396457990384991E-2</v>
      </c>
      <c r="C40" s="44">
        <f>$V$23</f>
        <v>6.7641407995800665E-2</v>
      </c>
      <c r="D40" s="41">
        <f t="shared" si="28"/>
        <v>3.0802004834904434E-6</v>
      </c>
      <c r="H40" s="17"/>
      <c r="I40" s="15"/>
      <c r="J40" s="41">
        <f t="shared" si="27"/>
        <v>258180</v>
      </c>
      <c r="K40" s="41">
        <v>5</v>
      </c>
      <c r="L40" s="34">
        <f t="shared" si="16"/>
        <v>-9.9028156374183079E-3</v>
      </c>
      <c r="M40" s="34">
        <f t="shared" si="15"/>
        <v>0.64146017010535683</v>
      </c>
      <c r="N40" s="34">
        <f t="shared" si="3"/>
        <v>0.34601541914783285</v>
      </c>
      <c r="O40" s="34">
        <f t="shared" si="4"/>
        <v>-1.3217574541433241</v>
      </c>
      <c r="P40" s="15"/>
      <c r="Q40" s="42">
        <f t="shared" si="22"/>
        <v>-9.9028156374183079E-3</v>
      </c>
      <c r="R40" s="34">
        <f t="shared" si="23"/>
        <v>0.54630677280253748</v>
      </c>
      <c r="S40" s="34">
        <f t="shared" si="24"/>
        <v>0.27150068372675534</v>
      </c>
      <c r="T40" s="34">
        <f t="shared" si="0"/>
        <v>-0.977337774679363</v>
      </c>
      <c r="U40" s="15"/>
      <c r="V40" s="16"/>
      <c r="W40" s="16"/>
      <c r="X40" s="34">
        <f t="shared" si="8"/>
        <v>-9.9028156374183079E-3</v>
      </c>
      <c r="Y40" s="34">
        <f t="shared" si="9"/>
        <v>0.19530491613419707</v>
      </c>
      <c r="Z40" s="34">
        <f t="shared" si="10"/>
        <v>7.0713220408937863E-2</v>
      </c>
      <c r="AA40" s="34">
        <f t="shared" si="11"/>
        <v>-0.19945913880612828</v>
      </c>
      <c r="AB40" s="15"/>
      <c r="AC40" s="34">
        <f t="shared" si="12"/>
        <v>-9.9028156374183079E-3</v>
      </c>
      <c r="AD40" s="34">
        <f t="shared" si="13"/>
        <v>0.14517858133300598</v>
      </c>
      <c r="AE40" s="34">
        <f t="shared" si="14"/>
        <v>4.9462667552440269E-2</v>
      </c>
      <c r="AF40" s="34">
        <f t="shared" si="1"/>
        <v>-0.13280060307391578</v>
      </c>
      <c r="AG40" s="15"/>
      <c r="AH40" s="16"/>
    </row>
    <row r="41" spans="1:34">
      <c r="A41" s="39">
        <f>INPUT_DATA!A7</f>
        <v>175680</v>
      </c>
      <c r="B41" s="40">
        <f>INPUT_DATA!B7</f>
        <v>7.1274140693491791E-2</v>
      </c>
      <c r="C41" s="44">
        <f>$V$29</f>
        <v>6.8886060637128141E-2</v>
      </c>
      <c r="D41" s="41">
        <f t="shared" si="28"/>
        <v>5.702926355601817E-6</v>
      </c>
      <c r="H41" s="15"/>
      <c r="V41" s="7"/>
      <c r="W41" s="7"/>
      <c r="Y41" s="10"/>
      <c r="Z41" s="10"/>
      <c r="AA41" s="10"/>
      <c r="AF41" s="10"/>
    </row>
    <row r="42" spans="1:34">
      <c r="A42" s="39">
        <f>INPUT_DATA!A8</f>
        <v>258180</v>
      </c>
      <c r="B42" s="40">
        <f>INPUT_DATA!B8</f>
        <v>7.1422388151784311E-2</v>
      </c>
      <c r="C42" s="44">
        <f>$V$35</f>
        <v>6.9356127795845476E-2</v>
      </c>
      <c r="D42" s="41">
        <f t="shared" si="28"/>
        <v>4.269431858524478E-6</v>
      </c>
      <c r="U42" s="7"/>
      <c r="X42" s="10"/>
      <c r="Y42" s="10"/>
      <c r="Z42" s="10"/>
      <c r="AE42" s="10"/>
    </row>
    <row r="43" spans="1:34">
      <c r="H43" s="15"/>
      <c r="I43" s="15"/>
      <c r="J43" s="1"/>
      <c r="K43" s="1"/>
      <c r="L43" s="15"/>
      <c r="R43" s="15"/>
      <c r="S43" s="15"/>
      <c r="T43" s="15"/>
      <c r="U43" s="16"/>
      <c r="V43" s="15"/>
      <c r="W43" s="15"/>
      <c r="X43" s="10"/>
      <c r="Y43" s="10"/>
      <c r="Z43" s="10"/>
      <c r="AA43" s="15"/>
      <c r="AB43" s="15"/>
      <c r="AC43" s="15"/>
      <c r="AD43" s="15"/>
      <c r="AE43" s="10"/>
      <c r="AF43" s="15"/>
      <c r="AG43" s="15"/>
    </row>
    <row r="44" spans="1:34" ht="105.75" thickBot="1">
      <c r="A44" s="1" t="s">
        <v>2</v>
      </c>
      <c r="B44" s="1" t="s">
        <v>64</v>
      </c>
      <c r="C44" t="s">
        <v>62</v>
      </c>
      <c r="D44" s="4" t="s">
        <v>21</v>
      </c>
      <c r="E44" s="21" t="s">
        <v>19</v>
      </c>
      <c r="F44" s="21" t="s">
        <v>17</v>
      </c>
      <c r="J44" s="12"/>
      <c r="K44" s="13"/>
      <c r="U44" s="16"/>
      <c r="V44" s="15"/>
      <c r="W44" s="15"/>
      <c r="Y44" s="23"/>
      <c r="Z44" s="10"/>
      <c r="AE44" s="10"/>
    </row>
    <row r="45" spans="1:34" ht="15.75" thickBot="1">
      <c r="A45" s="39">
        <f>INPUT_DATA!A13</f>
        <v>5880</v>
      </c>
      <c r="B45" s="40">
        <f>INPUT_DATA!B13</f>
        <v>3.3804055136162706E-2</v>
      </c>
      <c r="C45" s="44">
        <f>$AH$5</f>
        <v>2.7714611816654439E-2</v>
      </c>
      <c r="D45" s="43">
        <f>(B45-C45)^2</f>
        <v>3.7081319941503859E-5</v>
      </c>
      <c r="E45" s="32">
        <f>SUM(D45:D50)</f>
        <v>4.2003129528724515E-5</v>
      </c>
      <c r="F45" s="45">
        <f>SUM(D37:D42,D45:D50)</f>
        <v>8.5988442832543886E-5</v>
      </c>
      <c r="J45" s="12"/>
      <c r="K45" s="24"/>
      <c r="U45" s="16"/>
      <c r="V45" s="15"/>
      <c r="W45" s="15"/>
      <c r="Y45" s="23"/>
      <c r="Z45" s="10"/>
      <c r="AE45" s="10"/>
    </row>
    <row r="46" spans="1:34">
      <c r="A46" s="39">
        <f>INPUT_DATA!A14</f>
        <v>11880</v>
      </c>
      <c r="B46" s="40">
        <f>INPUT_DATA!B14</f>
        <v>4.1216421844568814E-2</v>
      </c>
      <c r="C46" s="44">
        <f>$AH$11</f>
        <v>4.278033587129465E-2</v>
      </c>
      <c r="D46" s="43">
        <f t="shared" ref="D46:D50" si="29">(B46-C46)^2</f>
        <v>2.44582708298982E-6</v>
      </c>
      <c r="J46" s="12"/>
      <c r="K46" s="24"/>
      <c r="U46" s="16"/>
      <c r="V46" s="15"/>
      <c r="W46" s="15"/>
      <c r="Y46" s="23"/>
      <c r="Z46" s="10"/>
      <c r="AE46" s="10"/>
    </row>
    <row r="47" spans="1:34">
      <c r="A47" s="39">
        <f>INPUT_DATA!A15</f>
        <v>27240</v>
      </c>
      <c r="B47" s="40">
        <f>INPUT_DATA!B15</f>
        <v>5.4794402188342632E-2</v>
      </c>
      <c r="C47" s="44">
        <f>$AH$17</f>
        <v>5.5740798759103788E-2</v>
      </c>
      <c r="D47" s="43">
        <f t="shared" si="29"/>
        <v>8.9566646914847522E-7</v>
      </c>
      <c r="J47" s="12"/>
      <c r="K47" s="24"/>
      <c r="U47" s="16"/>
      <c r="V47" s="15"/>
      <c r="W47" s="15"/>
      <c r="Y47" s="23"/>
      <c r="Z47" s="10"/>
      <c r="AE47" s="10"/>
    </row>
    <row r="48" spans="1:34">
      <c r="A48" s="39">
        <f>INPUT_DATA!A16</f>
        <v>84000</v>
      </c>
      <c r="B48" s="40">
        <f>INPUT_DATA!B16</f>
        <v>6.3637675766395868E-2</v>
      </c>
      <c r="C48" s="44">
        <f>$AH$23</f>
        <v>6.3848448773802566E-2</v>
      </c>
      <c r="D48" s="43">
        <f t="shared" si="29"/>
        <v>4.442526065126384E-8</v>
      </c>
      <c r="J48" s="12"/>
      <c r="K48" s="25"/>
      <c r="U48" s="16"/>
      <c r="V48" s="15"/>
      <c r="W48" s="15"/>
      <c r="Y48" s="23"/>
      <c r="Z48" s="10"/>
      <c r="AE48" s="10"/>
    </row>
    <row r="49" spans="1:31">
      <c r="A49" s="39">
        <f>INPUT_DATA!A17</f>
        <v>175680</v>
      </c>
      <c r="B49" s="40">
        <f>INPUT_DATA!B17</f>
        <v>6.675602641460629E-2</v>
      </c>
      <c r="C49" s="44">
        <f>$AH$29</f>
        <v>6.6451653829420851E-2</v>
      </c>
      <c r="D49" s="43">
        <f t="shared" si="29"/>
        <v>9.2642670612467301E-8</v>
      </c>
      <c r="J49" s="12"/>
      <c r="K49" s="25"/>
      <c r="U49" s="16"/>
      <c r="V49" s="15"/>
      <c r="W49" s="15"/>
      <c r="Y49" s="23"/>
      <c r="Z49" s="10"/>
      <c r="AE49" s="10"/>
    </row>
    <row r="50" spans="1:31">
      <c r="A50" s="39">
        <f>INPUT_DATA!A18</f>
        <v>258180</v>
      </c>
      <c r="B50" s="40">
        <f>INPUT_DATA!B18</f>
        <v>6.8609104095090537E-2</v>
      </c>
      <c r="C50" s="44">
        <f>$AH$35</f>
        <v>6.7407751480818345E-2</v>
      </c>
      <c r="D50" s="43">
        <f t="shared" si="29"/>
        <v>1.4432481038186287E-6</v>
      </c>
      <c r="K50" s="26"/>
      <c r="U50" s="7"/>
      <c r="X50" s="10"/>
      <c r="Y50" s="10"/>
      <c r="Z50" s="10"/>
      <c r="AE50" s="10"/>
    </row>
    <row r="51" spans="1:31">
      <c r="U51" s="7"/>
      <c r="X51" s="10"/>
      <c r="Y51" s="10"/>
      <c r="Z51" s="10"/>
      <c r="AE51" s="10"/>
    </row>
    <row r="52" spans="1:31" ht="15.75">
      <c r="A52" s="6" t="s">
        <v>95</v>
      </c>
      <c r="U52" s="7"/>
      <c r="X52" s="10"/>
      <c r="Y52" s="10"/>
      <c r="Z52" s="10"/>
      <c r="AE52" s="10"/>
    </row>
    <row r="53" spans="1:31">
      <c r="U53" s="7"/>
      <c r="X53" s="10"/>
      <c r="Y53" s="10"/>
      <c r="Z53" s="10"/>
      <c r="AE53" s="10"/>
    </row>
    <row r="54" spans="1:31">
      <c r="A54" s="8" t="s">
        <v>68</v>
      </c>
      <c r="U54" s="7"/>
      <c r="X54" s="10"/>
      <c r="Y54" s="10"/>
      <c r="Z54" s="10"/>
      <c r="AE54" s="10"/>
    </row>
    <row r="55" spans="1:31">
      <c r="A55" s="8" t="s">
        <v>69</v>
      </c>
      <c r="U55" s="7"/>
      <c r="X55" s="10"/>
      <c r="Y55" s="10"/>
      <c r="Z55" s="10"/>
      <c r="AE55" s="10"/>
    </row>
    <row r="56" spans="1:31">
      <c r="A56" s="8" t="s">
        <v>4</v>
      </c>
      <c r="U56" s="7"/>
      <c r="X56" s="10"/>
      <c r="Y56" s="10"/>
      <c r="Z56" s="10"/>
      <c r="AE56" s="10"/>
    </row>
    <row r="57" spans="1:31" ht="15" customHeight="1">
      <c r="U57" s="7"/>
      <c r="X57" s="10"/>
      <c r="Y57" s="10"/>
      <c r="Z57" s="10"/>
      <c r="AE57" s="10"/>
    </row>
  </sheetData>
  <phoneticPr fontId="28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INPUT_DATA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Josep Galceran Nogués</cp:lastModifiedBy>
  <dcterms:created xsi:type="dcterms:W3CDTF">2024-10-16T14:04:14Z</dcterms:created>
  <dcterms:modified xsi:type="dcterms:W3CDTF">2026-04-28T14:15:35Z</dcterms:modified>
</cp:coreProperties>
</file>