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Desktop\CA phd\Research project\paper2.LULC BSE (2000_20)\"/>
    </mc:Choice>
  </mc:AlternateContent>
  <xr:revisionPtr revIDLastSave="0" documentId="13_ncr:1_{04FD7DBD-6FFA-4B4A-B8F8-9AF59F3B1875}" xr6:coauthVersionLast="47" xr6:coauthVersionMax="47" xr10:uidLastSave="{00000000-0000-0000-0000-000000000000}"/>
  <bookViews>
    <workbookView xWindow="-110" yWindow="-110" windowWidth="25180" windowHeight="16140" activeTab="2" xr2:uid="{D30C700B-2DB5-4CF0-92AE-1D458898D3D9}"/>
  </bookViews>
  <sheets>
    <sheet name="LULC 2000-2020" sheetId="1" r:id="rId1"/>
    <sheet name="Markov matrix transition" sheetId="5" r:id="rId2"/>
    <sheet name="Mangroves_BSE" sheetId="4" r:id="rId3"/>
    <sheet name="Benefit transfer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E23" i="4"/>
  <c r="E22" i="4"/>
  <c r="G22" i="4"/>
  <c r="D67" i="4" l="1"/>
  <c r="C67" i="4"/>
  <c r="B67" i="4"/>
  <c r="B69" i="6" l="1"/>
  <c r="B72" i="6"/>
  <c r="B73" i="6" s="1"/>
  <c r="J11" i="6"/>
  <c r="I9" i="6"/>
  <c r="G4" i="6"/>
  <c r="G5" i="6"/>
  <c r="G6" i="6"/>
  <c r="K6" i="6" s="1"/>
  <c r="G7" i="6"/>
  <c r="G8" i="6"/>
  <c r="K8" i="6" s="1"/>
  <c r="G9" i="6"/>
  <c r="J9" i="6" s="1"/>
  <c r="G10" i="6"/>
  <c r="K10" i="6" s="1"/>
  <c r="G11" i="6"/>
  <c r="G12" i="6"/>
  <c r="J12" i="6" s="1"/>
  <c r="G13" i="6"/>
  <c r="K13" i="6" s="1"/>
  <c r="G14" i="6"/>
  <c r="J14" i="6" s="1"/>
  <c r="G15" i="6"/>
  <c r="J15" i="6" s="1"/>
  <c r="G16" i="6"/>
  <c r="K16" i="6" s="1"/>
  <c r="G17" i="6"/>
  <c r="G18" i="6"/>
  <c r="K18" i="6" s="1"/>
  <c r="G19" i="6"/>
  <c r="K19" i="6" s="1"/>
  <c r="G20" i="6"/>
  <c r="G21" i="6"/>
  <c r="G3" i="6"/>
  <c r="E20" i="6"/>
  <c r="E18" i="6"/>
  <c r="E12" i="6"/>
  <c r="E13" i="6"/>
  <c r="E11" i="6"/>
  <c r="E9" i="6"/>
  <c r="E8" i="6"/>
  <c r="E4" i="6"/>
  <c r="E5" i="6"/>
  <c r="E6" i="6"/>
  <c r="E7" i="6"/>
  <c r="E10" i="6"/>
  <c r="E14" i="6"/>
  <c r="E15" i="6"/>
  <c r="E16" i="6"/>
  <c r="E17" i="6"/>
  <c r="E19" i="6"/>
  <c r="E21" i="6"/>
  <c r="E3" i="6"/>
  <c r="M2" i="5"/>
  <c r="M3" i="5"/>
  <c r="M4" i="5"/>
  <c r="M5" i="5"/>
  <c r="M6" i="5"/>
  <c r="M7" i="5"/>
  <c r="M8" i="5"/>
  <c r="M9" i="5"/>
  <c r="M10" i="5"/>
  <c r="M11" i="5"/>
  <c r="M12" i="5"/>
  <c r="N2" i="1"/>
  <c r="N13" i="1" s="1"/>
  <c r="O7" i="1"/>
  <c r="O8" i="1"/>
  <c r="O9" i="1"/>
  <c r="O10" i="1"/>
  <c r="O11" i="1"/>
  <c r="O12" i="1"/>
  <c r="N3" i="1"/>
  <c r="O3" i="1" s="1"/>
  <c r="N4" i="1"/>
  <c r="O4" i="1" s="1"/>
  <c r="N5" i="1"/>
  <c r="O5" i="1" s="1"/>
  <c r="N6" i="1"/>
  <c r="O6" i="1" s="1"/>
  <c r="N7" i="1"/>
  <c r="N8" i="1"/>
  <c r="N9" i="1"/>
  <c r="N10" i="1"/>
  <c r="N11" i="1"/>
  <c r="N12" i="1"/>
  <c r="L13" i="1"/>
  <c r="M10" i="1" s="1"/>
  <c r="J12" i="1"/>
  <c r="J3" i="1"/>
  <c r="J4" i="1"/>
  <c r="J5" i="1"/>
  <c r="J6" i="1"/>
  <c r="J7" i="1"/>
  <c r="J8" i="1"/>
  <c r="J9" i="1"/>
  <c r="J10" i="1"/>
  <c r="J11" i="1"/>
  <c r="J2" i="1"/>
  <c r="K2" i="1" s="1"/>
  <c r="I2" i="4"/>
  <c r="J2" i="4" s="1"/>
  <c r="C16" i="4" s="1"/>
  <c r="G2" i="4"/>
  <c r="E2" i="4"/>
  <c r="E5" i="4"/>
  <c r="D4" i="4"/>
  <c r="C4" i="4"/>
  <c r="B4" i="4"/>
  <c r="D3" i="4"/>
  <c r="C3" i="4"/>
  <c r="B3" i="4"/>
  <c r="B28" i="4" l="1"/>
  <c r="B54" i="4"/>
  <c r="B41" i="4"/>
  <c r="D15" i="4"/>
  <c r="E15" i="4" s="1"/>
  <c r="D14" i="4"/>
  <c r="F14" i="4" s="1"/>
  <c r="F22" i="4" s="1"/>
  <c r="F2" i="4"/>
  <c r="C14" i="4" s="1"/>
  <c r="D16" i="4"/>
  <c r="E16" i="4" s="1"/>
  <c r="H2" i="4"/>
  <c r="C15" i="4" s="1"/>
  <c r="O2" i="1"/>
  <c r="I3" i="4"/>
  <c r="J3" i="4" s="1"/>
  <c r="G4" i="4"/>
  <c r="B15" i="4" s="1"/>
  <c r="H17" i="6"/>
  <c r="M8" i="1"/>
  <c r="M7" i="1"/>
  <c r="M6" i="1"/>
  <c r="M5" i="1"/>
  <c r="M4" i="1"/>
  <c r="M3" i="1"/>
  <c r="I8" i="6"/>
  <c r="J13" i="6"/>
  <c r="M9" i="1"/>
  <c r="K17" i="6"/>
  <c r="K12" i="6"/>
  <c r="K9" i="6"/>
  <c r="I4" i="4"/>
  <c r="J4" i="4" s="1"/>
  <c r="H3" i="6"/>
  <c r="H11" i="6"/>
  <c r="J10" i="6"/>
  <c r="J8" i="6"/>
  <c r="I11" i="6"/>
  <c r="K15" i="6"/>
  <c r="I10" i="6"/>
  <c r="K14" i="6"/>
  <c r="J7" i="6"/>
  <c r="K11" i="6"/>
  <c r="G22" i="6"/>
  <c r="I7" i="6"/>
  <c r="I5" i="6"/>
  <c r="I19" i="6"/>
  <c r="I18" i="6"/>
  <c r="I17" i="6"/>
  <c r="I16" i="6"/>
  <c r="J20" i="6"/>
  <c r="J4" i="6"/>
  <c r="I15" i="6"/>
  <c r="J19" i="6"/>
  <c r="K7" i="6"/>
  <c r="I6" i="6"/>
  <c r="I20" i="6"/>
  <c r="J6" i="6"/>
  <c r="J5" i="6"/>
  <c r="J18" i="6"/>
  <c r="I13" i="6"/>
  <c r="J17" i="6"/>
  <c r="K21" i="6"/>
  <c r="K5" i="6"/>
  <c r="I3" i="6"/>
  <c r="I21" i="6"/>
  <c r="I4" i="6"/>
  <c r="J3" i="6"/>
  <c r="J21" i="6"/>
  <c r="I14" i="6"/>
  <c r="K3" i="6"/>
  <c r="I12" i="6"/>
  <c r="J16" i="6"/>
  <c r="K20" i="6"/>
  <c r="K4" i="6"/>
  <c r="H16" i="6"/>
  <c r="H10" i="6"/>
  <c r="H21" i="6"/>
  <c r="H9" i="6"/>
  <c r="H20" i="6"/>
  <c r="H8" i="6"/>
  <c r="H7" i="6"/>
  <c r="H15" i="6"/>
  <c r="H14" i="6"/>
  <c r="H19" i="6"/>
  <c r="H13" i="6"/>
  <c r="H18" i="6"/>
  <c r="H12" i="6"/>
  <c r="H6" i="6"/>
  <c r="H5" i="6"/>
  <c r="H4" i="6"/>
  <c r="G3" i="4"/>
  <c r="H3" i="4" s="1"/>
  <c r="O13" i="1"/>
  <c r="M2" i="1"/>
  <c r="M12" i="1"/>
  <c r="M11" i="1"/>
  <c r="J13" i="1"/>
  <c r="E4" i="4"/>
  <c r="E3" i="4"/>
  <c r="F3" i="4" s="1"/>
  <c r="K12" i="1"/>
  <c r="K11" i="1"/>
  <c r="K10" i="1"/>
  <c r="K9" i="1"/>
  <c r="K8" i="1"/>
  <c r="K7" i="1"/>
  <c r="K6" i="1"/>
  <c r="K5" i="1"/>
  <c r="K4" i="1"/>
  <c r="K3" i="1"/>
  <c r="H13" i="1"/>
  <c r="F13" i="1"/>
  <c r="F16" i="4" l="1"/>
  <c r="F23" i="4" s="1"/>
  <c r="F15" i="4"/>
  <c r="F24" i="4" s="1"/>
  <c r="H22" i="4"/>
  <c r="H4" i="4"/>
  <c r="E14" i="4"/>
  <c r="B16" i="4"/>
  <c r="K22" i="6"/>
  <c r="J22" i="6"/>
  <c r="I22" i="6"/>
  <c r="H22" i="6"/>
  <c r="B74" i="6" s="1"/>
  <c r="B14" i="4"/>
  <c r="F4" i="4"/>
  <c r="K13" i="1"/>
  <c r="M13" i="1"/>
  <c r="I8" i="1"/>
  <c r="I11" i="1"/>
  <c r="I7" i="1"/>
  <c r="I5" i="1"/>
  <c r="I4" i="1"/>
  <c r="I12" i="1"/>
  <c r="I10" i="1"/>
  <c r="I6" i="1"/>
  <c r="I3" i="1"/>
  <c r="I2" i="1"/>
  <c r="I9" i="1"/>
  <c r="G12" i="1"/>
  <c r="G9" i="1"/>
  <c r="G7" i="1"/>
  <c r="G11" i="1"/>
  <c r="G10" i="1"/>
  <c r="G8" i="1"/>
  <c r="G5" i="1"/>
  <c r="G3" i="1"/>
  <c r="G6" i="1"/>
  <c r="G4" i="1"/>
  <c r="G2" i="1"/>
  <c r="G24" i="4" l="1"/>
  <c r="H24" i="4"/>
  <c r="G23" i="4"/>
  <c r="H23" i="4"/>
  <c r="B29" i="4"/>
  <c r="B30" i="4" s="1"/>
  <c r="B31" i="4" s="1"/>
  <c r="B32" i="4" s="1"/>
  <c r="B33" i="4" s="1"/>
  <c r="B34" i="4" s="1"/>
  <c r="B35" i="4" s="1"/>
  <c r="B36" i="4" s="1"/>
  <c r="B37" i="4" s="1"/>
  <c r="B38" i="4" s="1"/>
  <c r="I13" i="1"/>
  <c r="G13" i="1"/>
  <c r="B42" i="4" l="1"/>
  <c r="B43" i="4" s="1"/>
  <c r="B44" i="4" s="1"/>
  <c r="B45" i="4" s="1"/>
  <c r="B46" i="4" s="1"/>
  <c r="B47" i="4" s="1"/>
  <c r="B48" i="4" s="1"/>
  <c r="B49" i="4" s="1"/>
  <c r="B50" i="4" s="1"/>
  <c r="B51" i="4" s="1"/>
  <c r="B55" i="4"/>
  <c r="B56" i="4" s="1"/>
  <c r="B57" i="4" s="1"/>
  <c r="B58" i="4" s="1"/>
  <c r="B59" i="4" s="1"/>
  <c r="B60" i="4" l="1"/>
  <c r="B61" i="4" s="1"/>
  <c r="B62" i="4" s="1"/>
  <c r="B63" i="4" s="1"/>
  <c r="B64" i="4" s="1"/>
</calcChain>
</file>

<file path=xl/sharedStrings.xml><?xml version="1.0" encoding="utf-8"?>
<sst xmlns="http://schemas.openxmlformats.org/spreadsheetml/2006/main" count="162" uniqueCount="134">
  <si>
    <t>Cover class</t>
  </si>
  <si>
    <t>Area (ha)
2000</t>
  </si>
  <si>
    <t>Area (ha)
2020</t>
  </si>
  <si>
    <t>%
2000</t>
  </si>
  <si>
    <t>%
2020</t>
  </si>
  <si>
    <t>Semi-arid</t>
  </si>
  <si>
    <t>Dense short vegetation</t>
  </si>
  <si>
    <t>Tree cover</t>
  </si>
  <si>
    <t>Salt pan</t>
  </si>
  <si>
    <t>Wetland sparse vegetation</t>
  </si>
  <si>
    <t>Wetland dense short vegetation</t>
  </si>
  <si>
    <t>Wetland tree cover</t>
  </si>
  <si>
    <t>Open surface water</t>
  </si>
  <si>
    <t>Cropland</t>
  </si>
  <si>
    <t>Built-up</t>
  </si>
  <si>
    <t>Ocean</t>
  </si>
  <si>
    <t>Descripction</t>
  </si>
  <si>
    <t>Value</t>
  </si>
  <si>
    <t>Color code</t>
  </si>
  <si>
    <t>D7D769</t>
  </si>
  <si>
    <t>B6B616</t>
  </si>
  <si>
    <t>BFC0C0</t>
  </si>
  <si>
    <t>91B1CD</t>
  </si>
  <si>
    <t>188AF2</t>
  </si>
  <si>
    <t>3D7F84</t>
  </si>
  <si>
    <t>0A2ACF</t>
  </si>
  <si>
    <t>ff7d00</t>
  </si>
  <si>
    <t>f51616</t>
  </si>
  <si>
    <t>51% vegetation cover</t>
  </si>
  <si>
    <t>91% vegetation cover</t>
  </si>
  <si>
    <t>15m trees</t>
  </si>
  <si>
    <t>3% vegetation cover</t>
  </si>
  <si>
    <t>27% vegetation cover</t>
  </si>
  <si>
    <t>60-69% of year</t>
  </si>
  <si>
    <t>Total</t>
  </si>
  <si>
    <t>Source:  Global Land Analysis and Discovery (GLAD)</t>
  </si>
  <si>
    <t>no info</t>
  </si>
  <si>
    <t>Variation (%)</t>
  </si>
  <si>
    <t>decrease</t>
  </si>
  <si>
    <t>increase</t>
  </si>
  <si>
    <t>Leyend</t>
  </si>
  <si>
    <t>Variable</t>
  </si>
  <si>
    <t>Area (km2)</t>
  </si>
  <si>
    <t>Polygons</t>
  </si>
  <si>
    <t>Area (ha)</t>
  </si>
  <si>
    <t>Area (m2)</t>
  </si>
  <si>
    <t>1996</t>
  </si>
  <si>
    <t>2010</t>
  </si>
  <si>
    <t>2020</t>
  </si>
  <si>
    <t>Net change
2020-1996</t>
  </si>
  <si>
    <t>Net change
2020-2010</t>
  </si>
  <si>
    <t>Variation (%)II</t>
  </si>
  <si>
    <t>Net change
2010-1996</t>
  </si>
  <si>
    <t>Variation (%)III</t>
  </si>
  <si>
    <t>Period</t>
  </si>
  <si>
    <t>2020-1996</t>
  </si>
  <si>
    <t>2020-2010</t>
  </si>
  <si>
    <t>2010-1996</t>
  </si>
  <si>
    <r>
      <t>Data reference: Potapov P., Hansen M.C., Pickens A., Hernandez-Serna A., Tyukavina A., Turubanova S., Zalles V., Li X., Khan A., Stolle F., Harris N., Song X.-P., Baggett A., Kommareddy I., Kommareddy A. (2022) The global 2000-2020 land cover and land use change dataset derived from the Landsat archive: first results. Frontiers in Remote Sensing [</t>
    </r>
    <r>
      <rPr>
        <sz val="8"/>
        <color rgb="FF205389"/>
        <rFont val="Calibri Light"/>
        <family val="2"/>
      </rPr>
      <t>https://doi.org/10.3389/frsen.2022.856903</t>
    </r>
    <r>
      <rPr>
        <sz val="8"/>
        <color rgb="FF000000"/>
        <rFont val="Calibri Light"/>
        <family val="2"/>
      </rPr>
      <t>] [</t>
    </r>
    <r>
      <rPr>
        <sz val="8"/>
        <color rgb="FF205389"/>
        <rFont val="Calibri Light"/>
        <family val="2"/>
      </rPr>
      <t>Open PDF</t>
    </r>
    <r>
      <rPr>
        <sz val="8"/>
        <color rgb="FF000000"/>
        <rFont val="Calibri Light"/>
        <family val="2"/>
      </rPr>
      <t>]</t>
    </r>
  </si>
  <si>
    <t>ID Terrset</t>
  </si>
  <si>
    <t>Area (ha)
2030</t>
  </si>
  <si>
    <t>%</t>
  </si>
  <si>
    <t>Variation %</t>
  </si>
  <si>
    <t>Net change (ha)
2020-2000</t>
  </si>
  <si>
    <t>Net change (ha)
2030-2020</t>
  </si>
  <si>
    <t>First landcover image</t>
  </si>
  <si>
    <t>Second landcover image</t>
  </si>
  <si>
    <t xml:space="preserve">Time interval 1 </t>
  </si>
  <si>
    <t xml:space="preserve">Time interval 2 </t>
  </si>
  <si>
    <t>Proportional error</t>
  </si>
  <si>
    <t>LULC 2000</t>
  </si>
  <si>
    <t>LULC 2020</t>
  </si>
  <si>
    <t>Class name</t>
  </si>
  <si>
    <t>Class value</t>
  </si>
  <si>
    <t>Details Markov Module</t>
  </si>
  <si>
    <t>Net Change (Ha)</t>
  </si>
  <si>
    <t>Annual Change Rate
(Ha)</t>
  </si>
  <si>
    <t>Annual Change Rate
(%)</t>
  </si>
  <si>
    <t xml:space="preserve">No. </t>
  </si>
  <si>
    <t>Ecosystem services</t>
  </si>
  <si>
    <t>Wood products</t>
  </si>
  <si>
    <t>Non wood products</t>
  </si>
  <si>
    <t>Consumptive use water</t>
  </si>
  <si>
    <t>Non consumptive use water</t>
  </si>
  <si>
    <t>International Tourism</t>
  </si>
  <si>
    <t>National Tourism</t>
  </si>
  <si>
    <t>Recreation and Spirituality</t>
  </si>
  <si>
    <t>Water purification</t>
  </si>
  <si>
    <t>Flood control</t>
  </si>
  <si>
    <t>Polinization</t>
  </si>
  <si>
    <t>Biologic Control</t>
  </si>
  <si>
    <t>Erosion Control</t>
  </si>
  <si>
    <t>Carbon sequestration</t>
  </si>
  <si>
    <t>Soil Formation</t>
  </si>
  <si>
    <t>Nutrient Recycling</t>
  </si>
  <si>
    <t>Biodiversity Protection</t>
  </si>
  <si>
    <t>Nursery</t>
  </si>
  <si>
    <t>Annual Values (US$/ha)
(Adjusted 2012)</t>
  </si>
  <si>
    <t>Water Balance</t>
  </si>
  <si>
    <t>Annual Values (DOP$/ha)
(Adjusted 2012)</t>
  </si>
  <si>
    <t>Year</t>
  </si>
  <si>
    <t>Dolar Rate at 2012: 39.2361( Banco Central, 2024)</t>
  </si>
  <si>
    <t>Variation Rate from January 2012 to January 2024, based on Price Consumer Index at 2024:59.41%; Adjust Factor: 1.5941 (Banco Central, 2024)</t>
  </si>
  <si>
    <t>Annual Values (DOP$/ha)
(Adjusted 2024)</t>
  </si>
  <si>
    <t>Annual Values (US$/ha)
(Adjusted at 2024)</t>
  </si>
  <si>
    <t>Dolar Rate at 2012: 58.6347( Banco Central, 2024)</t>
  </si>
  <si>
    <t>Economic Value 2020</t>
  </si>
  <si>
    <t>Annual Variation (US$)
2010-2020</t>
  </si>
  <si>
    <t>Annual Increase (US$)
1996-2010</t>
  </si>
  <si>
    <t>Annual Variation (US$)
1996-2020</t>
  </si>
  <si>
    <t>Economic Value of ecosystem services in Mangroves. BSE. Benfit Transfer</t>
  </si>
  <si>
    <t>Economic Values taken from Gómez-Valenzuela, Víctor; Bonilla-Duarte, Solhanlle; Alpízar,Francisco. 2018. ¿Cuál es el valor de los ecosistemas protegidos de la República Dominicana? inisterio de Medio Ambiente y Recursos Naturales. Programa de las Naciones Unidas para el Desarrollo. Fondo Mundial para el Medio Ambiente. Santo Domingo, D. N.</t>
  </si>
  <si>
    <t>Per capita</t>
  </si>
  <si>
    <t xml:space="preserve">PIB (US$) </t>
  </si>
  <si>
    <t xml:space="preserve">Población </t>
  </si>
  <si>
    <t>PIB Samana</t>
  </si>
  <si>
    <t>% PIB total</t>
  </si>
  <si>
    <t>% EVES/ PIB Samana</t>
  </si>
  <si>
    <t>Food provision</t>
  </si>
  <si>
    <t>Description</t>
  </si>
  <si>
    <t>Conservation Scenarios</t>
  </si>
  <si>
    <t>The negative trend of 2010-2020 continues</t>
  </si>
  <si>
    <t>Follows a gain trend equal to the period 1996-2020</t>
  </si>
  <si>
    <t>Follows a gain trend equal to the period 1996-2010</t>
  </si>
  <si>
    <t>Gain/Loss</t>
  </si>
  <si>
    <t>Annual Change Rate</t>
  </si>
  <si>
    <t>Annual Restoration (ha)</t>
  </si>
  <si>
    <t>Restoration rate (%)</t>
  </si>
  <si>
    <t>Scenario 2030</t>
  </si>
  <si>
    <t>ESTIMATION OF THE DEGRADATION RATE (%)</t>
  </si>
  <si>
    <t>SCENARIOS 2030</t>
  </si>
  <si>
    <t>Continuous Loss</t>
  </si>
  <si>
    <t>Strong Gain</t>
  </si>
  <si>
    <t>Average 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</si>
</sst>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.000000_);_(* \(#,##0.000000\);_(* &quot;-&quot;??_);_(@_)"/>
    <numFmt numFmtId="165" formatCode="_(* #,##0.0000000_);_(* \(#,##0.0000000\);_(* &quot;-&quot;??_);_(@_)"/>
    <numFmt numFmtId="166" formatCode="_(* #,##0_);_(* \(#,##0\);_(* &quot;-&quot;??_);_(@_)"/>
    <numFmt numFmtId="167" formatCode="0.000%"/>
    <numFmt numFmtId="168" formatCode="0.0000%"/>
    <numFmt numFmtId="169" formatCode="0.000000%"/>
    <numFmt numFmtId="170" formatCode="0.000"/>
    <numFmt numFmtId="171" formatCode="&quot;$&quot;#,##0.00"/>
    <numFmt numFmtId="172" formatCode="_(* #,##0.00000_);_(* \(#,##0.0000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 Light"/>
      <family val="2"/>
    </font>
    <font>
      <sz val="11"/>
      <color rgb="FFFFFFFF"/>
      <name val="Calibri Light"/>
      <family val="2"/>
    </font>
    <font>
      <u/>
      <sz val="11"/>
      <color theme="10"/>
      <name val="Aptos Narrow"/>
      <family val="2"/>
      <scheme val="minor"/>
    </font>
    <font>
      <b/>
      <u/>
      <sz val="11"/>
      <color theme="10"/>
      <name val="Calibri Light"/>
      <family val="2"/>
    </font>
    <font>
      <sz val="8"/>
      <color rgb="FF000000"/>
      <name val="Calibri Light"/>
      <family val="2"/>
    </font>
    <font>
      <sz val="8"/>
      <color rgb="FF205389"/>
      <name val="Calibri Light"/>
      <family val="2"/>
    </font>
    <font>
      <b/>
      <sz val="11"/>
      <color theme="1"/>
      <name val="Calibri Light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 Light"/>
      <family val="2"/>
    </font>
    <font>
      <sz val="10"/>
      <color theme="1"/>
      <name val="Calibri Light"/>
      <family val="2"/>
    </font>
    <font>
      <sz val="10"/>
      <color rgb="FFFF0000"/>
      <name val="Calibri Light"/>
      <family val="2"/>
    </font>
    <font>
      <b/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rgb="FF040C28"/>
      <name val="Calibri Light"/>
      <family val="2"/>
    </font>
    <font>
      <sz val="10"/>
      <name val="Calibri Light"/>
      <family val="2"/>
    </font>
    <font>
      <sz val="11"/>
      <color rgb="FF000000"/>
      <name val="Calibri Light"/>
      <family val="2"/>
    </font>
    <font>
      <b/>
      <sz val="11"/>
      <color theme="0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49" fontId="2" fillId="0" borderId="0" xfId="0" applyNumberFormat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0" xfId="2" applyFont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2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3" borderId="0" xfId="0" applyFont="1" applyFill="1"/>
    <xf numFmtId="43" fontId="2" fillId="0" borderId="0" xfId="1" applyFont="1" applyFill="1" applyAlignment="1">
      <alignment horizontal="center" vertical="center"/>
    </xf>
    <xf numFmtId="167" fontId="2" fillId="0" borderId="0" xfId="2" applyNumberFormat="1" applyFont="1" applyFill="1" applyAlignment="1">
      <alignment horizontal="center" vertical="center" wrapText="1"/>
    </xf>
    <xf numFmtId="167" fontId="2" fillId="0" borderId="0" xfId="2" applyNumberFormat="1" applyFont="1" applyFill="1" applyAlignment="1">
      <alignment horizontal="center" vertical="center"/>
    </xf>
    <xf numFmtId="43" fontId="2" fillId="0" borderId="0" xfId="1" applyFont="1" applyFill="1" applyAlignment="1">
      <alignment horizontal="center" vertical="center" wrapText="1"/>
    </xf>
    <xf numFmtId="10" fontId="2" fillId="0" borderId="0" xfId="2" applyNumberFormat="1" applyFont="1" applyFill="1" applyAlignment="1">
      <alignment horizontal="center" vertical="center"/>
    </xf>
    <xf numFmtId="168" fontId="2" fillId="0" borderId="0" xfId="2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8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69" fontId="2" fillId="0" borderId="0" xfId="2" applyNumberFormat="1" applyFont="1" applyAlignment="1">
      <alignment horizontal="center" vertical="center"/>
    </xf>
    <xf numFmtId="0" fontId="9" fillId="0" borderId="0" xfId="0" applyFont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8" xfId="0" applyFont="1" applyBorder="1"/>
    <xf numFmtId="0" fontId="10" fillId="0" borderId="11" xfId="0" applyFont="1" applyBorder="1"/>
    <xf numFmtId="0" fontId="10" fillId="0" borderId="12" xfId="0" applyFont="1" applyBorder="1"/>
    <xf numFmtId="0" fontId="0" fillId="0" borderId="13" xfId="0" applyBorder="1"/>
    <xf numFmtId="170" fontId="0" fillId="0" borderId="0" xfId="0" applyNumberFormat="1"/>
    <xf numFmtId="170" fontId="0" fillId="0" borderId="4" xfId="0" applyNumberFormat="1" applyBorder="1" applyAlignment="1">
      <alignment horizontal="center"/>
    </xf>
    <xf numFmtId="170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170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171" fontId="12" fillId="0" borderId="0" xfId="0" applyNumberFormat="1" applyFont="1" applyAlignment="1">
      <alignment horizontal="center"/>
    </xf>
    <xf numFmtId="171" fontId="2" fillId="0" borderId="0" xfId="0" applyNumberFormat="1" applyFont="1"/>
    <xf numFmtId="0" fontId="14" fillId="0" borderId="0" xfId="0" applyFont="1" applyAlignment="1">
      <alignment horizontal="center"/>
    </xf>
    <xf numFmtId="171" fontId="8" fillId="0" borderId="0" xfId="0" applyNumberFormat="1" applyFont="1"/>
    <xf numFmtId="171" fontId="14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171" fontId="2" fillId="0" borderId="0" xfId="1" applyNumberFormat="1" applyFont="1"/>
    <xf numFmtId="2" fontId="2" fillId="0" borderId="0" xfId="0" applyNumberFormat="1" applyFont="1"/>
    <xf numFmtId="3" fontId="16" fillId="0" borderId="0" xfId="0" applyNumberFormat="1" applyFont="1"/>
    <xf numFmtId="171" fontId="13" fillId="0" borderId="0" xfId="0" applyNumberFormat="1" applyFont="1" applyAlignment="1">
      <alignment horizontal="center"/>
    </xf>
    <xf numFmtId="171" fontId="11" fillId="0" borderId="0" xfId="0" applyNumberFormat="1" applyFont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8" fillId="0" borderId="0" xfId="0" applyFont="1"/>
    <xf numFmtId="0" fontId="19" fillId="5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43" fontId="19" fillId="4" borderId="0" xfId="0" applyNumberFormat="1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43" fontId="19" fillId="7" borderId="0" xfId="0" applyNumberFormat="1" applyFont="1" applyFill="1" applyAlignment="1">
      <alignment horizontal="center" vertical="center"/>
    </xf>
    <xf numFmtId="43" fontId="19" fillId="6" borderId="0" xfId="0" applyNumberFormat="1" applyFont="1" applyFill="1" applyAlignment="1">
      <alignment horizontal="center" vertical="center"/>
    </xf>
    <xf numFmtId="172" fontId="2" fillId="0" borderId="0" xfId="0" applyNumberFormat="1" applyFont="1" applyAlignment="1">
      <alignment horizontal="center" vertical="center"/>
    </xf>
    <xf numFmtId="0" fontId="5" fillId="0" borderId="0" xfId="3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68"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71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71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71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71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71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71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71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71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171" formatCode="&quot;$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171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171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171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numFmt numFmtId="171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center" vertical="bottom" textRotation="0" wrapText="0" indent="0" justifyLastLine="0" shrinkToFit="0" readingOrder="0"/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numFmt numFmtId="167" formatCode="0.0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35" formatCode="_(* #,##0.00_);_(* \(#,##0.0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numFmt numFmtId="167" formatCode="0.000%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35" formatCode="_(* #,##0.00_);_(* \(#,##0.0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69" formatCode="0.00000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35" formatCode="_(* #,##0.00_);_(* \(#,##0.0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67" formatCode="0.00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numFmt numFmtId="167" formatCode="0.000%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35" formatCode="_(* #,##0.00_);_(* \(#,##0.0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168" formatCode="0.000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numFmt numFmtId="173" formatCode="_(* #,##0.000_);_(* \(#,##0.000\);_(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35" formatCode="_(* #,##0.00_);_(* \(#,##0.00\);_(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none"/>
      </font>
      <fill>
        <patternFill patternType="none">
          <bgColor auto="1"/>
        </patternFill>
      </fill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Calibri Light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B0-4F81-B04A-DCEAF06DE50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B0-4F81-B04A-DCEAF06DE50F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1B0-4F81-B04A-DCEAF06DE5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Mangroves_BSE!$B$1:$D$1</c:f>
              <c:strCache>
                <c:ptCount val="3"/>
                <c:pt idx="0">
                  <c:v>1996</c:v>
                </c:pt>
                <c:pt idx="1">
                  <c:v>2010</c:v>
                </c:pt>
                <c:pt idx="2">
                  <c:v>2020</c:v>
                </c:pt>
              </c:strCache>
            </c:strRef>
          </c:cat>
          <c:val>
            <c:numRef>
              <c:f>Mangroves_BSE!$B$4:$D$4</c:f>
              <c:numCache>
                <c:formatCode>_(* #,##0.00_);_(* \(#,##0.00\);_(* "-"??_);_(@_)</c:formatCode>
                <c:ptCount val="3"/>
                <c:pt idx="0">
                  <c:v>6451.33</c:v>
                </c:pt>
                <c:pt idx="1">
                  <c:v>6528.14</c:v>
                </c:pt>
                <c:pt idx="2">
                  <c:v>6485.4699999999993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B0-4F81-B04A-DCEAF06DE5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81225312"/>
        <c:axId val="881772016"/>
      </c:barChart>
      <c:catAx>
        <c:axId val="881225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881772016"/>
        <c:crosses val="autoZero"/>
        <c:auto val="1"/>
        <c:lblAlgn val="ctr"/>
        <c:lblOffset val="100"/>
        <c:noMultiLvlLbl val="0"/>
      </c:catAx>
      <c:valAx>
        <c:axId val="881772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US"/>
                  <a:t>Area (ha)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88122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Mangroves_BSE!$C$13</c:f>
              <c:strCache>
                <c:ptCount val="1"/>
                <c:pt idx="0">
                  <c:v>Variation (%)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2D-4AE9-B2A4-C198E154469A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F2D-4AE9-B2A4-C198E15446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Mangroves_BSE!$A$14:$A$16</c:f>
              <c:strCache>
                <c:ptCount val="3"/>
                <c:pt idx="0">
                  <c:v>2020-1996</c:v>
                </c:pt>
                <c:pt idx="1">
                  <c:v>2020-2010</c:v>
                </c:pt>
                <c:pt idx="2">
                  <c:v>2010-1996</c:v>
                </c:pt>
              </c:strCache>
            </c:strRef>
          </c:cat>
          <c:val>
            <c:numRef>
              <c:f>Mangroves_BSE!$C$14:$C$16</c:f>
              <c:numCache>
                <c:formatCode>0.00%</c:formatCode>
                <c:ptCount val="3"/>
                <c:pt idx="0">
                  <c:v>5.2919320512203379E-3</c:v>
                </c:pt>
                <c:pt idx="1">
                  <c:v>-6.5363181549416977E-3</c:v>
                </c:pt>
                <c:pt idx="2">
                  <c:v>1.1906072081260825E-2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D-4AE9-B2A4-C198E1544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5869103"/>
        <c:axId val="235867183"/>
      </c:barChart>
      <c:catAx>
        <c:axId val="2358691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867183"/>
        <c:crosses val="autoZero"/>
        <c:auto val="1"/>
        <c:lblAlgn val="ctr"/>
        <c:lblOffset val="100"/>
        <c:noMultiLvlLbl val="0"/>
      </c:catAx>
      <c:valAx>
        <c:axId val="2358671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869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Mangroves_BSE!$A$14</c:f>
              <c:strCache>
                <c:ptCount val="1"/>
                <c:pt idx="0">
                  <c:v>2020-1996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Mangroves_BSE!$D$13</c:f>
              <c:strCache>
                <c:ptCount val="1"/>
                <c:pt idx="0">
                  <c:v>Annual Change Rate
(%)</c:v>
                </c:pt>
              </c:strCache>
            </c:strRef>
          </c:cat>
          <c:val>
            <c:numRef>
              <c:f>Mangroves_BSE!$D$14</c:f>
              <c:numCache>
                <c:formatCode>0.000</c:formatCode>
                <c:ptCount val="1"/>
                <c:pt idx="0">
                  <c:v>2.1995757133930205E-2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E-4850-AFB6-37665328E933}"/>
            </c:ext>
          </c:extLst>
        </c:ser>
        <c:ser>
          <c:idx val="1"/>
          <c:order val="1"/>
          <c:tx>
            <c:strRef>
              <c:f>Mangroves_BSE!$A$15</c:f>
              <c:strCache>
                <c:ptCount val="1"/>
                <c:pt idx="0">
                  <c:v>2020-2010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Mangroves_BSE!$D$13</c:f>
              <c:strCache>
                <c:ptCount val="1"/>
                <c:pt idx="0">
                  <c:v>Annual Change Rate
(%)</c:v>
                </c:pt>
              </c:strCache>
            </c:strRef>
          </c:cat>
          <c:val>
            <c:numRef>
              <c:f>Mangroves_BSE!$D$15</c:f>
              <c:numCache>
                <c:formatCode>0.000</c:formatCode>
                <c:ptCount val="1"/>
                <c:pt idx="0">
                  <c:v>-6.555623676203215E-2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8E-4850-AFB6-37665328E933}"/>
            </c:ext>
          </c:extLst>
        </c:ser>
        <c:ser>
          <c:idx val="2"/>
          <c:order val="2"/>
          <c:tx>
            <c:strRef>
              <c:f>Mangroves_BSE!$A$16</c:f>
              <c:strCache>
                <c:ptCount val="1"/>
                <c:pt idx="0">
                  <c:v>2010-1996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Mangroves_BSE!$D$13</c:f>
              <c:strCache>
                <c:ptCount val="1"/>
                <c:pt idx="0">
                  <c:v>Annual Change Rate
(%)</c:v>
                </c:pt>
              </c:strCache>
            </c:strRef>
          </c:cat>
          <c:val>
            <c:numRef>
              <c:f>Mangroves_BSE!$D$16</c:f>
              <c:numCache>
                <c:formatCode>0.000</c:formatCode>
                <c:ptCount val="1"/>
                <c:pt idx="0">
                  <c:v>8.4576834177774174E-2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8E-4850-AFB6-37665328E9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52668672"/>
        <c:axId val="252670112"/>
      </c:barChart>
      <c:catAx>
        <c:axId val="25266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2670112"/>
        <c:crosses val="autoZero"/>
        <c:auto val="1"/>
        <c:lblAlgn val="ctr"/>
        <c:lblOffset val="100"/>
        <c:noMultiLvlLbl val="0"/>
      </c:catAx>
      <c:valAx>
        <c:axId val="25267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2668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Mangroves_BSE!$E$21</c:f>
              <c:strCache>
                <c:ptCount val="1"/>
                <c:pt idx="0">
                  <c:v>Scenario 2030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2E0-45D9-88FD-B4977E4D810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E0-45D9-88FD-B4977E4D8101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E0-45D9-88FD-B4977E4D81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Mangroves_BSE!$A$22:$A$24</c:f>
              <c:strCache>
                <c:ptCount val="3"/>
                <c:pt idx="0">
                  <c:v>Average Gain</c:v>
                </c:pt>
                <c:pt idx="1">
                  <c:v>Strong Gain</c:v>
                </c:pt>
                <c:pt idx="2">
                  <c:v>Continuous Loss</c:v>
                </c:pt>
              </c:strCache>
            </c:strRef>
          </c:cat>
          <c:val>
            <c:numRef>
              <c:f>Mangroves_BSE!$E$22:$E$24</c:f>
              <c:numCache>
                <c:formatCode>_(* #,##0.00_);_(* \(#,##0.00\);_(* "-"??_);_(@_)</c:formatCode>
                <c:ptCount val="3"/>
                <c:pt idx="0">
                  <c:v>6499.7494104930283</c:v>
                </c:pt>
                <c:pt idx="1">
                  <c:v>6583.5635541815036</c:v>
                </c:pt>
                <c:pt idx="2">
                  <c:v>6443.0789046956716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0-45D9-88FD-B4977E4D81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938720"/>
        <c:axId val="393935840"/>
      </c:barChart>
      <c:lineChart>
        <c:grouping val="standard"/>
        <c:varyColors val="0"/>
        <c:ser>
          <c:idx val="1"/>
          <c:order val="1"/>
          <c:tx>
            <c:strRef>
              <c:f>Mangroves_BSE!$F$21</c:f>
              <c:strCache>
                <c:ptCount val="1"/>
                <c:pt idx="0">
                  <c:v>Gain/Loss</c:v>
                </c:pt>
              </c:strCache>
            </c:strRef>
          </c:tx>
          <c:spPr>
            <a:ln w="38100" cap="rnd">
              <a:solidFill>
                <a:schemeClr val="tx2">
                  <a:lumMod val="50000"/>
                  <a:lumOff val="5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Mangroves_BSE!$A$22:$A$24</c:f>
              <c:strCache>
                <c:ptCount val="3"/>
                <c:pt idx="0">
                  <c:v>Average Gain</c:v>
                </c:pt>
                <c:pt idx="1">
                  <c:v>Strong Gain</c:v>
                </c:pt>
                <c:pt idx="2">
                  <c:v>Continuous Loss</c:v>
                </c:pt>
              </c:strCache>
            </c:strRef>
          </c:cat>
          <c:val>
            <c:numRef>
              <c:f>Mangroves_BSE!$F$22:$F$24</c:f>
              <c:numCache>
                <c:formatCode>_(* #,##0.00_);_(* \(#,##0.00\);_(* "-"??_);_(@_)</c:formatCode>
                <c:ptCount val="3"/>
                <c:pt idx="0">
                  <c:v>14.27941049302899</c:v>
                </c:pt>
                <c:pt idx="1">
                  <c:v>98.09355418150426</c:v>
                </c:pt>
                <c:pt idx="2">
                  <c:v>-42.391095304327791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0-45D9-88FD-B4977E4D81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939200"/>
        <c:axId val="393934880"/>
      </c:lineChart>
      <c:catAx>
        <c:axId val="393938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Conservation Scenarios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935840"/>
        <c:crosses val="autoZero"/>
        <c:auto val="1"/>
        <c:lblAlgn val="ctr"/>
        <c:lblOffset val="100"/>
        <c:noMultiLvlLbl val="0"/>
      </c:catAx>
      <c:valAx>
        <c:axId val="39393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Gain\Loses (ha)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938720"/>
        <c:crosses val="autoZero"/>
        <c:crossBetween val="between"/>
      </c:valAx>
      <c:valAx>
        <c:axId val="393934880"/>
        <c:scaling>
          <c:orientation val="minMax"/>
        </c:scaling>
        <c:delete val="0"/>
        <c:axPos val="r"/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939200"/>
        <c:crosses val="max"/>
        <c:crossBetween val="between"/>
      </c:valAx>
      <c:catAx>
        <c:axId val="3939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934880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chemeClr val="bg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Mangroves_BSE!$B$67</c:f>
              <c:strCache>
                <c:ptCount val="1"/>
                <c:pt idx="0">
                  <c:v>Average Gain</c:v>
                </c:pt>
              </c:strCache>
            </c:strRef>
          </c:tx>
          <c:spPr>
            <a:ln w="38100" cap="flat" cmpd="dbl" algn="ctr">
              <a:solidFill>
                <a:srgbClr val="FFC000"/>
              </a:solidFill>
              <a:miter lim="800000"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errBars>
          <c:cat>
            <c:numRef>
              <c:f>Mangroves_BSE!$A$68:$A$78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Mangroves_BSE!$B$68:$B$78</c:f>
              <c:numCache>
                <c:formatCode>General</c:formatCode>
                <c:ptCount val="11"/>
                <c:pt idx="0">
                  <c:v>6485.4699999999993</c:v>
                </c:pt>
                <c:pt idx="1">
                  <c:v>6486.8979410493021</c:v>
                </c:pt>
                <c:pt idx="2">
                  <c:v>6488.3258820986048</c:v>
                </c:pt>
                <c:pt idx="3">
                  <c:v>6489.7538231479075</c:v>
                </c:pt>
                <c:pt idx="4">
                  <c:v>6491.1817641972102</c:v>
                </c:pt>
                <c:pt idx="5">
                  <c:v>6492.6097052465129</c:v>
                </c:pt>
                <c:pt idx="6">
                  <c:v>6494.0376462958156</c:v>
                </c:pt>
                <c:pt idx="7">
                  <c:v>6495.4655873451184</c:v>
                </c:pt>
                <c:pt idx="8">
                  <c:v>6496.8935283944211</c:v>
                </c:pt>
                <c:pt idx="9">
                  <c:v>6498.3214694437238</c:v>
                </c:pt>
                <c:pt idx="10">
                  <c:v>6499.7494104930265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17-41CE-8F04-F71CD97D30AE}"/>
            </c:ext>
          </c:extLst>
        </c:ser>
        <c:ser>
          <c:idx val="2"/>
          <c:order val="1"/>
          <c:tx>
            <c:strRef>
              <c:f>Mangroves_BSE!$C$67</c:f>
              <c:strCache>
                <c:ptCount val="1"/>
                <c:pt idx="0">
                  <c:v>Strong Gain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errBars>
          <c:cat>
            <c:numRef>
              <c:f>Mangroves_BSE!$A$68:$A$78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Mangroves_BSE!$C$68:$C$78</c:f>
              <c:numCache>
                <c:formatCode>General</c:formatCode>
                <c:ptCount val="11"/>
                <c:pt idx="0">
                  <c:v>6485.4699999999993</c:v>
                </c:pt>
                <c:pt idx="1">
                  <c:v>6495.2793554181499</c:v>
                </c:pt>
                <c:pt idx="2">
                  <c:v>6505.0887108363004</c:v>
                </c:pt>
                <c:pt idx="3">
                  <c:v>6514.8980662544509</c:v>
                </c:pt>
                <c:pt idx="4">
                  <c:v>6524.7074216726014</c:v>
                </c:pt>
                <c:pt idx="5">
                  <c:v>6534.5167770907519</c:v>
                </c:pt>
                <c:pt idx="6">
                  <c:v>6544.3261325089024</c:v>
                </c:pt>
                <c:pt idx="7">
                  <c:v>6554.135487927053</c:v>
                </c:pt>
                <c:pt idx="8">
                  <c:v>6563.9448433452035</c:v>
                </c:pt>
                <c:pt idx="9">
                  <c:v>6573.754198763354</c:v>
                </c:pt>
                <c:pt idx="10">
                  <c:v>6583.5635541815045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17-41CE-8F04-F71CD97D30AE}"/>
            </c:ext>
          </c:extLst>
        </c:ser>
        <c:ser>
          <c:idx val="3"/>
          <c:order val="2"/>
          <c:tx>
            <c:strRef>
              <c:f>Mangroves_BSE!$D$67</c:f>
              <c:strCache>
                <c:ptCount val="1"/>
                <c:pt idx="0">
                  <c:v>Continuous Loss</c:v>
                </c:pt>
              </c:strCache>
            </c:strRef>
          </c:tx>
          <c:spPr>
            <a:ln w="38100" cap="flat" cmpd="dbl" algn="ctr">
              <a:solidFill>
                <a:srgbClr val="C00000"/>
              </a:solidFill>
              <a:miter lim="800000"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errBars>
          <c:cat>
            <c:numRef>
              <c:f>Mangroves_BSE!$A$68:$A$78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Mangroves_BSE!$D$68:$D$78</c:f>
              <c:numCache>
                <c:formatCode>General</c:formatCode>
                <c:ptCount val="11"/>
                <c:pt idx="0">
                  <c:v>6485.4699999999993</c:v>
                </c:pt>
                <c:pt idx="1">
                  <c:v>6481.2308904695665</c:v>
                </c:pt>
                <c:pt idx="2">
                  <c:v>6476.9917809391336</c:v>
                </c:pt>
                <c:pt idx="3">
                  <c:v>6472.7526714087007</c:v>
                </c:pt>
                <c:pt idx="4">
                  <c:v>6468.5135618782679</c:v>
                </c:pt>
                <c:pt idx="5">
                  <c:v>6464.274452347835</c:v>
                </c:pt>
                <c:pt idx="6">
                  <c:v>6460.0353428174021</c:v>
                </c:pt>
                <c:pt idx="7">
                  <c:v>6455.7962332869693</c:v>
                </c:pt>
                <c:pt idx="8">
                  <c:v>6451.5571237565364</c:v>
                </c:pt>
                <c:pt idx="9">
                  <c:v>6447.3180142261035</c:v>
                </c:pt>
                <c:pt idx="10">
                  <c:v>6443.0789046956706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17-41CE-8F04-F71CD97D3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308704"/>
        <c:axId val="415302944"/>
      </c:lineChart>
      <c:catAx>
        <c:axId val="41530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302944"/>
        <c:crosses val="autoZero"/>
        <c:auto val="1"/>
        <c:lblAlgn val="ctr"/>
        <c:lblOffset val="100"/>
        <c:noMultiLvlLbl val="0"/>
      </c:catAx>
      <c:valAx>
        <c:axId val="4153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restoration (Ha)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3087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Light" panose="020F0302020204030204" pitchFamily="34" charset="0"/>
                <a:ea typeface="Calibri Light" panose="020F0302020204030204" pitchFamily="34" charset="0"/>
                <a:cs typeface="Calibri Light" panose="020F0302020204030204" pitchFamily="34" charset="0"/>
              </a:defRPr>
            </a:pPr>
            <a:r>
              <a:rPr lang="en-US"/>
              <a:t>Economic Value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-3.3557743033036012E-3"/>
                  <c:y val="-4.45177225854831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66-4343-BE6F-837CA396E7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 Light" panose="020F0302020204030204" pitchFamily="34" charset="0"/>
                    <a:ea typeface="Calibri Light" panose="020F0302020204030204" pitchFamily="34" charset="0"/>
                    <a:cs typeface="Calibri Light" panose="020F030202020403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8575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Ref>
              <c:f>'Benefit transfer'!$H$3:$H$21</c:f>
              <c:numCache>
                <c:formatCode>"$"#,##0.00</c:formatCode>
                <c:ptCount val="19"/>
                <c:pt idx="0">
                  <c:v>1987299.3109677373</c:v>
                </c:pt>
                <c:pt idx="1">
                  <c:v>171153.79499340832</c:v>
                </c:pt>
                <c:pt idx="2">
                  <c:v>1314.0236685785037</c:v>
                </c:pt>
                <c:pt idx="3">
                  <c:v>11553.011126517231</c:v>
                </c:pt>
                <c:pt idx="4">
                  <c:v>0</c:v>
                </c:pt>
                <c:pt idx="5">
                  <c:v>706477.96771195205</c:v>
                </c:pt>
                <c:pt idx="6">
                  <c:v>368598.01808314864</c:v>
                </c:pt>
                <c:pt idx="7">
                  <c:v>20201.454783600831</c:v>
                </c:pt>
                <c:pt idx="8">
                  <c:v>437224.78451156052</c:v>
                </c:pt>
                <c:pt idx="9">
                  <c:v>1277708.8326468796</c:v>
                </c:pt>
                <c:pt idx="10">
                  <c:v>1365290.5011025893</c:v>
                </c:pt>
                <c:pt idx="11">
                  <c:v>79005.120033017971</c:v>
                </c:pt>
                <c:pt idx="12">
                  <c:v>22276.461856204598</c:v>
                </c:pt>
                <c:pt idx="13">
                  <c:v>1365290.5011025893</c:v>
                </c:pt>
                <c:pt idx="14">
                  <c:v>283435.34774459485</c:v>
                </c:pt>
                <c:pt idx="15">
                  <c:v>55691.154640511493</c:v>
                </c:pt>
                <c:pt idx="16">
                  <c:v>666007.58723247482</c:v>
                </c:pt>
                <c:pt idx="17">
                  <c:v>115048.966235011</c:v>
                </c:pt>
                <c:pt idx="18">
                  <c:v>891745.35025675909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6-4343-BE6F-837CA396E79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58135872"/>
        <c:axId val="1858136832"/>
      </c:barChart>
      <c:catAx>
        <c:axId val="185813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Light" panose="020F0302020204030204" pitchFamily="34" charset="0"/>
                <a:ea typeface="Calibri Light" panose="020F0302020204030204" pitchFamily="34" charset="0"/>
                <a:cs typeface="Calibri Light" panose="020F0302020204030204" pitchFamily="34" charset="0"/>
              </a:defRPr>
            </a:pPr>
            <a:endParaRPr lang="en-US"/>
          </a:p>
        </c:txPr>
        <c:crossAx val="1858136832"/>
        <c:crosses val="autoZero"/>
        <c:auto val="1"/>
        <c:lblAlgn val="ctr"/>
        <c:lblOffset val="100"/>
        <c:noMultiLvlLbl val="0"/>
      </c:catAx>
      <c:valAx>
        <c:axId val="185813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Light" panose="020F0302020204030204" pitchFamily="34" charset="0"/>
                <a:ea typeface="Calibri Light" panose="020F0302020204030204" pitchFamily="34" charset="0"/>
                <a:cs typeface="Calibri Light" panose="020F0302020204030204" pitchFamily="34" charset="0"/>
              </a:defRPr>
            </a:pPr>
            <a:endParaRPr lang="en-US"/>
          </a:p>
        </c:txPr>
        <c:crossAx val="185813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 Light" panose="020F0302020204030204" pitchFamily="34" charset="0"/>
          <a:ea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'Benefit transfer'!$I$2</c:f>
              <c:strCache>
                <c:ptCount val="1"/>
                <c:pt idx="0">
                  <c:v>Annual Variation (US$)
1996-2020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9"/>
              <c:layout>
                <c:manualLayout>
                  <c:x val="-1.0092933800619453E-2"/>
                  <c:y val="-0.20336992687223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A5-4AC9-914C-3612FD5B3EA7}"/>
                </c:ext>
              </c:extLst>
            </c:dLbl>
            <c:dLbl>
              <c:idx val="11"/>
              <c:layout>
                <c:manualLayout>
                  <c:x val="0"/>
                  <c:y val="-0.1355799512481540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A5-4AC9-914C-3612FD5B3EA7}"/>
                </c:ext>
              </c:extLst>
            </c:dLbl>
            <c:dLbl>
              <c:idx val="12"/>
              <c:layout>
                <c:manualLayout>
                  <c:x val="1.7662634151083934E-2"/>
                  <c:y val="-4.97126487909898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A5-4AC9-914C-3612FD5B3EA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Calibri Light" panose="020F0302020204030204" pitchFamily="34" charset="0"/>
                    <a:cs typeface="Calibri Light" panose="020F030202020403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yVal>
            <c:numRef>
              <c:f>'Benefit transfer'!$I$3:$I$21</c:f>
              <c:numCache>
                <c:formatCode>"$"#,##0.00</c:formatCode>
                <c:ptCount val="19"/>
                <c:pt idx="0">
                  <c:v>435.12112793277697</c:v>
                </c:pt>
                <c:pt idx="1">
                  <c:v>37.474290820964377</c:v>
                </c:pt>
                <c:pt idx="2">
                  <c:v>0.28770676749433355</c:v>
                </c:pt>
                <c:pt idx="3">
                  <c:v>2.5295430862612069</c:v>
                </c:pt>
                <c:pt idx="4">
                  <c:v>0</c:v>
                </c:pt>
                <c:pt idx="5">
                  <c:v>154.68404204336341</c:v>
                </c:pt>
                <c:pt idx="6">
                  <c:v>80.704896588538858</c:v>
                </c:pt>
                <c:pt idx="7">
                  <c:v>4.4231282841048039</c:v>
                </c:pt>
                <c:pt idx="8">
                  <c:v>95.730794222533746</c:v>
                </c:pt>
                <c:pt idx="9">
                  <c:v>279.75559864721743</c:v>
                </c:pt>
                <c:pt idx="10">
                  <c:v>298.93169062005944</c:v>
                </c:pt>
                <c:pt idx="11">
                  <c:v>17.298248306889946</c:v>
                </c:pt>
                <c:pt idx="12">
                  <c:v>4.8774531122355871</c:v>
                </c:pt>
                <c:pt idx="13">
                  <c:v>298.93169062005944</c:v>
                </c:pt>
                <c:pt idx="14">
                  <c:v>62.058446619493225</c:v>
                </c:pt>
                <c:pt idx="15">
                  <c:v>12.193632780588967</c:v>
                </c:pt>
                <c:pt idx="16">
                  <c:v>145.8230126529171</c:v>
                </c:pt>
                <c:pt idx="17">
                  <c:v>25.190083687645711</c:v>
                </c:pt>
                <c:pt idx="18">
                  <c:v>195.24851666334098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A5-4AC9-914C-3612FD5B3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7372352"/>
        <c:axId val="2147371872"/>
      </c:scatterChart>
      <c:valAx>
        <c:axId val="21473723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Light" panose="020F0302020204030204" pitchFamily="34" charset="0"/>
                <a:ea typeface="Calibri Light" panose="020F0302020204030204" pitchFamily="34" charset="0"/>
                <a:cs typeface="Calibri Light" panose="020F0302020204030204" pitchFamily="34" charset="0"/>
              </a:defRPr>
            </a:pPr>
            <a:endParaRPr lang="en-US"/>
          </a:p>
        </c:txPr>
        <c:crossAx val="2147371872"/>
        <c:crosses val="autoZero"/>
        <c:crossBetween val="midCat"/>
        <c:majorUnit val="1"/>
      </c:valAx>
      <c:valAx>
        <c:axId val="2147371872"/>
        <c:scaling>
          <c:orientation val="minMax"/>
        </c:scaling>
        <c:delete val="0"/>
        <c:axPos val="l"/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 Light" panose="020F0302020204030204" pitchFamily="34" charset="0"/>
                <a:ea typeface="Calibri Light" panose="020F0302020204030204" pitchFamily="34" charset="0"/>
                <a:cs typeface="Calibri Light" panose="020F0302020204030204" pitchFamily="34" charset="0"/>
              </a:defRPr>
            </a:pPr>
            <a:endParaRPr lang="en-US"/>
          </a:p>
        </c:txPr>
        <c:crossAx val="2147372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 Light" panose="020F0302020204030204" pitchFamily="34" charset="0"/>
          <a:ea typeface="Calibri Light" panose="020F0302020204030204" pitchFamily="34" charset="0"/>
          <a:cs typeface="Calibri Light" panose="020F03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19</xdr:row>
      <xdr:rowOff>25400</xdr:rowOff>
    </xdr:from>
    <xdr:to>
      <xdr:col>4</xdr:col>
      <xdr:colOff>635195</xdr:colOff>
      <xdr:row>29</xdr:row>
      <xdr:rowOff>171552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38C169-1873-A37F-AB71-1CFB6549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3524250"/>
          <a:ext cx="3797495" cy="1987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381882</xdr:colOff>
      <xdr:row>0</xdr:row>
      <xdr:rowOff>239889</xdr:rowOff>
    </xdr:from>
    <xdr:to>
      <xdr:col>22</xdr:col>
      <xdr:colOff>35278</xdr:colOff>
      <xdr:row>16</xdr:row>
      <xdr:rowOff>91722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D2A5D0-785D-4370-A79B-F37D00AF5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94365</xdr:colOff>
      <xdr:row>0</xdr:row>
      <xdr:rowOff>222075</xdr:rowOff>
    </xdr:from>
    <xdr:to>
      <xdr:col>30</xdr:col>
      <xdr:colOff>527401</xdr:colOff>
      <xdr:row>16</xdr:row>
      <xdr:rowOff>37042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613A4A9-2314-37E4-B166-0EC43200E4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70555</xdr:colOff>
      <xdr:row>15</xdr:row>
      <xdr:rowOff>119945</xdr:rowOff>
    </xdr:from>
    <xdr:to>
      <xdr:col>22</xdr:col>
      <xdr:colOff>21166</xdr:colOff>
      <xdr:row>37</xdr:row>
      <xdr:rowOff>28222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4CF71C-CD66-74E0-EC91-EC8E579582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112889</xdr:colOff>
      <xdr:row>16</xdr:row>
      <xdr:rowOff>21167</xdr:rowOff>
    </xdr:from>
    <xdr:to>
      <xdr:col>30</xdr:col>
      <xdr:colOff>508000</xdr:colOff>
      <xdr:row>37</xdr:row>
      <xdr:rowOff>27215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5D3F677-109F-0F44-7F6F-A2794B1144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75593</xdr:colOff>
      <xdr:row>39</xdr:row>
      <xdr:rowOff>1712</xdr:rowOff>
    </xdr:from>
    <xdr:to>
      <xdr:col>30</xdr:col>
      <xdr:colOff>607785</xdr:colOff>
      <xdr:row>65</xdr:row>
      <xdr:rowOff>9072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C61FDAA-0200-44CE-A6DB-59330D69BF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168862</xdr:rowOff>
    </xdr:from>
    <xdr:to>
      <xdr:col>11</xdr:col>
      <xdr:colOff>117592</xdr:colOff>
      <xdr:row>50</xdr:row>
      <xdr:rowOff>15678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7ADA60-2F3E-A96F-0106-FDBBCD843F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93289</xdr:colOff>
      <xdr:row>51</xdr:row>
      <xdr:rowOff>43431</xdr:rowOff>
    </xdr:from>
    <xdr:to>
      <xdr:col>11</xdr:col>
      <xdr:colOff>172468</xdr:colOff>
      <xdr:row>66</xdr:row>
      <xdr:rowOff>148951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004910-CD0F-5FB0-4450-665250252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8E8AE2-F9B1-4D8F-9325-15A72EBE93F3}" name="Table1" displayName="Table1" ref="B1:O13" totalsRowCount="1" headerRowDxfId="67" dataDxfId="65" headerRowBorderDxfId="66">
  <autoFilter ref="B1:O12" xr:uid="{2B8E8AE2-F9B1-4D8F-9325-15A72EBE93F3}"/>
  <tableColumns count="14">
    <tableColumn id="1" xr3:uid="{FA555C35-48C7-4627-A9BA-FEDA2BE975AF}" name="Cover class" totalsRowLabel="Total" dataDxfId="64" totalsRowDxfId="63"/>
    <tableColumn id="2" xr3:uid="{A7E4F7E5-16B4-42F4-A43E-651D443B92E3}" name="Value" dataDxfId="62" totalsRowDxfId="61"/>
    <tableColumn id="3" xr3:uid="{56C3653C-9AD6-4136-8B30-215FE5C5FE34}" name="Color code" dataDxfId="60" totalsRowDxfId="59"/>
    <tableColumn id="4" xr3:uid="{A8C61F78-7328-458E-B1C9-6D8549552F3C}" name="Descripction" dataDxfId="58" totalsRowDxfId="57"/>
    <tableColumn id="5" xr3:uid="{2BB19339-4F76-4D47-B995-428BB09B8485}" name="Area (ha)_x000a_2000" totalsRowFunction="sum" dataDxfId="56" totalsRowDxfId="55" dataCellStyle="Comma"/>
    <tableColumn id="6" xr3:uid="{4AF62DBB-1F2B-4117-9356-B8846A3B0056}" name="%_x000a_2000" totalsRowFunction="sum" dataDxfId="54" totalsRowDxfId="53" dataCellStyle="Comma">
      <calculatedColumnFormula>Table1[[#This Row],[Area (ha)
2000]]*100/Table1[[#Totals],[Area (ha)
2000]]</calculatedColumnFormula>
    </tableColumn>
    <tableColumn id="7" xr3:uid="{0D880E24-F917-49F2-AE2C-F212EAB841A5}" name="Area (ha)_x000a_2020" totalsRowFunction="sum" dataDxfId="52" totalsRowDxfId="51" dataCellStyle="Comma"/>
    <tableColumn id="8" xr3:uid="{C4407BCA-7B83-4345-9C73-6F755331D41C}" name="%_x000a_2020" totalsRowFunction="sum" dataDxfId="50" totalsRowDxfId="49" dataCellStyle="Percent">
      <calculatedColumnFormula>Table1[[#This Row],[Area (ha)
2020]]/Table1[[#Totals],[Area (ha)
2020]]</calculatedColumnFormula>
    </tableColumn>
    <tableColumn id="9" xr3:uid="{2E5633A1-A262-4744-9194-85E287D7A972}" name="Net change (ha)_x000a_2020-2000" totalsRowFunction="sum" dataDxfId="48" totalsRowDxfId="47" dataCellStyle="Comma">
      <calculatedColumnFormula>Table1[[#This Row],[Area (ha)
2020]]-Table1[[#This Row],[Area (ha)
2000]]</calculatedColumnFormula>
    </tableColumn>
    <tableColumn id="11" xr3:uid="{3804C440-AA65-4764-A980-C7DD06A649D2}" name="Variation (%)" totalsRowFunction="custom" dataDxfId="46" totalsRowDxfId="45" dataCellStyle="Comma" totalsRowCellStyle="Percent">
      <calculatedColumnFormula>Table1[[#This Row],[Net change (ha)
2020-2000]]/Table1[[#This Row],[Area (ha)
2000]]</calculatedColumnFormula>
      <totalsRowFormula>Table1[[#Totals],[Net change (ha)
2020-2000]]/Table1[[#Totals],[Area (ha)
2000]]</totalsRowFormula>
    </tableColumn>
    <tableColumn id="10" xr3:uid="{50C71048-D2E7-4CA0-AEF0-7D8871D6F78C}" name="Area (ha)_x000a_2030" totalsRowFunction="sum" dataDxfId="44" totalsRowDxfId="43" dataCellStyle="Comma"/>
    <tableColumn id="12" xr3:uid="{B47C5EB8-E719-48CC-B03A-3E2B7995E4F5}" name="%" totalsRowFunction="sum" dataDxfId="42" totalsRowDxfId="41" dataCellStyle="Percent">
      <calculatedColumnFormula>Table1[[#This Row],[Area (ha)
2030]]/Table1[[#Totals],[Area (ha)
2030]]</calculatedColumnFormula>
    </tableColumn>
    <tableColumn id="13" xr3:uid="{075E98AF-8DE7-4687-AFC2-72E84F1849DF}" name="Net change (ha)_x000a_2030-2020" totalsRowFunction="sum" dataDxfId="40" totalsRowDxfId="39">
      <calculatedColumnFormula>Table1[[#This Row],[Area (ha)
2030]]-Table1[[#This Row],[Area (ha)
2020]]</calculatedColumnFormula>
    </tableColumn>
    <tableColumn id="14" xr3:uid="{75189B7F-017B-495F-9F72-0940A6156357}" name="Variation %" totalsRowFunction="sum" dataDxfId="38" totalsRowDxfId="37" dataCellStyle="Percent">
      <calculatedColumnFormula>Table1[[#This Row],[Net change (ha)
2030-2020]]/Table1[[#This Row],[Area (ha)
2020]]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56B910E-B3B2-4AF1-957C-A053ADF53EF5}" name="Table245" displayName="Table245" ref="A1:J5" totalsRowShown="0" headerRowDxfId="36" dataDxfId="35" dataCellStyle="Comma">
  <autoFilter ref="A1:J5" xr:uid="{7FA18CD3-CACC-404F-A36F-B4E314383627}"/>
  <tableColumns count="10">
    <tableColumn id="1" xr3:uid="{42FB414C-7247-4B63-8763-8EC47315187C}" name="Variable" dataDxfId="34"/>
    <tableColumn id="2" xr3:uid="{C6EF03BF-5F36-4F58-B670-FD2917FC8029}" name="1996" dataDxfId="33" dataCellStyle="Comma"/>
    <tableColumn id="3" xr3:uid="{AE79BBC7-7F8C-48E7-B689-F5D6FD7CB869}" name="2010" dataDxfId="32" dataCellStyle="Comma"/>
    <tableColumn id="4" xr3:uid="{4FCC51C2-B89E-4EFC-AEB0-CE8FDE361E8E}" name="2020" dataDxfId="31" dataCellStyle="Comma"/>
    <tableColumn id="5" xr3:uid="{8B413519-E91F-4BB8-8A73-74454CEFA815}" name="Net change_x000a_2020-1996">
      <calculatedColumnFormula>D2-B2</calculatedColumnFormula>
    </tableColumn>
    <tableColumn id="6" xr3:uid="{E8E2264A-B188-423F-B4EA-0117F45E24F9}" name="Variation (%)" dataDxfId="30" dataCellStyle="Percent">
      <calculatedColumnFormula>E2/B2*100</calculatedColumnFormula>
    </tableColumn>
    <tableColumn id="7" xr3:uid="{F25A572D-C275-428D-9268-0679350AA24C}" name="Net change_x000a_2020-2010" dataDxfId="29" dataCellStyle="Comma"/>
    <tableColumn id="8" xr3:uid="{8D303329-F059-4DF5-9835-8BEF003CA4B1}" name="Variation (%)II" dataDxfId="28" dataCellStyle="Comma"/>
    <tableColumn id="9" xr3:uid="{12461DF0-307A-4E35-AF19-A902166ED510}" name="Net change_x000a_2010-1996" dataDxfId="27" dataCellStyle="Comma"/>
    <tableColumn id="10" xr3:uid="{9E44E5B9-3F55-47F1-B2E3-85601E60D62D}" name="Variation (%)III" dataDxfId="26" dataCellStyle="Comm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A9F697-7B55-4EF1-A242-48D09FCEEC10}" name="Table2" displayName="Table2" ref="A2:K22" totalsRowCount="1" headerRowDxfId="25" dataDxfId="24" totalsRowDxfId="23">
  <autoFilter ref="A2:K21" xr:uid="{EEA9F697-7B55-4EF1-A242-48D09FCEEC10}"/>
  <tableColumns count="11">
    <tableColumn id="1" xr3:uid="{810F83C8-22EE-44DC-8729-4B11B31CFAFA}" name="No. " totalsRowLabel="Total" dataDxfId="22" totalsRowDxfId="21"/>
    <tableColumn id="2" xr3:uid="{DDCD0DFA-A91E-482A-9960-65ECEC973274}" name="Ecosystem services" dataDxfId="20" totalsRowDxfId="19"/>
    <tableColumn id="3" xr3:uid="{4173FE91-ED96-4FC7-9760-7C6E83BD4FDF}" name="Year" dataDxfId="18" totalsRowDxfId="17"/>
    <tableColumn id="4" xr3:uid="{D224B574-8674-4C52-8F3E-ED5F12EB0A4E}" name="Annual Values (US$/ha)_x000a_(Adjusted 2012)" dataDxfId="16" totalsRowDxfId="15"/>
    <tableColumn id="5" xr3:uid="{128B6567-CDAB-46E9-AB49-6567E706E2A5}" name="Annual Values (DOP$/ha)_x000a_(Adjusted 2012)" dataDxfId="14" totalsRowDxfId="13">
      <calculatedColumnFormula>D3*39.2361</calculatedColumnFormula>
    </tableColumn>
    <tableColumn id="6" xr3:uid="{8B418F82-C591-49E9-8F36-B04B665FF579}" name="Annual Values (DOP$/ha)_x000a_(Adjusted 2024)" dataDxfId="12" totalsRowDxfId="11"/>
    <tableColumn id="7" xr3:uid="{69C28D6A-E9D0-4470-95C8-F823F5378968}" name="Annual Values (US$/ha)_x000a_(Adjusted at 2024)" totalsRowFunction="sum" dataDxfId="10" totalsRowDxfId="9">
      <calculatedColumnFormula>F3/58.6347</calculatedColumnFormula>
    </tableColumn>
    <tableColumn id="10" xr3:uid="{F6F70BBB-A060-45B2-BA97-8647575CA70D}" name="Economic Value 2020" totalsRowFunction="sum" dataDxfId="8" totalsRowDxfId="7">
      <calculatedColumnFormula>G3*Mangroves_BSE!$D$4</calculatedColumnFormula>
    </tableColumn>
    <tableColumn id="11" xr3:uid="{0938CBAE-3C75-41BD-B013-8FA1BD087A45}" name="Annual Variation (US$)_x000a_1996-2020" totalsRowFunction="sum" dataDxfId="6" totalsRowDxfId="5">
      <calculatedColumnFormula>1.42*Table2[[#This Row],[Annual Values (US$/ha)
(Adjusted at 2024)]]</calculatedColumnFormula>
    </tableColumn>
    <tableColumn id="12" xr3:uid="{07532DB3-1A3D-405F-A372-4CE4173C14E0}" name="Annual Variation (US$)_x000a_2010-2020" totalsRowFunction="sum" dataDxfId="4" totalsRowDxfId="3">
      <calculatedColumnFormula>Table2[[#This Row],[Annual Values (US$/ha)
(Adjusted at 2024)]]*(-4.28)</calculatedColumnFormula>
    </tableColumn>
    <tableColumn id="13" xr3:uid="{6EF34C32-16F5-4963-BF20-B7F2832D1224}" name="Annual Increase (US$)_x000a_1996-2010" totalsRowFunction="sum" dataDxfId="2" totalsRowDxfId="1">
      <calculatedColumnFormula>Table2[[#This Row],[Annual Values (US$/ha)
(Adjusted at 2024)]]*5.46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glad.umd.edu/dataset/GLCLUC2020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D378-7575-42A8-99F8-A21803BA7C9F}">
  <dimension ref="A1:O19"/>
  <sheetViews>
    <sheetView showGridLines="0" workbookViewId="0">
      <selection activeCell="H23" sqref="H23"/>
    </sheetView>
  </sheetViews>
  <sheetFormatPr defaultRowHeight="14.5" x14ac:dyDescent="0.35"/>
  <cols>
    <col min="1" max="1" width="9.7265625" style="1" bestFit="1" customWidth="1"/>
    <col min="2" max="2" width="26.7265625" bestFit="1" customWidth="1"/>
    <col min="3" max="3" width="8.36328125" bestFit="1" customWidth="1"/>
    <col min="4" max="4" width="11.6328125" bestFit="1" customWidth="1"/>
    <col min="5" max="5" width="18.26953125" bestFit="1" customWidth="1"/>
    <col min="6" max="6" width="12.7265625" style="25" bestFit="1" customWidth="1"/>
    <col min="7" max="7" width="9.7265625" style="25" bestFit="1" customWidth="1"/>
    <col min="8" max="8" width="13.54296875" style="25" bestFit="1" customWidth="1"/>
    <col min="9" max="9" width="9.7265625" style="25" bestFit="1" customWidth="1"/>
    <col min="10" max="10" width="19.453125" style="25" bestFit="1" customWidth="1"/>
    <col min="11" max="11" width="16.90625" style="25" bestFit="1" customWidth="1"/>
    <col min="12" max="12" width="11.1796875" style="25" bestFit="1" customWidth="1"/>
    <col min="13" max="13" width="8.90625" style="25" bestFit="1" customWidth="1"/>
    <col min="14" max="14" width="14.90625" style="25" customWidth="1"/>
    <col min="15" max="15" width="12.1796875" style="25" bestFit="1" customWidth="1"/>
  </cols>
  <sheetData>
    <row r="1" spans="1:15" s="26" customFormat="1" ht="29.5" thickBot="1" x14ac:dyDescent="0.4">
      <c r="A1" s="33" t="s">
        <v>59</v>
      </c>
      <c r="B1" s="34" t="s">
        <v>0</v>
      </c>
      <c r="C1" s="34" t="s">
        <v>17</v>
      </c>
      <c r="D1" s="34" t="s">
        <v>18</v>
      </c>
      <c r="E1" s="34" t="s">
        <v>16</v>
      </c>
      <c r="F1" s="30" t="s">
        <v>1</v>
      </c>
      <c r="G1" s="30" t="s">
        <v>3</v>
      </c>
      <c r="H1" s="30" t="s">
        <v>2</v>
      </c>
      <c r="I1" s="30" t="s">
        <v>4</v>
      </c>
      <c r="J1" s="30" t="s">
        <v>63</v>
      </c>
      <c r="K1" s="30" t="s">
        <v>37</v>
      </c>
      <c r="L1" s="30" t="s">
        <v>60</v>
      </c>
      <c r="M1" s="30" t="s">
        <v>61</v>
      </c>
      <c r="N1" s="30" t="s">
        <v>64</v>
      </c>
      <c r="O1" s="31" t="s">
        <v>62</v>
      </c>
    </row>
    <row r="2" spans="1:15" x14ac:dyDescent="0.35">
      <c r="A2" s="32">
        <v>1</v>
      </c>
      <c r="B2" s="15" t="s">
        <v>5</v>
      </c>
      <c r="C2" s="15">
        <v>2</v>
      </c>
      <c r="D2" s="16" t="s">
        <v>19</v>
      </c>
      <c r="E2" s="15" t="s">
        <v>28</v>
      </c>
      <c r="F2" s="19">
        <v>15.69876</v>
      </c>
      <c r="G2" s="20">
        <f>Table1[[#This Row],[Area (ha)
2000]]/Table1[[#Totals],[Area (ha)
2000]]</f>
        <v>3.7720645988546311E-5</v>
      </c>
      <c r="H2" s="19">
        <v>18.838509999999999</v>
      </c>
      <c r="I2" s="20">
        <f>Table1[[#This Row],[Area (ha)
2020]]/Table1[[#Totals],[Area (ha)
2020]]</f>
        <v>4.5264695785846885E-5</v>
      </c>
      <c r="J2" s="22">
        <f>Table1[[#This Row],[Area (ha)
2020]]-Table1[[#This Row],[Area (ha)
2000]]</f>
        <v>3.1397499999999994</v>
      </c>
      <c r="K2" s="23">
        <f>Table1[[#This Row],[Net change (ha)
2020-2000]]/Table1[[#This Row],[Area (ha)
2000]]</f>
        <v>0.19999987260140287</v>
      </c>
      <c r="L2" s="19">
        <v>1640.21</v>
      </c>
      <c r="M2" s="21">
        <f>Table1[[#This Row],[Area (ha)
2030]]/Table1[[#Totals],[Area (ha)
2030]]</f>
        <v>3.9411495433188974E-3</v>
      </c>
      <c r="N2" s="22">
        <f>Table1[[#This Row],[Area (ha)
2030]]-Table1[[#This Row],[Area (ha)
2020]]</f>
        <v>1621.37149</v>
      </c>
      <c r="O2" s="21">
        <f>Table1[[#This Row],[Net change (ha)
2030-2020]]/Table1[[#This Row],[Area (ha)
2020]]</f>
        <v>86.066864629952164</v>
      </c>
    </row>
    <row r="3" spans="1:15" x14ac:dyDescent="0.35">
      <c r="A3" s="32">
        <v>2</v>
      </c>
      <c r="B3" s="15" t="s">
        <v>6</v>
      </c>
      <c r="C3" s="15">
        <v>3</v>
      </c>
      <c r="D3" s="16" t="s">
        <v>20</v>
      </c>
      <c r="E3" s="15" t="s">
        <v>29</v>
      </c>
      <c r="F3" s="19">
        <v>106155.6</v>
      </c>
      <c r="G3" s="20">
        <f>Table1[[#This Row],[Area (ha)
2000]]/Table1[[#Totals],[Area (ha)
2000]]</f>
        <v>0.25506841351175041</v>
      </c>
      <c r="H3" s="19">
        <v>110270</v>
      </c>
      <c r="I3" s="21">
        <f>Table1[[#This Row],[Area (ha)
2020]]/Table1[[#Totals],[Area (ha)
2020]]</f>
        <v>0.26495396951804234</v>
      </c>
      <c r="J3" s="22">
        <f>Table1[[#This Row],[Area (ha)
2020]]-Table1[[#This Row],[Area (ha)
2000]]</f>
        <v>4114.3999999999942</v>
      </c>
      <c r="K3" s="23">
        <f>Table1[[#This Row],[Net change (ha)
2020-2000]]/Table1[[#This Row],[Area (ha)
2000]]</f>
        <v>3.8758200226836778E-2</v>
      </c>
      <c r="L3" s="19">
        <v>123848</v>
      </c>
      <c r="M3" s="21">
        <f>Table1[[#This Row],[Area (ha)
2030]]/Table1[[#Totals],[Area (ha)
2030]]</f>
        <v>0.29758597291868649</v>
      </c>
      <c r="N3" s="22">
        <f>Table1[[#This Row],[Area (ha)
2030]]-Table1[[#This Row],[Area (ha)
2020]]</f>
        <v>13578</v>
      </c>
      <c r="O3" s="21">
        <f>Table1[[#This Row],[Net change (ha)
2030-2020]]/Table1[[#This Row],[Area (ha)
2020]]</f>
        <v>0.12313412532873855</v>
      </c>
    </row>
    <row r="4" spans="1:15" x14ac:dyDescent="0.35">
      <c r="A4" s="32">
        <v>3</v>
      </c>
      <c r="B4" s="15" t="s">
        <v>7</v>
      </c>
      <c r="C4" s="15">
        <v>4</v>
      </c>
      <c r="D4" s="16">
        <v>317431</v>
      </c>
      <c r="E4" s="15" t="s">
        <v>30</v>
      </c>
      <c r="F4" s="19">
        <v>238901.9</v>
      </c>
      <c r="G4" s="21">
        <f>Table1[[#This Row],[Area (ha)
2000]]/Table1[[#Totals],[Area (ha)
2000]]</f>
        <v>0.57402839433758412</v>
      </c>
      <c r="H4" s="19">
        <v>229681.7</v>
      </c>
      <c r="I4" s="21">
        <f>Table1[[#This Row],[Area (ha)
2020]]/Table1[[#Totals],[Area (ha)
2020]]</f>
        <v>0.55187338478871995</v>
      </c>
      <c r="J4" s="22">
        <f>Table1[[#This Row],[Area (ha)
2020]]-Table1[[#This Row],[Area (ha)
2000]]</f>
        <v>-9220.1999999999825</v>
      </c>
      <c r="K4" s="23">
        <f>Table1[[#This Row],[Net change (ha)
2020-2000]]/Table1[[#This Row],[Area (ha)
2000]]</f>
        <v>-3.8594084015237978E-2</v>
      </c>
      <c r="L4" s="19">
        <v>197934</v>
      </c>
      <c r="M4" s="21">
        <f>Table1[[#This Row],[Area (ha)
2030]]/Table1[[#Totals],[Area (ha)
2030]]</f>
        <v>0.47560220563664563</v>
      </c>
      <c r="N4" s="22">
        <f>Table1[[#This Row],[Area (ha)
2030]]-Table1[[#This Row],[Area (ha)
2020]]</f>
        <v>-31747.700000000012</v>
      </c>
      <c r="O4" s="21">
        <f>Table1[[#This Row],[Net change (ha)
2030-2020]]/Table1[[#This Row],[Area (ha)
2020]]</f>
        <v>-0.13822476932206618</v>
      </c>
    </row>
    <row r="5" spans="1:15" x14ac:dyDescent="0.35">
      <c r="A5" s="32">
        <v>4</v>
      </c>
      <c r="B5" s="15" t="s">
        <v>8</v>
      </c>
      <c r="C5" s="15">
        <v>5</v>
      </c>
      <c r="D5" s="16" t="s">
        <v>21</v>
      </c>
      <c r="E5" s="15" t="s">
        <v>31</v>
      </c>
      <c r="F5" s="19">
        <v>10.04721</v>
      </c>
      <c r="G5" s="24">
        <f>Table1[[#This Row],[Area (ha)
2000]]/Table1[[#Totals],[Area (ha)
2000]]</f>
        <v>2.4141222082672922E-5</v>
      </c>
      <c r="H5" s="19">
        <v>18.838509999999999</v>
      </c>
      <c r="I5" s="21">
        <f>Table1[[#This Row],[Area (ha)
2020]]/Table1[[#Totals],[Area (ha)
2020]]</f>
        <v>4.5264695785846885E-5</v>
      </c>
      <c r="J5" s="22">
        <f>Table1[[#This Row],[Area (ha)
2020]]-Table1[[#This Row],[Area (ha)
2000]]</f>
        <v>8.7912999999999997</v>
      </c>
      <c r="K5" s="23">
        <f>Table1[[#This Row],[Net change (ha)
2020-2000]]/Table1[[#This Row],[Area (ha)
2000]]</f>
        <v>0.87499912911146471</v>
      </c>
      <c r="L5" s="19">
        <v>1611.95</v>
      </c>
      <c r="M5" s="21">
        <f>Table1[[#This Row],[Area (ha)
2030]]/Table1[[#Totals],[Area (ha)
2030]]</f>
        <v>3.873245502925172E-3</v>
      </c>
      <c r="N5" s="22">
        <f>Table1[[#This Row],[Area (ha)
2030]]-Table1[[#This Row],[Area (ha)
2020]]</f>
        <v>1593.11149</v>
      </c>
      <c r="O5" s="21">
        <f>Table1[[#This Row],[Net change (ha)
2030-2020]]/Table1[[#This Row],[Area (ha)
2020]]</f>
        <v>84.566745989996022</v>
      </c>
    </row>
    <row r="6" spans="1:15" x14ac:dyDescent="0.35">
      <c r="A6" s="32">
        <v>5</v>
      </c>
      <c r="B6" s="15" t="s">
        <v>9</v>
      </c>
      <c r="C6" s="15">
        <v>6</v>
      </c>
      <c r="D6" s="16" t="s">
        <v>22</v>
      </c>
      <c r="E6" s="15" t="s">
        <v>32</v>
      </c>
      <c r="F6" s="19">
        <v>10.04721</v>
      </c>
      <c r="G6" s="24">
        <f>Table1[[#This Row],[Area (ha)
2000]]/Table1[[#Totals],[Area (ha)
2000]]</f>
        <v>2.4141222082672922E-5</v>
      </c>
      <c r="H6" s="19">
        <v>25.118020000000001</v>
      </c>
      <c r="I6" s="21">
        <f>Table1[[#This Row],[Area (ha)
2020]]/Table1[[#Totals],[Area (ha)
2020]]</f>
        <v>6.0352943732960724E-5</v>
      </c>
      <c r="J6" s="22">
        <f>Table1[[#This Row],[Area (ha)
2020]]-Table1[[#This Row],[Area (ha)
2000]]</f>
        <v>15.070810000000002</v>
      </c>
      <c r="K6" s="23">
        <f>Table1[[#This Row],[Net change (ha)
2020-2000]]/Table1[[#This Row],[Area (ha)
2000]]</f>
        <v>1.4999995023494086</v>
      </c>
      <c r="L6" s="19">
        <v>1624.51</v>
      </c>
      <c r="M6" s="21">
        <f>Table1[[#This Row],[Area (ha)
2030]]/Table1[[#Totals],[Area (ha)
2030]]</f>
        <v>3.9034250764334939E-3</v>
      </c>
      <c r="N6" s="22">
        <f>Table1[[#This Row],[Area (ha)
2030]]-Table1[[#This Row],[Area (ha)
2020]]</f>
        <v>1599.3919799999999</v>
      </c>
      <c r="O6" s="21">
        <f>Table1[[#This Row],[Net change (ha)
2030-2020]]/Table1[[#This Row],[Area (ha)
2020]]</f>
        <v>63.675081873491614</v>
      </c>
    </row>
    <row r="7" spans="1:15" x14ac:dyDescent="0.35">
      <c r="A7" s="32">
        <v>6</v>
      </c>
      <c r="B7" s="15" t="s">
        <v>10</v>
      </c>
      <c r="C7" s="15">
        <v>7</v>
      </c>
      <c r="D7" s="16" t="s">
        <v>23</v>
      </c>
      <c r="E7" s="15" t="s">
        <v>29</v>
      </c>
      <c r="F7" s="19">
        <v>32035.52</v>
      </c>
      <c r="G7" s="24">
        <f>Table1[[#This Row],[Area (ha)
2000]]/Table1[[#Totals],[Area (ha)
2000]]</f>
        <v>7.6974264781358215E-2</v>
      </c>
      <c r="H7" s="19">
        <v>27190.880000000001</v>
      </c>
      <c r="I7" s="21">
        <f>Table1[[#This Row],[Area (ha)
2020]]/Table1[[#Totals],[Area (ha)
2020]]</f>
        <v>6.5333559360558152E-2</v>
      </c>
      <c r="J7" s="22">
        <f>Table1[[#This Row],[Area (ha)
2020]]-Table1[[#This Row],[Area (ha)
2000]]</f>
        <v>-4844.6399999999994</v>
      </c>
      <c r="K7" s="23">
        <f>Table1[[#This Row],[Net change (ha)
2020-2000]]/Table1[[#This Row],[Area (ha)
2000]]</f>
        <v>-0.15122713787695655</v>
      </c>
      <c r="L7" s="19">
        <v>25681.3</v>
      </c>
      <c r="M7" s="21">
        <f>Table1[[#This Row],[Area (ha)
2030]]/Table1[[#Totals],[Area (ha)
2030]]</f>
        <v>6.1707856778604929E-2</v>
      </c>
      <c r="N7" s="22">
        <f>Table1[[#This Row],[Area (ha)
2030]]-Table1[[#This Row],[Area (ha)
2020]]</f>
        <v>-1509.5800000000017</v>
      </c>
      <c r="O7" s="21">
        <f>Table1[[#This Row],[Net change (ha)
2030-2020]]/Table1[[#This Row],[Area (ha)
2020]]</f>
        <v>-5.5517879524311156E-2</v>
      </c>
    </row>
    <row r="8" spans="1:15" x14ac:dyDescent="0.35">
      <c r="A8" s="32">
        <v>7</v>
      </c>
      <c r="B8" s="15" t="s">
        <v>11</v>
      </c>
      <c r="C8" s="15">
        <v>8</v>
      </c>
      <c r="D8" s="16" t="s">
        <v>24</v>
      </c>
      <c r="E8" s="15" t="s">
        <v>30</v>
      </c>
      <c r="F8" s="19">
        <v>13320.08</v>
      </c>
      <c r="G8" s="24">
        <f>Table1[[#This Row],[Area (ha)
2000]]/Table1[[#Totals],[Area (ha)
2000]]</f>
        <v>3.2005204374047115E-2</v>
      </c>
      <c r="H8" s="19">
        <v>13311.29</v>
      </c>
      <c r="I8" s="21">
        <f>Table1[[#This Row],[Area (ha)
2020]]/Table1[[#Totals],[Area (ha)
2020]]</f>
        <v>3.1984031240644077E-2</v>
      </c>
      <c r="J8" s="22">
        <f>Table1[[#This Row],[Area (ha)
2020]]-Table1[[#This Row],[Area (ha)
2000]]</f>
        <v>-8.7899999999990541</v>
      </c>
      <c r="K8" s="23">
        <f>Table1[[#This Row],[Net change (ha)
2020-2000]]/Table1[[#This Row],[Area (ha)
2000]]</f>
        <v>-6.5990594651076074E-4</v>
      </c>
      <c r="L8" s="19">
        <v>13297.5</v>
      </c>
      <c r="M8" s="21">
        <f>Table1[[#This Row],[Area (ha)
2030]]/Table1[[#Totals],[Area (ha)
2030]]</f>
        <v>3.1951662319021974E-2</v>
      </c>
      <c r="N8" s="22">
        <f>Table1[[#This Row],[Area (ha)
2030]]-Table1[[#This Row],[Area (ha)
2020]]</f>
        <v>-13.790000000000873</v>
      </c>
      <c r="O8" s="21">
        <f>Table1[[#This Row],[Net change (ha)
2030-2020]]/Table1[[#This Row],[Area (ha)
2020]]</f>
        <v>-1.0359627053426732E-3</v>
      </c>
    </row>
    <row r="9" spans="1:15" x14ac:dyDescent="0.35">
      <c r="A9" s="32">
        <v>8</v>
      </c>
      <c r="B9" s="15" t="s">
        <v>12</v>
      </c>
      <c r="C9" s="15">
        <v>9</v>
      </c>
      <c r="D9" s="16" t="s">
        <v>25</v>
      </c>
      <c r="E9" s="15" t="s">
        <v>33</v>
      </c>
      <c r="F9" s="19">
        <v>2132.52</v>
      </c>
      <c r="G9" s="24">
        <f>Table1[[#This Row],[Area (ha)
2000]]/Table1[[#Totals],[Area (ha)
2000]]</f>
        <v>5.1239736121511999E-3</v>
      </c>
      <c r="H9" s="19">
        <v>2302.694</v>
      </c>
      <c r="I9" s="21">
        <f>Table1[[#This Row],[Area (ha)
2020]]/Table1[[#Totals],[Area (ha)
2020]]</f>
        <v>5.5328549549775912E-3</v>
      </c>
      <c r="J9" s="22">
        <f>Table1[[#This Row],[Area (ha)
2020]]-Table1[[#This Row],[Area (ha)
2000]]</f>
        <v>170.17399999999998</v>
      </c>
      <c r="K9" s="23">
        <f>Table1[[#This Row],[Net change (ha)
2020-2000]]/Table1[[#This Row],[Area (ha)
2000]]</f>
        <v>7.9799486054058094E-2</v>
      </c>
      <c r="L9" s="19">
        <v>4023.91</v>
      </c>
      <c r="M9" s="21">
        <f>Table1[[#This Row],[Area (ha)
2030]]/Table1[[#Totals],[Area (ha)
2030]]</f>
        <v>9.6687808627287618E-3</v>
      </c>
      <c r="N9" s="22">
        <f>Table1[[#This Row],[Area (ha)
2030]]-Table1[[#This Row],[Area (ha)
2020]]</f>
        <v>1721.2159999999999</v>
      </c>
      <c r="O9" s="21">
        <f>Table1[[#This Row],[Net change (ha)
2030-2020]]/Table1[[#This Row],[Area (ha)
2020]]</f>
        <v>0.74747925690517281</v>
      </c>
    </row>
    <row r="10" spans="1:15" x14ac:dyDescent="0.35">
      <c r="A10" s="32">
        <v>9</v>
      </c>
      <c r="B10" s="15" t="s">
        <v>13</v>
      </c>
      <c r="C10" s="15">
        <v>244</v>
      </c>
      <c r="D10" s="16" t="s">
        <v>26</v>
      </c>
      <c r="E10" s="15" t="s">
        <v>36</v>
      </c>
      <c r="F10" s="19">
        <v>11442.51</v>
      </c>
      <c r="G10" s="24">
        <f>Table1[[#This Row],[Area (ha)
2000]]/Table1[[#Totals],[Area (ha)
2000]]</f>
        <v>2.7493819188929638E-2</v>
      </c>
      <c r="H10" s="19">
        <v>15918.54</v>
      </c>
      <c r="I10" s="21">
        <f>Table1[[#This Row],[Area (ha)
2020]]/Table1[[#Totals],[Area (ha)
2020]]</f>
        <v>3.8248665656404626E-2</v>
      </c>
      <c r="J10" s="22">
        <f>Table1[[#This Row],[Area (ha)
2020]]-Table1[[#This Row],[Area (ha)
2000]]</f>
        <v>4476.0300000000007</v>
      </c>
      <c r="K10" s="23">
        <f>Table1[[#This Row],[Net change (ha)
2020-2000]]/Table1[[#This Row],[Area (ha)
2000]]</f>
        <v>0.39117553753503387</v>
      </c>
      <c r="L10" s="19">
        <v>25958.2</v>
      </c>
      <c r="M10" s="21">
        <f>Table1[[#This Row],[Area (ha)
2030]]/Table1[[#Totals],[Area (ha)
2030]]</f>
        <v>6.2373201038513723E-2</v>
      </c>
      <c r="N10" s="22">
        <f>Table1[[#This Row],[Area (ha)
2030]]-Table1[[#This Row],[Area (ha)
2020]]</f>
        <v>10039.66</v>
      </c>
      <c r="O10" s="21">
        <f>Table1[[#This Row],[Net change (ha)
2030-2020]]/Table1[[#This Row],[Area (ha)
2020]]</f>
        <v>0.63068974918554088</v>
      </c>
    </row>
    <row r="11" spans="1:15" x14ac:dyDescent="0.35">
      <c r="A11" s="32">
        <v>10</v>
      </c>
      <c r="B11" s="15" t="s">
        <v>14</v>
      </c>
      <c r="C11" s="15">
        <v>250</v>
      </c>
      <c r="D11" s="16" t="s">
        <v>27</v>
      </c>
      <c r="E11" s="15" t="s">
        <v>36</v>
      </c>
      <c r="F11" s="19">
        <v>11652.25</v>
      </c>
      <c r="G11" s="24">
        <f>Table1[[#This Row],[Area (ha)
2000]]/Table1[[#Totals],[Area (ha)
2000]]</f>
        <v>2.7997777991385225E-2</v>
      </c>
      <c r="H11" s="19">
        <v>16938.96</v>
      </c>
      <c r="I11" s="21">
        <f>Table1[[#This Row],[Area (ha)
2020]]/Table1[[#Totals],[Area (ha)
2020]]</f>
        <v>4.07005050467701E-2</v>
      </c>
      <c r="J11" s="22">
        <f>Table1[[#This Row],[Area (ha)
2020]]-Table1[[#This Row],[Area (ha)
2000]]</f>
        <v>5286.7099999999991</v>
      </c>
      <c r="K11" s="23">
        <f>Table1[[#This Row],[Net change (ha)
2020-2000]]/Table1[[#This Row],[Area (ha)
2000]]</f>
        <v>0.45370722392670937</v>
      </c>
      <c r="L11" s="19">
        <v>18948.400000000001</v>
      </c>
      <c r="M11" s="21">
        <f>Table1[[#This Row],[Area (ha)
2030]]/Table1[[#Totals],[Area (ha)
2030]]</f>
        <v>4.5529827282252758E-2</v>
      </c>
      <c r="N11" s="22">
        <f>Table1[[#This Row],[Area (ha)
2030]]-Table1[[#This Row],[Area (ha)
2020]]</f>
        <v>2009.4400000000023</v>
      </c>
      <c r="O11" s="21">
        <f>Table1[[#This Row],[Net change (ha)
2030-2020]]/Table1[[#This Row],[Area (ha)
2020]]</f>
        <v>0.11862829831347393</v>
      </c>
    </row>
    <row r="12" spans="1:15" x14ac:dyDescent="0.35">
      <c r="A12" s="32">
        <v>11</v>
      </c>
      <c r="B12" s="15" t="s">
        <v>15</v>
      </c>
      <c r="C12" s="15">
        <v>254</v>
      </c>
      <c r="D12" s="17">
        <v>111133</v>
      </c>
      <c r="E12" s="15" t="s">
        <v>36</v>
      </c>
      <c r="F12" s="19">
        <v>508.63990000000001</v>
      </c>
      <c r="G12" s="24">
        <f>Table1[[#This Row],[Area (ha)
2000]]/Table1[[#Totals],[Area (ha)
2000]]</f>
        <v>1.2221491126400809E-3</v>
      </c>
      <c r="H12" s="19">
        <v>508.63990000000001</v>
      </c>
      <c r="I12" s="21">
        <f>Table1[[#This Row],[Area (ha)
2020]]/Table1[[#Totals],[Area (ha)
2020]]</f>
        <v>1.2221470985785809E-3</v>
      </c>
      <c r="J12" s="22">
        <f>Table1[[#This Row],[Area (ha)
2020]]-Table1[[#This Row],[Area (ha)
2000]]</f>
        <v>0</v>
      </c>
      <c r="K12" s="23">
        <f>Table1[[#This Row],[Net change (ha)
2020-2000]]/Table1[[#This Row],[Area (ha)
2000]]</f>
        <v>0</v>
      </c>
      <c r="L12" s="19">
        <v>1607.55</v>
      </c>
      <c r="M12" s="21">
        <f>Table1[[#This Row],[Area (ha)
2030]]/Table1[[#Totals],[Area (ha)
2030]]</f>
        <v>3.8626730408681158E-3</v>
      </c>
      <c r="N12" s="22">
        <f>Table1[[#This Row],[Area (ha)
2030]]-Table1[[#This Row],[Area (ha)
2020]]</f>
        <v>1098.9101000000001</v>
      </c>
      <c r="O12" s="21">
        <f>Table1[[#This Row],[Net change (ha)
2030-2020]]/Table1[[#This Row],[Area (ha)
2020]]</f>
        <v>2.1604874096585815</v>
      </c>
    </row>
    <row r="13" spans="1:15" x14ac:dyDescent="0.35">
      <c r="A13" s="32"/>
      <c r="B13" s="15" t="s">
        <v>34</v>
      </c>
      <c r="C13" s="15"/>
      <c r="D13" s="15"/>
      <c r="E13" s="15"/>
      <c r="F13" s="9">
        <f>SUBTOTAL(109,Table1[Area (ha)
2000])</f>
        <v>416184.81308000005</v>
      </c>
      <c r="G13" s="27">
        <f>SUBTOTAL(109,Table1[%
2000])</f>
        <v>1.0000000000000002</v>
      </c>
      <c r="H13" s="9">
        <f>SUBTOTAL(109,Table1[Area (ha)
2020])</f>
        <v>416185.49893999996</v>
      </c>
      <c r="I13" s="28">
        <f>SUBTOTAL(109,Table1[%
2020])</f>
        <v>1</v>
      </c>
      <c r="J13" s="9">
        <f>SUBTOTAL(109,Table1[Net change (ha)
2020-2000])</f>
        <v>0.68586000001414504</v>
      </c>
      <c r="K13" s="37">
        <f>Table1[[#Totals],[Net change (ha)
2020-2000]]/Table1[[#Totals],[Area (ha)
2000]]</f>
        <v>1.6479697924064024E-6</v>
      </c>
      <c r="L13" s="9">
        <f>SUBTOTAL(109,Table1[Area (ha)
2030])</f>
        <v>416175.53</v>
      </c>
      <c r="M13" s="29">
        <f>SUBTOTAL(109,Table1[%])</f>
        <v>1</v>
      </c>
      <c r="N13" s="9">
        <f>SUBTOTAL(109,Table1[Net change (ha)
2030-2020])</f>
        <v>-9.9689400000142996</v>
      </c>
      <c r="O13" s="29">
        <f>SUBTOTAL(109,Table1[Variation %])</f>
        <v>237.89433272127957</v>
      </c>
    </row>
    <row r="14" spans="1:15" x14ac:dyDescent="0.35">
      <c r="A14" s="80" t="s">
        <v>35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</row>
    <row r="15" spans="1:15" ht="14.5" customHeight="1" x14ac:dyDescent="0.35">
      <c r="A15" s="81" t="s">
        <v>58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</row>
    <row r="16" spans="1:15" x14ac:dyDescent="0.35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15" x14ac:dyDescent="0.35">
      <c r="A17" s="35"/>
      <c r="B17" s="35"/>
      <c r="C17" s="36" t="s">
        <v>40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 x14ac:dyDescent="0.35">
      <c r="C18" s="18" t="s">
        <v>38</v>
      </c>
    </row>
    <row r="19" spans="1:15" x14ac:dyDescent="0.35">
      <c r="C19" s="2" t="s">
        <v>39</v>
      </c>
    </row>
  </sheetData>
  <dataConsolidate topLabels="1" link="1">
    <dataRefs count="1">
      <dataRef ref="A1:B12" sheet="LULC 2000-2020"/>
    </dataRefs>
  </dataConsolidate>
  <mergeCells count="2">
    <mergeCell ref="A14:O14"/>
    <mergeCell ref="A15:O16"/>
  </mergeCells>
  <hyperlinks>
    <hyperlink ref="A14" r:id="rId1" xr:uid="{A77CD8F8-822C-4639-9295-24BDD5C88C04}"/>
  </hyperlinks>
  <pageMargins left="0.7" right="0.7" top="0.75" bottom="0.75" header="0.3" footer="0.3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46BDFD56-3932-4848-9E3C-BD07C21A22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0.1</xm:f>
              </x14:cfvo>
              <x14:cfIcon iconSet="3Arrows" iconId="0"/>
              <x14:cfIcon iconSet="3Symbols2" iconId="2"/>
              <x14:cfIcon iconSet="3Arrows" iconId="2"/>
            </x14:iconSet>
          </x14:cfRule>
          <xm:sqref>J2:J12</xm:sqref>
        </x14:conditionalFormatting>
        <x14:conditionalFormatting xmlns:xm="http://schemas.microsoft.com/office/excel/2006/main">
          <x14:cfRule type="iconSet" priority="1" id="{E8968068-D072-4FA2-8930-AEE9920B926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0.1</xm:f>
              </x14:cfvo>
              <x14:cfIcon iconSet="3Arrows" iconId="0"/>
              <x14:cfIcon iconSet="3Symbols2" iconId="2"/>
              <x14:cfIcon iconSet="3Arrows" iconId="2"/>
            </x14:iconSet>
          </x14:cfRule>
          <xm:sqref>N2:N12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D19-8391-408D-8272-A2107E1C9417}">
  <dimension ref="A1:P20"/>
  <sheetViews>
    <sheetView showGridLines="0" zoomScale="78" zoomScaleNormal="100" workbookViewId="0">
      <selection activeCell="J45" sqref="J45"/>
    </sheetView>
  </sheetViews>
  <sheetFormatPr defaultRowHeight="14.5" x14ac:dyDescent="0.35"/>
  <cols>
    <col min="1" max="1" width="10.54296875" bestFit="1" customWidth="1"/>
    <col min="2" max="12" width="7.6328125" bestFit="1" customWidth="1"/>
    <col min="15" max="15" width="27.36328125" bestFit="1" customWidth="1"/>
    <col min="16" max="16" width="10.36328125" bestFit="1" customWidth="1"/>
  </cols>
  <sheetData>
    <row r="1" spans="1:16" ht="15" thickBot="1" x14ac:dyDescent="0.4">
      <c r="A1" s="44" t="s">
        <v>73</v>
      </c>
      <c r="B1" s="42">
        <v>1</v>
      </c>
      <c r="C1" s="42">
        <v>2</v>
      </c>
      <c r="D1" s="42">
        <v>3</v>
      </c>
      <c r="E1" s="42">
        <v>4</v>
      </c>
      <c r="F1" s="42">
        <v>5</v>
      </c>
      <c r="G1" s="42">
        <v>6</v>
      </c>
      <c r="H1" s="42">
        <v>7</v>
      </c>
      <c r="I1" s="42">
        <v>8</v>
      </c>
      <c r="J1" s="42">
        <v>9</v>
      </c>
      <c r="K1" s="42">
        <v>10</v>
      </c>
      <c r="L1" s="43">
        <v>11</v>
      </c>
      <c r="M1" s="51" t="s">
        <v>34</v>
      </c>
      <c r="O1" s="82" t="s">
        <v>74</v>
      </c>
      <c r="P1" s="82"/>
    </row>
    <row r="2" spans="1:16" ht="15" thickTop="1" x14ac:dyDescent="0.35">
      <c r="A2" s="45">
        <v>1</v>
      </c>
      <c r="B2" s="38">
        <v>0.53439999999999999</v>
      </c>
      <c r="C2" s="38">
        <v>5.67E-2</v>
      </c>
      <c r="D2" s="38">
        <v>0</v>
      </c>
      <c r="E2" s="38">
        <v>0</v>
      </c>
      <c r="F2" s="38">
        <v>0</v>
      </c>
      <c r="G2" s="38">
        <v>0</v>
      </c>
      <c r="H2" s="38">
        <v>0</v>
      </c>
      <c r="I2" s="38">
        <v>0.29370000000000002</v>
      </c>
      <c r="J2" s="38">
        <v>2.98E-2</v>
      </c>
      <c r="K2" s="38">
        <v>8.5300000000000001E-2</v>
      </c>
      <c r="L2" s="39">
        <v>0</v>
      </c>
      <c r="M2" s="49">
        <f>SUM(B2:L2)</f>
        <v>0.99990000000000012</v>
      </c>
      <c r="N2" s="48"/>
      <c r="O2" s="15" t="s">
        <v>65</v>
      </c>
      <c r="P2" s="15" t="s">
        <v>70</v>
      </c>
    </row>
    <row r="3" spans="1:16" x14ac:dyDescent="0.35">
      <c r="A3" s="45">
        <v>2</v>
      </c>
      <c r="B3" s="38">
        <v>1E-4</v>
      </c>
      <c r="C3" s="38">
        <v>0.82930000000000004</v>
      </c>
      <c r="D3" s="38">
        <v>4.8899999999999999E-2</v>
      </c>
      <c r="E3" s="38">
        <v>0</v>
      </c>
      <c r="F3" s="38">
        <v>0</v>
      </c>
      <c r="G3" s="38">
        <v>0</v>
      </c>
      <c r="H3" s="38">
        <v>0</v>
      </c>
      <c r="I3" s="38">
        <v>1.6999999999999999E-3</v>
      </c>
      <c r="J3" s="38">
        <v>5.7500000000000002E-2</v>
      </c>
      <c r="K3" s="38">
        <v>6.2399999999999997E-2</v>
      </c>
      <c r="L3" s="39">
        <v>0</v>
      </c>
      <c r="M3" s="49">
        <f t="shared" ref="M3:M12" si="0">SUM(B3:L3)</f>
        <v>0.99990000000000012</v>
      </c>
      <c r="N3" s="48"/>
      <c r="O3" s="15" t="s">
        <v>66</v>
      </c>
      <c r="P3" s="15" t="s">
        <v>71</v>
      </c>
    </row>
    <row r="4" spans="1:16" x14ac:dyDescent="0.35">
      <c r="A4" s="45">
        <v>3</v>
      </c>
      <c r="B4" s="38">
        <v>1E-4</v>
      </c>
      <c r="C4" s="38">
        <v>0.12590000000000001</v>
      </c>
      <c r="D4" s="38">
        <v>0.8306</v>
      </c>
      <c r="E4" s="38">
        <v>0</v>
      </c>
      <c r="F4" s="38">
        <v>0</v>
      </c>
      <c r="G4" s="38">
        <v>0</v>
      </c>
      <c r="H4" s="38">
        <v>0</v>
      </c>
      <c r="I4" s="38">
        <v>4.0000000000000002E-4</v>
      </c>
      <c r="J4" s="38">
        <v>2.5999999999999999E-3</v>
      </c>
      <c r="K4" s="38">
        <v>4.0500000000000001E-2</v>
      </c>
      <c r="L4" s="39">
        <v>0</v>
      </c>
      <c r="M4" s="49">
        <f t="shared" si="0"/>
        <v>1.0001</v>
      </c>
      <c r="N4" s="48"/>
      <c r="O4" s="15" t="s">
        <v>67</v>
      </c>
      <c r="P4" s="15">
        <v>20</v>
      </c>
    </row>
    <row r="5" spans="1:16" x14ac:dyDescent="0.35">
      <c r="A5" s="45">
        <v>4</v>
      </c>
      <c r="B5" s="38">
        <v>0</v>
      </c>
      <c r="C5" s="38">
        <v>0</v>
      </c>
      <c r="D5" s="38">
        <v>0</v>
      </c>
      <c r="E5" s="38">
        <v>0.35730000000000001</v>
      </c>
      <c r="F5" s="38">
        <v>9.7699999999999995E-2</v>
      </c>
      <c r="G5" s="38">
        <v>0</v>
      </c>
      <c r="H5" s="38">
        <v>3.8800000000000001E-2</v>
      </c>
      <c r="I5" s="38">
        <v>0.50619999999999998</v>
      </c>
      <c r="J5" s="38">
        <v>0</v>
      </c>
      <c r="K5" s="38">
        <v>0</v>
      </c>
      <c r="L5" s="39">
        <v>0</v>
      </c>
      <c r="M5" s="49">
        <f t="shared" si="0"/>
        <v>1</v>
      </c>
      <c r="N5" s="48"/>
      <c r="O5" s="15" t="s">
        <v>68</v>
      </c>
      <c r="P5" s="15">
        <v>10</v>
      </c>
    </row>
    <row r="6" spans="1:16" x14ac:dyDescent="0.35">
      <c r="A6" s="45">
        <v>5</v>
      </c>
      <c r="B6" s="38">
        <v>0</v>
      </c>
      <c r="C6" s="38">
        <v>0</v>
      </c>
      <c r="D6" s="38">
        <v>0</v>
      </c>
      <c r="E6" s="38">
        <v>5.11E-2</v>
      </c>
      <c r="F6" s="38">
        <v>0.4335</v>
      </c>
      <c r="G6" s="38">
        <v>8.3299999999999999E-2</v>
      </c>
      <c r="H6" s="38">
        <v>0</v>
      </c>
      <c r="I6" s="38">
        <v>0.432</v>
      </c>
      <c r="J6" s="38">
        <v>0</v>
      </c>
      <c r="K6" s="38">
        <v>0</v>
      </c>
      <c r="L6" s="39">
        <v>0</v>
      </c>
      <c r="M6" s="49">
        <f t="shared" si="0"/>
        <v>0.99990000000000001</v>
      </c>
      <c r="N6" s="48"/>
      <c r="O6" s="15" t="s">
        <v>69</v>
      </c>
      <c r="P6" s="15">
        <v>0.15</v>
      </c>
    </row>
    <row r="7" spans="1:16" ht="15" thickBot="1" x14ac:dyDescent="0.4">
      <c r="A7" s="45">
        <v>6</v>
      </c>
      <c r="B7" s="38">
        <v>0</v>
      </c>
      <c r="C7" s="38">
        <v>0</v>
      </c>
      <c r="D7" s="38">
        <v>0</v>
      </c>
      <c r="E7" s="38">
        <v>5.9999999999999995E-4</v>
      </c>
      <c r="F7" s="38">
        <v>6.9999999999999999E-4</v>
      </c>
      <c r="G7" s="38">
        <v>0.75849999999999995</v>
      </c>
      <c r="H7" s="38">
        <v>1.72E-2</v>
      </c>
      <c r="I7" s="38">
        <v>1.0500000000000001E-2</v>
      </c>
      <c r="J7" s="38">
        <v>0.19939999999999999</v>
      </c>
      <c r="K7" s="38">
        <v>1.3100000000000001E-2</v>
      </c>
      <c r="L7" s="39">
        <v>0</v>
      </c>
      <c r="M7" s="49">
        <f t="shared" si="0"/>
        <v>0.99999999999999989</v>
      </c>
      <c r="N7" s="48"/>
      <c r="O7" s="47"/>
      <c r="P7" s="47"/>
    </row>
    <row r="8" spans="1:16" ht="15" thickTop="1" x14ac:dyDescent="0.35">
      <c r="A8" s="45">
        <v>7</v>
      </c>
      <c r="B8" s="38">
        <v>0</v>
      </c>
      <c r="C8" s="38">
        <v>0</v>
      </c>
      <c r="D8" s="38">
        <v>0</v>
      </c>
      <c r="E8" s="38">
        <v>0</v>
      </c>
      <c r="F8" s="38">
        <v>0</v>
      </c>
      <c r="G8" s="38">
        <v>0.11550000000000001</v>
      </c>
      <c r="H8" s="38">
        <v>0.8306</v>
      </c>
      <c r="I8" s="38">
        <v>2.8E-3</v>
      </c>
      <c r="J8" s="38">
        <v>1.84E-2</v>
      </c>
      <c r="K8" s="38">
        <v>3.2599999999999997E-2</v>
      </c>
      <c r="L8" s="39">
        <v>0</v>
      </c>
      <c r="M8" s="49">
        <f t="shared" si="0"/>
        <v>0.99990000000000001</v>
      </c>
      <c r="N8" s="48"/>
    </row>
    <row r="9" spans="1:16" x14ac:dyDescent="0.35">
      <c r="A9" s="45">
        <v>8</v>
      </c>
      <c r="B9" s="38">
        <v>1.6999999999999999E-3</v>
      </c>
      <c r="C9" s="38">
        <v>1.38E-2</v>
      </c>
      <c r="D9" s="38">
        <v>1.4E-3</v>
      </c>
      <c r="E9" s="38">
        <v>1.6999999999999999E-3</v>
      </c>
      <c r="F9" s="38">
        <v>5.1999999999999998E-3</v>
      </c>
      <c r="G9" s="38">
        <v>0.1145</v>
      </c>
      <c r="H9" s="38">
        <v>5.9499999999999997E-2</v>
      </c>
      <c r="I9" s="38">
        <v>0.79730000000000001</v>
      </c>
      <c r="J9" s="38">
        <v>0</v>
      </c>
      <c r="K9" s="38">
        <v>4.7999999999999996E-3</v>
      </c>
      <c r="L9" s="39">
        <v>0</v>
      </c>
      <c r="M9" s="49">
        <f t="shared" si="0"/>
        <v>0.99990000000000001</v>
      </c>
      <c r="N9" s="48"/>
      <c r="O9" s="52" t="s">
        <v>72</v>
      </c>
      <c r="P9" s="52" t="s">
        <v>17</v>
      </c>
    </row>
    <row r="10" spans="1:16" x14ac:dyDescent="0.35">
      <c r="A10" s="45">
        <v>9</v>
      </c>
      <c r="B10" s="38">
        <v>0</v>
      </c>
      <c r="C10" s="38">
        <v>0.11609999999999999</v>
      </c>
      <c r="D10" s="38">
        <v>8.0999999999999996E-3</v>
      </c>
      <c r="E10" s="38">
        <v>1E-4</v>
      </c>
      <c r="F10" s="38">
        <v>0</v>
      </c>
      <c r="G10" s="38">
        <v>0.1048</v>
      </c>
      <c r="H10" s="38">
        <v>3.0000000000000001E-3</v>
      </c>
      <c r="I10" s="38">
        <v>1.6000000000000001E-3</v>
      </c>
      <c r="J10" s="38">
        <v>0.74299999999999999</v>
      </c>
      <c r="K10" s="38">
        <v>2.3300000000000001E-2</v>
      </c>
      <c r="L10" s="39">
        <v>0</v>
      </c>
      <c r="M10" s="49">
        <f t="shared" si="0"/>
        <v>1</v>
      </c>
      <c r="N10" s="48"/>
      <c r="O10" s="15" t="s">
        <v>5</v>
      </c>
      <c r="P10" s="15">
        <v>1</v>
      </c>
    </row>
    <row r="11" spans="1:16" x14ac:dyDescent="0.35">
      <c r="A11" s="45">
        <v>10</v>
      </c>
      <c r="B11" s="38">
        <v>9.0899999999999995E-2</v>
      </c>
      <c r="C11" s="38">
        <v>9.0899999999999995E-2</v>
      </c>
      <c r="D11" s="38">
        <v>9.0899999999999995E-2</v>
      </c>
      <c r="E11" s="38">
        <v>9.0899999999999995E-2</v>
      </c>
      <c r="F11" s="38">
        <v>9.0899999999999995E-2</v>
      </c>
      <c r="G11" s="38">
        <v>9.0899999999999995E-2</v>
      </c>
      <c r="H11" s="38">
        <v>9.0899999999999995E-2</v>
      </c>
      <c r="I11" s="38">
        <v>9.0899999999999995E-2</v>
      </c>
      <c r="J11" s="38">
        <v>9.0899999999999995E-2</v>
      </c>
      <c r="K11" s="38">
        <v>9.0899999999999995E-2</v>
      </c>
      <c r="L11" s="39">
        <v>9.0899999999999995E-2</v>
      </c>
      <c r="M11" s="49">
        <f t="shared" si="0"/>
        <v>0.9998999999999999</v>
      </c>
      <c r="N11" s="48"/>
      <c r="O11" s="15" t="s">
        <v>6</v>
      </c>
      <c r="P11" s="15">
        <v>2</v>
      </c>
    </row>
    <row r="12" spans="1:16" ht="15" thickBot="1" x14ac:dyDescent="0.4">
      <c r="A12" s="46">
        <v>11</v>
      </c>
      <c r="B12" s="40">
        <v>9.0899999999999995E-2</v>
      </c>
      <c r="C12" s="40">
        <v>9.0899999999999995E-2</v>
      </c>
      <c r="D12" s="40">
        <v>9.0899999999999995E-2</v>
      </c>
      <c r="E12" s="40">
        <v>9.0899999999999995E-2</v>
      </c>
      <c r="F12" s="40">
        <v>9.0899999999999995E-2</v>
      </c>
      <c r="G12" s="40">
        <v>9.0899999999999995E-2</v>
      </c>
      <c r="H12" s="40">
        <v>9.0899999999999995E-2</v>
      </c>
      <c r="I12" s="40">
        <v>9.0899999999999995E-2</v>
      </c>
      <c r="J12" s="40">
        <v>9.0899999999999995E-2</v>
      </c>
      <c r="K12" s="40">
        <v>9.0899999999999995E-2</v>
      </c>
      <c r="L12" s="41">
        <v>9.0899999999999995E-2</v>
      </c>
      <c r="M12" s="50">
        <f t="shared" si="0"/>
        <v>0.9998999999999999</v>
      </c>
      <c r="N12" s="48"/>
      <c r="O12" s="15" t="s">
        <v>7</v>
      </c>
      <c r="P12" s="15">
        <v>3</v>
      </c>
    </row>
    <row r="13" spans="1:16" ht="15" thickTop="1" x14ac:dyDescent="0.35">
      <c r="O13" s="15" t="s">
        <v>8</v>
      </c>
      <c r="P13" s="15">
        <v>4</v>
      </c>
    </row>
    <row r="14" spans="1:16" x14ac:dyDescent="0.35">
      <c r="O14" s="15" t="s">
        <v>9</v>
      </c>
      <c r="P14" s="15">
        <v>5</v>
      </c>
    </row>
    <row r="15" spans="1:16" x14ac:dyDescent="0.35">
      <c r="O15" s="15" t="s">
        <v>10</v>
      </c>
      <c r="P15" s="15">
        <v>6</v>
      </c>
    </row>
    <row r="16" spans="1:16" x14ac:dyDescent="0.35">
      <c r="O16" s="15" t="s">
        <v>11</v>
      </c>
      <c r="P16" s="15">
        <v>7</v>
      </c>
    </row>
    <row r="17" spans="15:16" x14ac:dyDescent="0.35">
      <c r="O17" s="15" t="s">
        <v>12</v>
      </c>
      <c r="P17" s="15">
        <v>8</v>
      </c>
    </row>
    <row r="18" spans="15:16" x14ac:dyDescent="0.35">
      <c r="O18" s="15" t="s">
        <v>13</v>
      </c>
      <c r="P18" s="15">
        <v>9</v>
      </c>
    </row>
    <row r="19" spans="15:16" x14ac:dyDescent="0.35">
      <c r="O19" s="15" t="s">
        <v>14</v>
      </c>
      <c r="P19" s="15">
        <v>10</v>
      </c>
    </row>
    <row r="20" spans="15:16" x14ac:dyDescent="0.35">
      <c r="O20" s="15" t="s">
        <v>15</v>
      </c>
      <c r="P20" s="15">
        <v>11</v>
      </c>
    </row>
  </sheetData>
  <mergeCells count="1">
    <mergeCell ref="O1:P1"/>
  </mergeCells>
  <conditionalFormatting sqref="B2:L12">
    <cfRule type="cellIs" dxfId="0" priority="1" operator="greaterThan">
      <formula>0.1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72AA-59BD-4413-AECB-454E6930BCC1}">
  <dimension ref="A1:N78"/>
  <sheetViews>
    <sheetView showGridLines="0" tabSelected="1" zoomScale="29" zoomScaleNormal="100" workbookViewId="0">
      <selection activeCell="A22" sqref="A22"/>
    </sheetView>
  </sheetViews>
  <sheetFormatPr defaultRowHeight="14.5" x14ac:dyDescent="0.35"/>
  <cols>
    <col min="1" max="1" width="19.90625" style="6" bestFit="1" customWidth="1"/>
    <col min="2" max="3" width="17.6328125" style="6" bestFit="1" customWidth="1"/>
    <col min="4" max="4" width="19.54296875" style="6" customWidth="1"/>
    <col min="5" max="5" width="18.453125" style="6" bestFit="1" customWidth="1"/>
    <col min="6" max="6" width="19.26953125" style="6" customWidth="1"/>
    <col min="7" max="7" width="18.81640625" bestFit="1" customWidth="1"/>
    <col min="8" max="8" width="25.7265625" bestFit="1" customWidth="1"/>
    <col min="9" max="9" width="25.1796875" bestFit="1" customWidth="1"/>
    <col min="10" max="10" width="17.7265625" customWidth="1"/>
  </cols>
  <sheetData>
    <row r="1" spans="1:14" ht="29" x14ac:dyDescent="0.35">
      <c r="A1" s="6" t="s">
        <v>41</v>
      </c>
      <c r="B1" s="6" t="s">
        <v>46</v>
      </c>
      <c r="C1" s="6" t="s">
        <v>47</v>
      </c>
      <c r="D1" s="6" t="s">
        <v>48</v>
      </c>
      <c r="E1" s="3" t="s">
        <v>49</v>
      </c>
      <c r="F1" s="10" t="s">
        <v>37</v>
      </c>
      <c r="G1" s="3" t="s">
        <v>50</v>
      </c>
      <c r="H1" s="6" t="s">
        <v>51</v>
      </c>
      <c r="I1" s="3" t="s">
        <v>52</v>
      </c>
      <c r="J1" s="6" t="s">
        <v>53</v>
      </c>
    </row>
    <row r="2" spans="1:14" x14ac:dyDescent="0.35">
      <c r="A2" s="6" t="s">
        <v>42</v>
      </c>
      <c r="B2" s="4">
        <v>64.513300000000001</v>
      </c>
      <c r="C2" s="4">
        <v>65.281400000000005</v>
      </c>
      <c r="D2" s="4">
        <v>64.854699999999994</v>
      </c>
      <c r="E2" s="11">
        <f>D2-B2</f>
        <v>0.34139999999999304</v>
      </c>
      <c r="F2" s="13">
        <f>Table245[[#This Row],[Net change
2020-1996]]/Table245[[#This Row],[1996]]</f>
        <v>5.2919320512203379E-3</v>
      </c>
      <c r="G2" s="11">
        <f>Table245[[#This Row],[2020]]-Table245[[#This Row],[2010]]</f>
        <v>-0.42670000000001096</v>
      </c>
      <c r="H2" s="8">
        <f>G2/C2</f>
        <v>-6.5363181549416977E-3</v>
      </c>
      <c r="I2" s="11">
        <f>Table245[[#This Row],[2010]]-Table245[[#This Row],[1996]]</f>
        <v>0.768100000000004</v>
      </c>
      <c r="J2" s="8">
        <f>Table245[[#This Row],[Net change
2010-1996]]/Table245[[#This Row],[1996]]</f>
        <v>1.1906072081260825E-2</v>
      </c>
    </row>
    <row r="3" spans="1:14" x14ac:dyDescent="0.35">
      <c r="A3" s="6" t="s">
        <v>45</v>
      </c>
      <c r="B3" s="4">
        <f>B2*1000000</f>
        <v>64513300</v>
      </c>
      <c r="C3" s="4">
        <f>C2*1000000</f>
        <v>65281400.000000007</v>
      </c>
      <c r="D3" s="4">
        <f>D2*1000000</f>
        <v>64854699.999999993</v>
      </c>
      <c r="E3" s="11">
        <f>D3-B3</f>
        <v>341399.99999999255</v>
      </c>
      <c r="F3" s="13">
        <f>Table245[[#This Row],[Net change
2020-1996]]/Table245[[#This Row],[1996]]</f>
        <v>5.2919320512203301E-3</v>
      </c>
      <c r="G3" s="11">
        <f>Table245[[#This Row],[2020]]-Table245[[#This Row],[2010]]</f>
        <v>-426700.0000000149</v>
      </c>
      <c r="H3" s="8">
        <f>G3/C3</f>
        <v>-6.5363181549417575E-3</v>
      </c>
      <c r="I3" s="11">
        <f>Table245[[#This Row],[2010]]-Table245[[#This Row],[1996]]</f>
        <v>768100.00000000745</v>
      </c>
      <c r="J3" s="8">
        <f>Table245[[#This Row],[Net change
2010-1996]]/Table245[[#This Row],[1996]]</f>
        <v>1.1906072081260878E-2</v>
      </c>
    </row>
    <row r="4" spans="1:14" x14ac:dyDescent="0.35">
      <c r="A4" s="6" t="s">
        <v>44</v>
      </c>
      <c r="B4" s="5">
        <f>B2*100</f>
        <v>6451.33</v>
      </c>
      <c r="C4" s="5">
        <f>C2*100</f>
        <v>6528.14</v>
      </c>
      <c r="D4" s="5">
        <f>D2*100</f>
        <v>6485.4699999999993</v>
      </c>
      <c r="E4" s="11">
        <f>D4-B4</f>
        <v>34.139999999999418</v>
      </c>
      <c r="F4" s="13">
        <f>Table245[[#This Row],[Net change
2020-1996]]/Table245[[#This Row],[1996]]</f>
        <v>5.2919320512203561E-3</v>
      </c>
      <c r="G4" s="11">
        <f>Table245[[#This Row],[2020]]-Table245[[#This Row],[2010]]</f>
        <v>-42.670000000000982</v>
      </c>
      <c r="H4" s="8">
        <f>G4/C4</f>
        <v>-6.5363181549416803E-3</v>
      </c>
      <c r="I4" s="11">
        <f>Table245[[#This Row],[2010]]-Table245[[#This Row],[1996]]</f>
        <v>76.8100000000004</v>
      </c>
      <c r="J4" s="8">
        <f>Table245[[#This Row],[Net change
2010-1996]]/Table245[[#This Row],[1996]]</f>
        <v>1.1906072081260825E-2</v>
      </c>
    </row>
    <row r="5" spans="1:14" x14ac:dyDescent="0.35">
      <c r="A5" s="6" t="s">
        <v>43</v>
      </c>
      <c r="B5" s="12">
        <v>197</v>
      </c>
      <c r="C5" s="12">
        <v>149</v>
      </c>
      <c r="D5" s="12">
        <v>171</v>
      </c>
      <c r="E5" s="12">
        <f>D5-B5</f>
        <v>-26</v>
      </c>
      <c r="F5" s="7"/>
      <c r="G5" s="5"/>
      <c r="H5" s="5"/>
      <c r="I5" s="5"/>
      <c r="J5" s="5"/>
    </row>
    <row r="10" spans="1:14" x14ac:dyDescent="0.35">
      <c r="A10" s="85" t="s">
        <v>129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x14ac:dyDescent="0.3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</row>
    <row r="13" spans="1:14" ht="29" x14ac:dyDescent="0.35">
      <c r="A13" s="6" t="s">
        <v>54</v>
      </c>
      <c r="B13" s="6" t="s">
        <v>75</v>
      </c>
      <c r="C13" s="6" t="s">
        <v>37</v>
      </c>
      <c r="D13" s="53" t="s">
        <v>77</v>
      </c>
      <c r="E13" s="53" t="s">
        <v>76</v>
      </c>
      <c r="F13" s="53" t="s">
        <v>125</v>
      </c>
    </row>
    <row r="14" spans="1:14" x14ac:dyDescent="0.35">
      <c r="A14" s="6" t="s">
        <v>55</v>
      </c>
      <c r="B14" s="9">
        <f>E4</f>
        <v>34.139999999999418</v>
      </c>
      <c r="C14" s="14">
        <f>F2</f>
        <v>5.2919320512203379E-3</v>
      </c>
      <c r="D14" s="54">
        <f>(((D4/B4)^0.04167)-1)*100</f>
        <v>2.1995757133930205E-2</v>
      </c>
      <c r="E14" s="9">
        <f>D14*B4/100</f>
        <v>1.4190188787083795</v>
      </c>
      <c r="F14" s="6">
        <f>D14/100</f>
        <v>2.1995757133930205E-4</v>
      </c>
    </row>
    <row r="15" spans="1:14" x14ac:dyDescent="0.35">
      <c r="A15" s="6" t="s">
        <v>56</v>
      </c>
      <c r="B15" s="9">
        <f>G4</f>
        <v>-42.670000000000982</v>
      </c>
      <c r="C15" s="14">
        <f>H2</f>
        <v>-6.5363181549416977E-3</v>
      </c>
      <c r="D15" s="54">
        <f>(((D4/C4)^0.1)-1)*100</f>
        <v>-6.555623676203215E-2</v>
      </c>
      <c r="E15" s="9">
        <f>D15*C4/100</f>
        <v>-4.2796029145569259</v>
      </c>
      <c r="F15" s="6">
        <f t="shared" ref="F15:F16" si="0">D15/100</f>
        <v>-6.555623676203215E-4</v>
      </c>
    </row>
    <row r="16" spans="1:14" x14ac:dyDescent="0.35">
      <c r="A16" s="6" t="s">
        <v>57</v>
      </c>
      <c r="B16" s="9">
        <f>I4</f>
        <v>76.8100000000004</v>
      </c>
      <c r="C16" s="14">
        <f>J2</f>
        <v>1.1906072081260825E-2</v>
      </c>
      <c r="D16" s="54">
        <f>(((C4/B4)^0.071428571)-1)*100</f>
        <v>8.4576834177774174E-2</v>
      </c>
      <c r="E16" s="9">
        <f>D16*B4/100</f>
        <v>5.4563306763609987</v>
      </c>
      <c r="F16" s="6">
        <f t="shared" si="0"/>
        <v>8.4576834177774174E-4</v>
      </c>
    </row>
    <row r="17" spans="1:12" x14ac:dyDescent="0.35">
      <c r="B17" s="9"/>
      <c r="C17" s="14"/>
      <c r="D17" s="54"/>
      <c r="E17" s="9"/>
    </row>
    <row r="18" spans="1:12" x14ac:dyDescent="0.35">
      <c r="A18" s="85" t="s">
        <v>130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</row>
    <row r="19" spans="1:12" x14ac:dyDescent="0.35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</row>
    <row r="21" spans="1:12" x14ac:dyDescent="0.35">
      <c r="A21" s="6" t="s">
        <v>120</v>
      </c>
      <c r="B21" s="84" t="s">
        <v>119</v>
      </c>
      <c r="C21" s="84"/>
      <c r="D21" s="84"/>
      <c r="E21" s="6" t="s">
        <v>128</v>
      </c>
      <c r="F21" s="6" t="s">
        <v>124</v>
      </c>
      <c r="G21" s="6" t="s">
        <v>127</v>
      </c>
      <c r="H21" s="6" t="s">
        <v>126</v>
      </c>
    </row>
    <row r="22" spans="1:12" x14ac:dyDescent="0.35">
      <c r="A22" s="73" t="s">
        <v>133</v>
      </c>
      <c r="B22" s="83" t="s">
        <v>122</v>
      </c>
      <c r="C22" s="83"/>
      <c r="D22" s="83"/>
      <c r="E22" s="9">
        <f>D4*(1+F14)^10</f>
        <v>6499.7494104930283</v>
      </c>
      <c r="F22" s="9">
        <f>E22-$D$4</f>
        <v>14.27941049302899</v>
      </c>
      <c r="G22" s="79">
        <f>F22/$D$4</f>
        <v>2.2017541508987E-3</v>
      </c>
      <c r="H22" s="9">
        <f>F22/10</f>
        <v>1.427941049302899</v>
      </c>
    </row>
    <row r="23" spans="1:12" x14ac:dyDescent="0.35">
      <c r="A23" s="72" t="s">
        <v>132</v>
      </c>
      <c r="B23" s="83" t="s">
        <v>123</v>
      </c>
      <c r="C23" s="83"/>
      <c r="D23" s="83"/>
      <c r="E23" s="9">
        <f>C4*(1+F16)^10</f>
        <v>6583.5635541815036</v>
      </c>
      <c r="F23" s="9">
        <f t="shared" ref="F23:F24" si="1">E23-$D$4</f>
        <v>98.09355418150426</v>
      </c>
      <c r="G23" s="79">
        <f t="shared" ref="G23:G24" si="2">F23/$D$4</f>
        <v>1.5125126503014319E-2</v>
      </c>
      <c r="H23" s="9">
        <f t="shared" ref="H23:H24" si="3">F23/10</f>
        <v>9.8093554181504263</v>
      </c>
    </row>
    <row r="24" spans="1:12" x14ac:dyDescent="0.35">
      <c r="A24" s="74" t="s">
        <v>131</v>
      </c>
      <c r="B24" s="71" t="s">
        <v>121</v>
      </c>
      <c r="C24" s="70"/>
      <c r="E24" s="9">
        <f>D4*(1+F15)^10</f>
        <v>6443.0789046956716</v>
      </c>
      <c r="F24" s="9">
        <f t="shared" si="1"/>
        <v>-42.391095304327791</v>
      </c>
      <c r="G24" s="79">
        <f t="shared" si="2"/>
        <v>-6.5363181549413993E-3</v>
      </c>
      <c r="H24" s="9">
        <f t="shared" si="3"/>
        <v>-4.2391095304327795</v>
      </c>
    </row>
    <row r="27" spans="1:12" x14ac:dyDescent="0.35">
      <c r="A27" s="73" t="s">
        <v>100</v>
      </c>
      <c r="B27" s="73" t="s">
        <v>44</v>
      </c>
    </row>
    <row r="28" spans="1:12" x14ac:dyDescent="0.35">
      <c r="A28" s="73">
        <v>0</v>
      </c>
      <c r="B28" s="75">
        <f>D4</f>
        <v>6485.4699999999993</v>
      </c>
    </row>
    <row r="29" spans="1:12" x14ac:dyDescent="0.35">
      <c r="A29" s="73">
        <v>1</v>
      </c>
      <c r="B29" s="75">
        <f>B28+$H$22</f>
        <v>6486.8979410493021</v>
      </c>
    </row>
    <row r="30" spans="1:12" x14ac:dyDescent="0.35">
      <c r="A30" s="73">
        <v>2</v>
      </c>
      <c r="B30" s="75">
        <f>B29+$H$22</f>
        <v>6488.3258820986048</v>
      </c>
    </row>
    <row r="31" spans="1:12" x14ac:dyDescent="0.35">
      <c r="A31" s="73">
        <v>3</v>
      </c>
      <c r="B31" s="75">
        <f t="shared" ref="B31:B38" si="4">B30+$H$22</f>
        <v>6489.7538231479075</v>
      </c>
    </row>
    <row r="32" spans="1:12" x14ac:dyDescent="0.35">
      <c r="A32" s="73">
        <v>4</v>
      </c>
      <c r="B32" s="75">
        <f t="shared" si="4"/>
        <v>6491.1817641972102</v>
      </c>
    </row>
    <row r="33" spans="1:2" x14ac:dyDescent="0.35">
      <c r="A33" s="73">
        <v>5</v>
      </c>
      <c r="B33" s="75">
        <f t="shared" si="4"/>
        <v>6492.6097052465129</v>
      </c>
    </row>
    <row r="34" spans="1:2" x14ac:dyDescent="0.35">
      <c r="A34" s="73">
        <v>6</v>
      </c>
      <c r="B34" s="75">
        <f t="shared" si="4"/>
        <v>6494.0376462958156</v>
      </c>
    </row>
    <row r="35" spans="1:2" x14ac:dyDescent="0.35">
      <c r="A35" s="73">
        <v>7</v>
      </c>
      <c r="B35" s="75">
        <f t="shared" si="4"/>
        <v>6495.4655873451184</v>
      </c>
    </row>
    <row r="36" spans="1:2" x14ac:dyDescent="0.35">
      <c r="A36" s="73">
        <v>8</v>
      </c>
      <c r="B36" s="75">
        <f t="shared" si="4"/>
        <v>6496.8935283944211</v>
      </c>
    </row>
    <row r="37" spans="1:2" x14ac:dyDescent="0.35">
      <c r="A37" s="73">
        <v>9</v>
      </c>
      <c r="B37" s="75">
        <f t="shared" si="4"/>
        <v>6498.3214694437238</v>
      </c>
    </row>
    <row r="38" spans="1:2" x14ac:dyDescent="0.35">
      <c r="A38" s="73">
        <v>10</v>
      </c>
      <c r="B38" s="75">
        <f t="shared" si="4"/>
        <v>6499.7494104930265</v>
      </c>
    </row>
    <row r="40" spans="1:2" x14ac:dyDescent="0.35">
      <c r="A40" s="76" t="s">
        <v>100</v>
      </c>
      <c r="B40" s="76" t="s">
        <v>44</v>
      </c>
    </row>
    <row r="41" spans="1:2" x14ac:dyDescent="0.35">
      <c r="A41" s="76">
        <v>0</v>
      </c>
      <c r="B41" s="77">
        <f>D4</f>
        <v>6485.4699999999993</v>
      </c>
    </row>
    <row r="42" spans="1:2" x14ac:dyDescent="0.35">
      <c r="A42" s="76">
        <v>1</v>
      </c>
      <c r="B42" s="77">
        <f>B41+$H$23</f>
        <v>6495.2793554181499</v>
      </c>
    </row>
    <row r="43" spans="1:2" x14ac:dyDescent="0.35">
      <c r="A43" s="76">
        <v>2</v>
      </c>
      <c r="B43" s="77">
        <f t="shared" ref="B43:B51" si="5">B42+$H$23</f>
        <v>6505.0887108363004</v>
      </c>
    </row>
    <row r="44" spans="1:2" x14ac:dyDescent="0.35">
      <c r="A44" s="76">
        <v>3</v>
      </c>
      <c r="B44" s="77">
        <f t="shared" si="5"/>
        <v>6514.8980662544509</v>
      </c>
    </row>
    <row r="45" spans="1:2" x14ac:dyDescent="0.35">
      <c r="A45" s="76">
        <v>4</v>
      </c>
      <c r="B45" s="77">
        <f t="shared" si="5"/>
        <v>6524.7074216726014</v>
      </c>
    </row>
    <row r="46" spans="1:2" x14ac:dyDescent="0.35">
      <c r="A46" s="76">
        <v>5</v>
      </c>
      <c r="B46" s="77">
        <f t="shared" si="5"/>
        <v>6534.5167770907519</v>
      </c>
    </row>
    <row r="47" spans="1:2" x14ac:dyDescent="0.35">
      <c r="A47" s="76">
        <v>6</v>
      </c>
      <c r="B47" s="77">
        <f t="shared" si="5"/>
        <v>6544.3261325089024</v>
      </c>
    </row>
    <row r="48" spans="1:2" x14ac:dyDescent="0.35">
      <c r="A48" s="76">
        <v>7</v>
      </c>
      <c r="B48" s="77">
        <f t="shared" si="5"/>
        <v>6554.135487927053</v>
      </c>
    </row>
    <row r="49" spans="1:2" x14ac:dyDescent="0.35">
      <c r="A49" s="76">
        <v>8</v>
      </c>
      <c r="B49" s="77">
        <f t="shared" si="5"/>
        <v>6563.9448433452035</v>
      </c>
    </row>
    <row r="50" spans="1:2" x14ac:dyDescent="0.35">
      <c r="A50" s="76">
        <v>9</v>
      </c>
      <c r="B50" s="77">
        <f t="shared" si="5"/>
        <v>6573.754198763354</v>
      </c>
    </row>
    <row r="51" spans="1:2" x14ac:dyDescent="0.35">
      <c r="A51" s="76">
        <v>10</v>
      </c>
      <c r="B51" s="77">
        <f t="shared" si="5"/>
        <v>6583.5635541815045</v>
      </c>
    </row>
    <row r="53" spans="1:2" x14ac:dyDescent="0.35">
      <c r="A53" s="74" t="s">
        <v>100</v>
      </c>
      <c r="B53" s="74" t="s">
        <v>44</v>
      </c>
    </row>
    <row r="54" spans="1:2" x14ac:dyDescent="0.35">
      <c r="A54" s="74">
        <v>0</v>
      </c>
      <c r="B54" s="78">
        <f>D4</f>
        <v>6485.4699999999993</v>
      </c>
    </row>
    <row r="55" spans="1:2" x14ac:dyDescent="0.35">
      <c r="A55" s="74">
        <v>1</v>
      </c>
      <c r="B55" s="78">
        <f>B54+$H$24</f>
        <v>6481.2308904695665</v>
      </c>
    </row>
    <row r="56" spans="1:2" x14ac:dyDescent="0.35">
      <c r="A56" s="74">
        <v>2</v>
      </c>
      <c r="B56" s="78">
        <f t="shared" ref="B56:B64" si="6">B55+$H$24</f>
        <v>6476.9917809391336</v>
      </c>
    </row>
    <row r="57" spans="1:2" x14ac:dyDescent="0.35">
      <c r="A57" s="74">
        <v>3</v>
      </c>
      <c r="B57" s="78">
        <f t="shared" si="6"/>
        <v>6472.7526714087007</v>
      </c>
    </row>
    <row r="58" spans="1:2" x14ac:dyDescent="0.35">
      <c r="A58" s="74">
        <v>4</v>
      </c>
      <c r="B58" s="78">
        <f t="shared" si="6"/>
        <v>6468.5135618782679</v>
      </c>
    </row>
    <row r="59" spans="1:2" x14ac:dyDescent="0.35">
      <c r="A59" s="74">
        <v>5</v>
      </c>
      <c r="B59" s="78">
        <f t="shared" si="6"/>
        <v>6464.274452347835</v>
      </c>
    </row>
    <row r="60" spans="1:2" x14ac:dyDescent="0.35">
      <c r="A60" s="74">
        <v>6</v>
      </c>
      <c r="B60" s="78">
        <f>B59+$H$24</f>
        <v>6460.0353428174021</v>
      </c>
    </row>
    <row r="61" spans="1:2" x14ac:dyDescent="0.35">
      <c r="A61" s="74">
        <v>7</v>
      </c>
      <c r="B61" s="78">
        <f t="shared" si="6"/>
        <v>6455.7962332869693</v>
      </c>
    </row>
    <row r="62" spans="1:2" x14ac:dyDescent="0.35">
      <c r="A62" s="74">
        <v>8</v>
      </c>
      <c r="B62" s="78">
        <f t="shared" si="6"/>
        <v>6451.5571237565364</v>
      </c>
    </row>
    <row r="63" spans="1:2" x14ac:dyDescent="0.35">
      <c r="A63" s="74">
        <v>9</v>
      </c>
      <c r="B63" s="78">
        <f t="shared" si="6"/>
        <v>6447.3180142261035</v>
      </c>
    </row>
    <row r="64" spans="1:2" x14ac:dyDescent="0.35">
      <c r="A64" s="74">
        <v>10</v>
      </c>
      <c r="B64" s="78">
        <f t="shared" si="6"/>
        <v>6443.0789046956706</v>
      </c>
    </row>
    <row r="67" spans="1:4" x14ac:dyDescent="0.35">
      <c r="A67" s="6" t="s">
        <v>100</v>
      </c>
      <c r="B67" s="6" t="str">
        <f>A22</f>
        <v>Average Gain</v>
      </c>
      <c r="C67" s="6" t="str">
        <f>A23</f>
        <v>Strong Gain</v>
      </c>
      <c r="D67" s="6" t="str">
        <f>A24</f>
        <v>Continuous Loss</v>
      </c>
    </row>
    <row r="68" spans="1:4" x14ac:dyDescent="0.35">
      <c r="A68" s="6">
        <v>0</v>
      </c>
      <c r="B68" s="6">
        <v>6485.4699999999993</v>
      </c>
      <c r="C68" s="6">
        <v>6485.4699999999993</v>
      </c>
      <c r="D68" s="6">
        <v>6485.4699999999993</v>
      </c>
    </row>
    <row r="69" spans="1:4" x14ac:dyDescent="0.35">
      <c r="A69" s="6">
        <v>1</v>
      </c>
      <c r="B69" s="6">
        <v>6486.8979410493021</v>
      </c>
      <c r="C69" s="6">
        <v>6495.2793554181499</v>
      </c>
      <c r="D69" s="6">
        <v>6481.2308904695665</v>
      </c>
    </row>
    <row r="70" spans="1:4" x14ac:dyDescent="0.35">
      <c r="A70" s="6">
        <v>2</v>
      </c>
      <c r="B70" s="6">
        <v>6488.3258820986048</v>
      </c>
      <c r="C70" s="6">
        <v>6505.0887108363004</v>
      </c>
      <c r="D70" s="6">
        <v>6476.9917809391336</v>
      </c>
    </row>
    <row r="71" spans="1:4" x14ac:dyDescent="0.35">
      <c r="A71" s="6">
        <v>3</v>
      </c>
      <c r="B71" s="6">
        <v>6489.7538231479075</v>
      </c>
      <c r="C71" s="6">
        <v>6514.8980662544509</v>
      </c>
      <c r="D71" s="6">
        <v>6472.7526714087007</v>
      </c>
    </row>
    <row r="72" spans="1:4" x14ac:dyDescent="0.35">
      <c r="A72" s="6">
        <v>4</v>
      </c>
      <c r="B72" s="6">
        <v>6491.1817641972102</v>
      </c>
      <c r="C72" s="6">
        <v>6524.7074216726014</v>
      </c>
      <c r="D72" s="6">
        <v>6468.5135618782679</v>
      </c>
    </row>
    <row r="73" spans="1:4" x14ac:dyDescent="0.35">
      <c r="A73" s="6">
        <v>5</v>
      </c>
      <c r="B73" s="6">
        <v>6492.6097052465129</v>
      </c>
      <c r="C73" s="6">
        <v>6534.5167770907519</v>
      </c>
      <c r="D73" s="6">
        <v>6464.274452347835</v>
      </c>
    </row>
    <row r="74" spans="1:4" x14ac:dyDescent="0.35">
      <c r="A74" s="6">
        <v>6</v>
      </c>
      <c r="B74" s="6">
        <v>6494.0376462958156</v>
      </c>
      <c r="C74" s="6">
        <v>6544.3261325089024</v>
      </c>
      <c r="D74" s="6">
        <v>6460.0353428174021</v>
      </c>
    </row>
    <row r="75" spans="1:4" x14ac:dyDescent="0.35">
      <c r="A75" s="6">
        <v>7</v>
      </c>
      <c r="B75" s="6">
        <v>6495.4655873451184</v>
      </c>
      <c r="C75" s="6">
        <v>6554.135487927053</v>
      </c>
      <c r="D75" s="6">
        <v>6455.7962332869693</v>
      </c>
    </row>
    <row r="76" spans="1:4" x14ac:dyDescent="0.35">
      <c r="A76" s="6">
        <v>8</v>
      </c>
      <c r="B76" s="6">
        <v>6496.8935283944211</v>
      </c>
      <c r="C76" s="6">
        <v>6563.9448433452035</v>
      </c>
      <c r="D76" s="6">
        <v>6451.5571237565364</v>
      </c>
    </row>
    <row r="77" spans="1:4" x14ac:dyDescent="0.35">
      <c r="A77" s="6">
        <v>9</v>
      </c>
      <c r="B77" s="6">
        <v>6498.3214694437238</v>
      </c>
      <c r="C77" s="6">
        <v>6573.754198763354</v>
      </c>
      <c r="D77" s="6">
        <v>6447.3180142261035</v>
      </c>
    </row>
    <row r="78" spans="1:4" x14ac:dyDescent="0.35">
      <c r="A78" s="6">
        <v>10</v>
      </c>
      <c r="B78" s="6">
        <v>6499.7494104930265</v>
      </c>
      <c r="C78" s="6">
        <v>6583.5635541815045</v>
      </c>
      <c r="D78" s="6">
        <v>6443.0789046956706</v>
      </c>
    </row>
  </sheetData>
  <dataConsolidate link="1"/>
  <mergeCells count="5">
    <mergeCell ref="B22:D22"/>
    <mergeCell ref="B21:D21"/>
    <mergeCell ref="A10:N11"/>
    <mergeCell ref="A18:L19"/>
    <mergeCell ref="B23:D23"/>
  </mergeCells>
  <conditionalFormatting sqref="E2:E4">
    <cfRule type="iconSet" priority="1">
      <iconSet iconSet="3Arrows">
        <cfvo type="percent" val="0"/>
        <cfvo type="num" val="0"/>
        <cfvo type="num" val="0"/>
      </iconSet>
    </cfRule>
  </conditionalFormatting>
  <conditionalFormatting sqref="G2:G4">
    <cfRule type="iconSet" priority="2">
      <iconSet iconSet="3Arrows">
        <cfvo type="percent" val="0"/>
        <cfvo type="num" val="0"/>
        <cfvo type="num" val="0"/>
      </iconSet>
    </cfRule>
  </conditionalFormatting>
  <conditionalFormatting sqref="I2:I4">
    <cfRule type="iconSet" priority="3">
      <iconSet iconSet="3Arrows">
        <cfvo type="percent" val="0"/>
        <cfvo type="num" val="0"/>
        <cfvo type="num" val="0"/>
      </iconSet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8B1AC-9502-4C21-A3FE-503286A99FBA}">
  <dimension ref="A1:K74"/>
  <sheetViews>
    <sheetView showGridLines="0" topLeftCell="C1" zoomScaleNormal="100" workbookViewId="0">
      <selection activeCell="B21" sqref="B21"/>
    </sheetView>
  </sheetViews>
  <sheetFormatPr defaultRowHeight="14.5" x14ac:dyDescent="0.35"/>
  <cols>
    <col min="1" max="1" width="17.90625" bestFit="1" customWidth="1"/>
    <col min="2" max="2" width="23.26953125" bestFit="1" customWidth="1"/>
    <col min="3" max="3" width="23.26953125" customWidth="1"/>
    <col min="4" max="4" width="19.90625" bestFit="1" customWidth="1"/>
    <col min="5" max="5" width="21.453125" bestFit="1" customWidth="1"/>
    <col min="6" max="6" width="23" customWidth="1"/>
    <col min="7" max="7" width="19.90625" bestFit="1" customWidth="1"/>
    <col min="8" max="8" width="16.6328125" style="15" customWidth="1"/>
    <col min="9" max="9" width="19.08984375" customWidth="1"/>
    <col min="10" max="10" width="18.81640625" customWidth="1"/>
    <col min="11" max="11" width="21.08984375" customWidth="1"/>
  </cols>
  <sheetData>
    <row r="1" spans="1:11" ht="27.5" customHeight="1" x14ac:dyDescent="0.35">
      <c r="A1" s="88" t="s">
        <v>110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43.5" x14ac:dyDescent="0.35">
      <c r="A2" s="55" t="s">
        <v>78</v>
      </c>
      <c r="B2" s="55" t="s">
        <v>79</v>
      </c>
      <c r="C2" s="55" t="s">
        <v>100</v>
      </c>
      <c r="D2" s="56" t="s">
        <v>97</v>
      </c>
      <c r="E2" s="56" t="s">
        <v>99</v>
      </c>
      <c r="F2" s="56" t="s">
        <v>103</v>
      </c>
      <c r="G2" s="56" t="s">
        <v>104</v>
      </c>
      <c r="H2" s="63" t="s">
        <v>106</v>
      </c>
      <c r="I2" s="63" t="s">
        <v>109</v>
      </c>
      <c r="J2" s="63" t="s">
        <v>107</v>
      </c>
      <c r="K2" s="63" t="s">
        <v>108</v>
      </c>
    </row>
    <row r="3" spans="1:11" x14ac:dyDescent="0.35">
      <c r="A3" s="55">
        <v>1</v>
      </c>
      <c r="B3" s="55" t="s">
        <v>80</v>
      </c>
      <c r="C3" s="55">
        <v>2012</v>
      </c>
      <c r="D3" s="58">
        <v>287.26</v>
      </c>
      <c r="E3" s="58">
        <f>D3*39.2361</f>
        <v>11270.962086</v>
      </c>
      <c r="F3" s="58">
        <v>17967.04</v>
      </c>
      <c r="G3" s="58">
        <f>F3/58.6347</f>
        <v>306.42332953012465</v>
      </c>
      <c r="H3" s="59">
        <f>G3*Mangroves_BSE!$D$4</f>
        <v>1987299.3109677373</v>
      </c>
      <c r="I3" s="59">
        <f>1.42*Table2[[#This Row],[Annual Values (US$/ha)
(Adjusted at 2024)]]</f>
        <v>435.12112793277697</v>
      </c>
      <c r="J3" s="59">
        <f>Table2[[#This Row],[Annual Values (US$/ha)
(Adjusted at 2024)]]*(-4.28)</f>
        <v>-1311.4918503889335</v>
      </c>
      <c r="K3" s="59">
        <f>Table2[[#This Row],[Annual Values (US$/ha)
(Adjusted at 2024)]]*5.46</f>
        <v>1673.0713792344807</v>
      </c>
    </row>
    <row r="4" spans="1:11" x14ac:dyDescent="0.35">
      <c r="A4" s="55">
        <v>2</v>
      </c>
      <c r="B4" s="55" t="s">
        <v>81</v>
      </c>
      <c r="C4" s="55">
        <v>2012</v>
      </c>
      <c r="D4" s="58">
        <v>24.74</v>
      </c>
      <c r="E4" s="58">
        <f t="shared" ref="E4:E21" si="0">D4*39.2361</f>
        <v>970.70111399999996</v>
      </c>
      <c r="F4" s="58">
        <v>1547.39</v>
      </c>
      <c r="G4" s="58">
        <f t="shared" ref="G4:G21" si="1">F4/58.6347</f>
        <v>26.390345648566463</v>
      </c>
      <c r="H4" s="59">
        <f>G4*Mangroves_BSE!$D$4</f>
        <v>171153.79499340832</v>
      </c>
      <c r="I4" s="59">
        <f>1.42*Table2[[#This Row],[Annual Values (US$/ha)
(Adjusted at 2024)]]</f>
        <v>37.474290820964377</v>
      </c>
      <c r="J4" s="59">
        <f>Table2[[#This Row],[Annual Values (US$/ha)
(Adjusted at 2024)]]*(-4.28)</f>
        <v>-112.95067937586447</v>
      </c>
      <c r="K4" s="59">
        <f>Table2[[#This Row],[Annual Values (US$/ha)
(Adjusted at 2024)]]*5.46</f>
        <v>144.09128724117289</v>
      </c>
    </row>
    <row r="5" spans="1:11" x14ac:dyDescent="0.35">
      <c r="A5" s="57">
        <v>3</v>
      </c>
      <c r="B5" s="57" t="s">
        <v>82</v>
      </c>
      <c r="C5" s="57">
        <v>2012</v>
      </c>
      <c r="D5" s="67">
        <v>0</v>
      </c>
      <c r="E5" s="67">
        <f t="shared" si="0"/>
        <v>0</v>
      </c>
      <c r="F5" s="67">
        <v>11.88</v>
      </c>
      <c r="G5" s="67">
        <f t="shared" si="1"/>
        <v>0.20261039964389688</v>
      </c>
      <c r="H5" s="68">
        <f>G5*Mangroves_BSE!$D$4</f>
        <v>1314.0236685785037</v>
      </c>
      <c r="I5" s="68">
        <f>1.42*Table2[[#This Row],[Annual Values (US$/ha)
(Adjusted at 2024)]]</f>
        <v>0.28770676749433355</v>
      </c>
      <c r="J5" s="68">
        <f>Table2[[#This Row],[Annual Values (US$/ha)
(Adjusted at 2024)]]*(-4.28)</f>
        <v>-0.86717251047587873</v>
      </c>
      <c r="K5" s="68">
        <f>Table2[[#This Row],[Annual Values (US$/ha)
(Adjusted at 2024)]]*5.46</f>
        <v>1.1062527820556769</v>
      </c>
    </row>
    <row r="6" spans="1:11" x14ac:dyDescent="0.35">
      <c r="A6" s="57">
        <v>4</v>
      </c>
      <c r="B6" s="57" t="s">
        <v>83</v>
      </c>
      <c r="C6" s="57">
        <v>2012</v>
      </c>
      <c r="D6" s="67">
        <v>0</v>
      </c>
      <c r="E6" s="67">
        <f t="shared" si="0"/>
        <v>0</v>
      </c>
      <c r="F6" s="67">
        <v>104.45</v>
      </c>
      <c r="G6" s="67">
        <f t="shared" si="1"/>
        <v>1.7813683706064838</v>
      </c>
      <c r="H6" s="68">
        <f>G6*Mangroves_BSE!$D$4</f>
        <v>11553.011126517231</v>
      </c>
      <c r="I6" s="68">
        <f>1.42*Table2[[#This Row],[Annual Values (US$/ha)
(Adjusted at 2024)]]</f>
        <v>2.5295430862612069</v>
      </c>
      <c r="J6" s="68">
        <f>Table2[[#This Row],[Annual Values (US$/ha)
(Adjusted at 2024)]]*(-4.28)</f>
        <v>-7.6242566261957512</v>
      </c>
      <c r="K6" s="68">
        <f>Table2[[#This Row],[Annual Values (US$/ha)
(Adjusted at 2024)]]*5.46</f>
        <v>9.7262713035114015</v>
      </c>
    </row>
    <row r="7" spans="1:11" x14ac:dyDescent="0.35">
      <c r="A7" s="55">
        <v>5</v>
      </c>
      <c r="B7" s="69" t="s">
        <v>118</v>
      </c>
      <c r="C7" s="55">
        <v>2012</v>
      </c>
      <c r="D7" s="58">
        <v>284.19</v>
      </c>
      <c r="E7" s="58">
        <f t="shared" si="0"/>
        <v>11150.507259</v>
      </c>
      <c r="F7" s="58"/>
      <c r="G7" s="58">
        <f t="shared" si="1"/>
        <v>0</v>
      </c>
      <c r="H7" s="59">
        <f>G7*Mangroves_BSE!$D$4</f>
        <v>0</v>
      </c>
      <c r="I7" s="59">
        <f>1.42*Table2[[#This Row],[Annual Values (US$/ha)
(Adjusted at 2024)]]</f>
        <v>0</v>
      </c>
      <c r="J7" s="59">
        <f>Table2[[#This Row],[Annual Values (US$/ha)
(Adjusted at 2024)]]*(-4.28)</f>
        <v>0</v>
      </c>
      <c r="K7" s="59">
        <f>Table2[[#This Row],[Annual Values (US$/ha)
(Adjusted at 2024)]]*5.46</f>
        <v>0</v>
      </c>
    </row>
    <row r="8" spans="1:11" x14ac:dyDescent="0.35">
      <c r="A8" s="55">
        <v>6</v>
      </c>
      <c r="B8" s="55" t="s">
        <v>84</v>
      </c>
      <c r="C8" s="55">
        <v>2012</v>
      </c>
      <c r="D8" s="58">
        <v>102.12</v>
      </c>
      <c r="E8" s="58">
        <f>D8*39.2361</f>
        <v>4006.7905320000004</v>
      </c>
      <c r="F8" s="58">
        <v>6387.22</v>
      </c>
      <c r="G8" s="58">
        <f t="shared" si="1"/>
        <v>108.93242397419958</v>
      </c>
      <c r="H8" s="59">
        <f>G8*Mangroves_BSE!$D$4</f>
        <v>706477.96771195205</v>
      </c>
      <c r="I8" s="59">
        <f>1.42*Table2[[#This Row],[Annual Values (US$/ha)
(Adjusted at 2024)]]</f>
        <v>154.68404204336341</v>
      </c>
      <c r="J8" s="59">
        <f>Table2[[#This Row],[Annual Values (US$/ha)
(Adjusted at 2024)]]*(-4.28)</f>
        <v>-466.23077460957421</v>
      </c>
      <c r="K8" s="59">
        <f>Table2[[#This Row],[Annual Values (US$/ha)
(Adjusted at 2024)]]*5.46</f>
        <v>594.77103489912975</v>
      </c>
    </row>
    <row r="9" spans="1:11" x14ac:dyDescent="0.35">
      <c r="A9" s="55">
        <v>7</v>
      </c>
      <c r="B9" s="55" t="s">
        <v>85</v>
      </c>
      <c r="C9" s="55">
        <v>2012</v>
      </c>
      <c r="D9" s="58">
        <v>53.28</v>
      </c>
      <c r="E9" s="58">
        <f>D9*39.2361</f>
        <v>2090.4994080000001</v>
      </c>
      <c r="F9" s="58">
        <v>3332.47</v>
      </c>
      <c r="G9" s="58">
        <f t="shared" si="1"/>
        <v>56.834434217280887</v>
      </c>
      <c r="H9" s="59">
        <f>G9*Mangroves_BSE!$D$4</f>
        <v>368598.01808314864</v>
      </c>
      <c r="I9" s="59">
        <f>1.42*Table2[[#This Row],[Annual Values (US$/ha)
(Adjusted at 2024)]]</f>
        <v>80.704896588538858</v>
      </c>
      <c r="J9" s="59">
        <f>Table2[[#This Row],[Annual Values (US$/ha)
(Adjusted at 2024)]]*(-4.28)</f>
        <v>-243.2513784499622</v>
      </c>
      <c r="K9" s="59">
        <f>Table2[[#This Row],[Annual Values (US$/ha)
(Adjusted at 2024)]]*5.46</f>
        <v>310.31601082635365</v>
      </c>
    </row>
    <row r="10" spans="1:11" x14ac:dyDescent="0.35">
      <c r="A10" s="55">
        <v>8</v>
      </c>
      <c r="B10" s="55" t="s">
        <v>86</v>
      </c>
      <c r="C10" s="55">
        <v>2012</v>
      </c>
      <c r="D10" s="58">
        <v>2.92</v>
      </c>
      <c r="E10" s="58">
        <f t="shared" si="0"/>
        <v>114.569412</v>
      </c>
      <c r="F10" s="58">
        <v>182.64</v>
      </c>
      <c r="G10" s="58">
        <f t="shared" si="1"/>
        <v>3.1148790733132423</v>
      </c>
      <c r="H10" s="59">
        <f>G10*Mangroves_BSE!$D$4</f>
        <v>20201.454783600831</v>
      </c>
      <c r="I10" s="59">
        <f>1.42*Table2[[#This Row],[Annual Values (US$/ha)
(Adjusted at 2024)]]</f>
        <v>4.4231282841048039</v>
      </c>
      <c r="J10" s="59">
        <f>Table2[[#This Row],[Annual Values (US$/ha)
(Adjusted at 2024)]]*(-4.28)</f>
        <v>-13.331682433780678</v>
      </c>
      <c r="K10" s="59">
        <f>Table2[[#This Row],[Annual Values (US$/ha)
(Adjusted at 2024)]]*5.46</f>
        <v>17.007239740290302</v>
      </c>
    </row>
    <row r="11" spans="1:11" x14ac:dyDescent="0.35">
      <c r="A11" s="55">
        <v>9</v>
      </c>
      <c r="B11" s="55" t="s">
        <v>98</v>
      </c>
      <c r="C11" s="55">
        <v>2012</v>
      </c>
      <c r="D11" s="58">
        <v>63.2</v>
      </c>
      <c r="E11" s="58">
        <f>D11*39.2361</f>
        <v>2479.7215200000001</v>
      </c>
      <c r="F11" s="58">
        <v>3952.92</v>
      </c>
      <c r="G11" s="58">
        <f t="shared" si="1"/>
        <v>67.416052269389965</v>
      </c>
      <c r="H11" s="59">
        <f>G11*Mangroves_BSE!$D$4</f>
        <v>437224.78451156052</v>
      </c>
      <c r="I11" s="59">
        <f>1.42*Table2[[#This Row],[Annual Values (US$/ha)
(Adjusted at 2024)]]</f>
        <v>95.730794222533746</v>
      </c>
      <c r="J11" s="59">
        <f>Table2[[#This Row],[Annual Values (US$/ha)
(Adjusted at 2024)]]*(-4.28)</f>
        <v>-288.54070371298906</v>
      </c>
      <c r="K11" s="59">
        <f>Table2[[#This Row],[Annual Values (US$/ha)
(Adjusted at 2024)]]*5.46</f>
        <v>368.09164539086919</v>
      </c>
    </row>
    <row r="12" spans="1:11" x14ac:dyDescent="0.35">
      <c r="A12" s="55">
        <v>10</v>
      </c>
      <c r="B12" s="55" t="s">
        <v>87</v>
      </c>
      <c r="C12" s="55">
        <v>2012</v>
      </c>
      <c r="D12" s="58">
        <v>184.69</v>
      </c>
      <c r="E12" s="58">
        <f>D12*39.2361</f>
        <v>7246.5153090000003</v>
      </c>
      <c r="F12" s="58">
        <v>11551.68</v>
      </c>
      <c r="G12" s="58">
        <f t="shared" si="1"/>
        <v>197.01098496282918</v>
      </c>
      <c r="H12" s="59">
        <f>G12*Mangroves_BSE!$D$4</f>
        <v>1277708.8326468796</v>
      </c>
      <c r="I12" s="59">
        <f>1.42*Table2[[#This Row],[Annual Values (US$/ha)
(Adjusted at 2024)]]</f>
        <v>279.75559864721743</v>
      </c>
      <c r="J12" s="59">
        <f>Table2[[#This Row],[Annual Values (US$/ha)
(Adjusted at 2024)]]*(-4.28)</f>
        <v>-843.20701564090893</v>
      </c>
      <c r="K12" s="59">
        <f>Table2[[#This Row],[Annual Values (US$/ha)
(Adjusted at 2024)]]*5.46</f>
        <v>1075.6799778970474</v>
      </c>
    </row>
    <row r="13" spans="1:11" x14ac:dyDescent="0.35">
      <c r="A13" s="55">
        <v>11</v>
      </c>
      <c r="B13" s="55" t="s">
        <v>88</v>
      </c>
      <c r="C13" s="55">
        <v>2012</v>
      </c>
      <c r="D13" s="58">
        <v>197.35</v>
      </c>
      <c r="E13" s="58">
        <f>D13*39.2361</f>
        <v>7743.2443349999994</v>
      </c>
      <c r="F13" s="58">
        <v>12343.5</v>
      </c>
      <c r="G13" s="58">
        <f t="shared" si="1"/>
        <v>210.5152750845489</v>
      </c>
      <c r="H13" s="59">
        <f>G13*Mangroves_BSE!$D$4</f>
        <v>1365290.5011025893</v>
      </c>
      <c r="I13" s="59">
        <f>1.42*Table2[[#This Row],[Annual Values (US$/ha)
(Adjusted at 2024)]]</f>
        <v>298.93169062005944</v>
      </c>
      <c r="J13" s="59">
        <f>Table2[[#This Row],[Annual Values (US$/ha)
(Adjusted at 2024)]]*(-4.28)</f>
        <v>-901.00537736186936</v>
      </c>
      <c r="K13" s="59">
        <f>Table2[[#This Row],[Annual Values (US$/ha)
(Adjusted at 2024)]]*5.46</f>
        <v>1149.413401961637</v>
      </c>
    </row>
    <row r="14" spans="1:11" x14ac:dyDescent="0.35">
      <c r="A14" s="55">
        <v>12</v>
      </c>
      <c r="B14" s="55" t="s">
        <v>89</v>
      </c>
      <c r="C14" s="55">
        <v>2012</v>
      </c>
      <c r="D14" s="58">
        <v>11.42</v>
      </c>
      <c r="E14" s="58">
        <f t="shared" si="0"/>
        <v>448.07626199999999</v>
      </c>
      <c r="F14" s="58">
        <v>714.28</v>
      </c>
      <c r="G14" s="58">
        <f t="shared" si="1"/>
        <v>12.181865004852074</v>
      </c>
      <c r="H14" s="59">
        <f>G14*Mangroves_BSE!$D$4</f>
        <v>79005.120033017971</v>
      </c>
      <c r="I14" s="59">
        <f>1.42*Table2[[#This Row],[Annual Values (US$/ha)
(Adjusted at 2024)]]</f>
        <v>17.298248306889946</v>
      </c>
      <c r="J14" s="59">
        <f>Table2[[#This Row],[Annual Values (US$/ha)
(Adjusted at 2024)]]*(-4.28)</f>
        <v>-52.138382220766879</v>
      </c>
      <c r="K14" s="59">
        <f>Table2[[#This Row],[Annual Values (US$/ha)
(Adjusted at 2024)]]*5.46</f>
        <v>66.512982926492327</v>
      </c>
    </row>
    <row r="15" spans="1:11" x14ac:dyDescent="0.35">
      <c r="A15" s="55">
        <v>13</v>
      </c>
      <c r="B15" s="55" t="s">
        <v>90</v>
      </c>
      <c r="C15" s="55">
        <v>2012</v>
      </c>
      <c r="D15" s="58">
        <v>3.22</v>
      </c>
      <c r="E15" s="58">
        <f t="shared" si="0"/>
        <v>126.340242</v>
      </c>
      <c r="F15" s="58">
        <v>201.4</v>
      </c>
      <c r="G15" s="58">
        <f t="shared" si="1"/>
        <v>3.4348261353771741</v>
      </c>
      <c r="H15" s="59">
        <f>G15*Mangroves_BSE!$D$4</f>
        <v>22276.461856204598</v>
      </c>
      <c r="I15" s="59">
        <f>1.42*Table2[[#This Row],[Annual Values (US$/ha)
(Adjusted at 2024)]]</f>
        <v>4.8774531122355871</v>
      </c>
      <c r="J15" s="59">
        <f>Table2[[#This Row],[Annual Values (US$/ha)
(Adjusted at 2024)]]*(-4.28)</f>
        <v>-14.701055859414305</v>
      </c>
      <c r="K15" s="59">
        <f>Table2[[#This Row],[Annual Values (US$/ha)
(Adjusted at 2024)]]*5.46</f>
        <v>18.754150699159371</v>
      </c>
    </row>
    <row r="16" spans="1:11" x14ac:dyDescent="0.35">
      <c r="A16" s="55">
        <v>14</v>
      </c>
      <c r="B16" s="55" t="s">
        <v>91</v>
      </c>
      <c r="C16" s="55">
        <v>2012</v>
      </c>
      <c r="D16" s="58">
        <v>197.35</v>
      </c>
      <c r="E16" s="58">
        <f t="shared" si="0"/>
        <v>7743.2443349999994</v>
      </c>
      <c r="F16" s="58">
        <v>12343.5</v>
      </c>
      <c r="G16" s="58">
        <f t="shared" si="1"/>
        <v>210.5152750845489</v>
      </c>
      <c r="H16" s="59">
        <f>G16*Mangroves_BSE!$D$4</f>
        <v>1365290.5011025893</v>
      </c>
      <c r="I16" s="59">
        <f>1.42*Table2[[#This Row],[Annual Values (US$/ha)
(Adjusted at 2024)]]</f>
        <v>298.93169062005944</v>
      </c>
      <c r="J16" s="59">
        <f>Table2[[#This Row],[Annual Values (US$/ha)
(Adjusted at 2024)]]*(-4.28)</f>
        <v>-901.00537736186936</v>
      </c>
      <c r="K16" s="59">
        <f>Table2[[#This Row],[Annual Values (US$/ha)
(Adjusted at 2024)]]*5.46</f>
        <v>1149.413401961637</v>
      </c>
    </row>
    <row r="17" spans="1:11" x14ac:dyDescent="0.35">
      <c r="A17" s="55">
        <v>15</v>
      </c>
      <c r="B17" s="55" t="s">
        <v>92</v>
      </c>
      <c r="C17" s="55">
        <v>2012</v>
      </c>
      <c r="D17" s="58">
        <v>40.97</v>
      </c>
      <c r="E17" s="58">
        <f t="shared" si="0"/>
        <v>1607.503017</v>
      </c>
      <c r="F17" s="58">
        <v>2562.52</v>
      </c>
      <c r="G17" s="58">
        <f t="shared" si="1"/>
        <v>43.70313142217833</v>
      </c>
      <c r="H17" s="59">
        <f>G17*Mangroves_BSE!$D$4</f>
        <v>283435.34774459485</v>
      </c>
      <c r="I17" s="59">
        <f>1.42*Table2[[#This Row],[Annual Values (US$/ha)
(Adjusted at 2024)]]</f>
        <v>62.058446619493225</v>
      </c>
      <c r="J17" s="59">
        <f>Table2[[#This Row],[Annual Values (US$/ha)
(Adjusted at 2024)]]*(-4.28)</f>
        <v>-187.04940248692327</v>
      </c>
      <c r="K17" s="59">
        <f>Table2[[#This Row],[Annual Values (US$/ha)
(Adjusted at 2024)]]*5.46</f>
        <v>238.61909756509368</v>
      </c>
    </row>
    <row r="18" spans="1:11" x14ac:dyDescent="0.35">
      <c r="A18" s="55">
        <v>16</v>
      </c>
      <c r="B18" s="55" t="s">
        <v>93</v>
      </c>
      <c r="C18" s="55">
        <v>2012</v>
      </c>
      <c r="D18" s="58">
        <v>8.0500000000000007</v>
      </c>
      <c r="E18" s="58">
        <f>D18*39.2361</f>
        <v>315.85060500000003</v>
      </c>
      <c r="F18" s="58">
        <v>503.5</v>
      </c>
      <c r="G18" s="58">
        <f t="shared" si="1"/>
        <v>8.587065338442935</v>
      </c>
      <c r="H18" s="59">
        <f>G18*Mangroves_BSE!$D$4</f>
        <v>55691.154640511493</v>
      </c>
      <c r="I18" s="59">
        <f>1.42*Table2[[#This Row],[Annual Values (US$/ha)
(Adjusted at 2024)]]</f>
        <v>12.193632780588967</v>
      </c>
      <c r="J18" s="59">
        <f>Table2[[#This Row],[Annual Values (US$/ha)
(Adjusted at 2024)]]*(-4.28)</f>
        <v>-36.752639648535762</v>
      </c>
      <c r="K18" s="59">
        <f>Table2[[#This Row],[Annual Values (US$/ha)
(Adjusted at 2024)]]*5.46</f>
        <v>46.885376747898427</v>
      </c>
    </row>
    <row r="19" spans="1:11" x14ac:dyDescent="0.35">
      <c r="A19" s="55">
        <v>17</v>
      </c>
      <c r="B19" s="55" t="s">
        <v>94</v>
      </c>
      <c r="C19" s="55">
        <v>2012</v>
      </c>
      <c r="D19" s="58">
        <v>96.27</v>
      </c>
      <c r="E19" s="58">
        <f t="shared" si="0"/>
        <v>3777.2593469999997</v>
      </c>
      <c r="F19" s="58">
        <v>6021.33</v>
      </c>
      <c r="G19" s="58">
        <f t="shared" si="1"/>
        <v>102.69226243163178</v>
      </c>
      <c r="H19" s="59">
        <f>G19*Mangroves_BSE!$D$4</f>
        <v>666007.58723247482</v>
      </c>
      <c r="I19" s="59">
        <f>1.42*Table2[[#This Row],[Annual Values (US$/ha)
(Adjusted at 2024)]]</f>
        <v>145.8230126529171</v>
      </c>
      <c r="J19" s="59">
        <f>Table2[[#This Row],[Annual Values (US$/ha)
(Adjusted at 2024)]]*(-4.28)</f>
        <v>-439.52288320738404</v>
      </c>
      <c r="K19" s="59">
        <f>Table2[[#This Row],[Annual Values (US$/ha)
(Adjusted at 2024)]]*5.46</f>
        <v>560.69975287670945</v>
      </c>
    </row>
    <row r="20" spans="1:11" x14ac:dyDescent="0.35">
      <c r="A20" s="55">
        <v>18</v>
      </c>
      <c r="B20" s="55" t="s">
        <v>95</v>
      </c>
      <c r="C20" s="55">
        <v>2012</v>
      </c>
      <c r="D20" s="58">
        <v>16.63</v>
      </c>
      <c r="E20" s="58">
        <f>D20*39.2361</f>
        <v>652.49634300000002</v>
      </c>
      <c r="F20" s="58">
        <v>1040.1500000000001</v>
      </c>
      <c r="G20" s="58">
        <f t="shared" si="1"/>
        <v>17.739495554680079</v>
      </c>
      <c r="H20" s="59">
        <f>G20*Mangroves_BSE!$D$4</f>
        <v>115048.966235011</v>
      </c>
      <c r="I20" s="59">
        <f>1.42*Table2[[#This Row],[Annual Values (US$/ha)
(Adjusted at 2024)]]</f>
        <v>25.190083687645711</v>
      </c>
      <c r="J20" s="59">
        <f>Table2[[#This Row],[Annual Values (US$/ha)
(Adjusted at 2024)]]*(-4.28)</f>
        <v>-75.92504097403075</v>
      </c>
      <c r="K20" s="59">
        <f>Table2[[#This Row],[Annual Values (US$/ha)
(Adjusted at 2024)]]*5.46</f>
        <v>96.857645728553237</v>
      </c>
    </row>
    <row r="21" spans="1:11" x14ac:dyDescent="0.35">
      <c r="A21" s="55">
        <v>19</v>
      </c>
      <c r="B21" s="55" t="s">
        <v>96</v>
      </c>
      <c r="C21" s="55">
        <v>2012</v>
      </c>
      <c r="D21" s="58">
        <v>128.9</v>
      </c>
      <c r="E21" s="58">
        <f t="shared" si="0"/>
        <v>5057.5332900000003</v>
      </c>
      <c r="F21" s="58">
        <v>8062.21</v>
      </c>
      <c r="G21" s="58">
        <f t="shared" si="1"/>
        <v>137.498955396719</v>
      </c>
      <c r="H21" s="59">
        <f>G21*Mangroves_BSE!$D$4</f>
        <v>891745.35025675909</v>
      </c>
      <c r="I21" s="59">
        <f>1.42*Table2[[#This Row],[Annual Values (US$/ha)
(Adjusted at 2024)]]</f>
        <v>195.24851666334098</v>
      </c>
      <c r="J21" s="59">
        <f>Table2[[#This Row],[Annual Values (US$/ha)
(Adjusted at 2024)]]*(-4.28)</f>
        <v>-588.49552909795739</v>
      </c>
      <c r="K21" s="59">
        <f>Table2[[#This Row],[Annual Values (US$/ha)
(Adjusted at 2024)]]*5.46</f>
        <v>750.74429646608576</v>
      </c>
    </row>
    <row r="22" spans="1:11" x14ac:dyDescent="0.35">
      <c r="A22" s="60" t="s">
        <v>34</v>
      </c>
      <c r="B22" s="60"/>
      <c r="C22" s="60"/>
      <c r="D22" s="60"/>
      <c r="E22" s="60"/>
      <c r="F22" s="60"/>
      <c r="G22" s="62">
        <f>SUBTOTAL(109,Table2[Annual Values (US$/ha)
(Adjusted at 2024)])</f>
        <v>1514.9745798989334</v>
      </c>
      <c r="H22" s="61">
        <f>SUBTOTAL(109,Table2[Economic Value 2020])</f>
        <v>9825322.1886971369</v>
      </c>
      <c r="I22" s="61">
        <f>SUBTOTAL(109,Table2[Annual Variation (US$)
1996-2020])</f>
        <v>2151.2639034564854</v>
      </c>
      <c r="J22" s="61">
        <f>SUBTOTAL(109,Table2[Annual Variation (US$)
2010-2020])</f>
        <v>-6484.0912019674361</v>
      </c>
      <c r="K22" s="61">
        <f>SUBTOTAL(109,Table2[Annual Increase (US$)
1996-2010])</f>
        <v>8271.7612062481767</v>
      </c>
    </row>
    <row r="23" spans="1:11" x14ac:dyDescent="0.35">
      <c r="A23" s="55"/>
      <c r="B23" s="55"/>
      <c r="C23" s="55"/>
      <c r="D23" s="55"/>
      <c r="E23" s="55"/>
      <c r="F23" s="55"/>
      <c r="G23" s="55"/>
    </row>
    <row r="24" spans="1:11" x14ac:dyDescent="0.35">
      <c r="A24" s="87" t="s">
        <v>101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</row>
    <row r="25" spans="1:11" x14ac:dyDescent="0.35">
      <c r="A25" s="87" t="s">
        <v>102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</row>
    <row r="26" spans="1:11" x14ac:dyDescent="0.35">
      <c r="A26" s="87" t="s">
        <v>105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</row>
    <row r="27" spans="1:11" ht="32" customHeight="1" x14ac:dyDescent="0.35">
      <c r="A27" s="86" t="s">
        <v>111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</row>
    <row r="68" spans="1:2" x14ac:dyDescent="0.35">
      <c r="A68" s="15" t="s">
        <v>113</v>
      </c>
      <c r="B68" s="15">
        <v>2023</v>
      </c>
    </row>
    <row r="69" spans="1:2" x14ac:dyDescent="0.35">
      <c r="A69" s="15" t="s">
        <v>34</v>
      </c>
      <c r="B69" s="59">
        <f>121444279.31*1000</f>
        <v>121444279310</v>
      </c>
    </row>
    <row r="70" spans="1:2" x14ac:dyDescent="0.35">
      <c r="A70" s="15" t="s">
        <v>112</v>
      </c>
      <c r="B70" s="64">
        <v>10716</v>
      </c>
    </row>
    <row r="71" spans="1:2" x14ac:dyDescent="0.35">
      <c r="A71" s="15" t="s">
        <v>114</v>
      </c>
      <c r="B71" s="66">
        <v>114468</v>
      </c>
    </row>
    <row r="72" spans="1:2" x14ac:dyDescent="0.35">
      <c r="A72" s="15" t="s">
        <v>115</v>
      </c>
      <c r="B72" s="59">
        <f>B71*B70</f>
        <v>1226639088</v>
      </c>
    </row>
    <row r="73" spans="1:2" x14ac:dyDescent="0.35">
      <c r="A73" s="15" t="s">
        <v>116</v>
      </c>
      <c r="B73" s="15">
        <f>B72*100/B69</f>
        <v>1.0100427084497472</v>
      </c>
    </row>
    <row r="74" spans="1:2" x14ac:dyDescent="0.35">
      <c r="A74" s="15" t="s">
        <v>117</v>
      </c>
      <c r="B74" s="65">
        <f>Table2[[#Totals],[Economic Value 2020]]*100/B72</f>
        <v>0.80099536080470446</v>
      </c>
    </row>
  </sheetData>
  <mergeCells count="5">
    <mergeCell ref="A27:K27"/>
    <mergeCell ref="A24:K24"/>
    <mergeCell ref="A25:K25"/>
    <mergeCell ref="A26:K26"/>
    <mergeCell ref="A1:K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LULC 2000-2020</vt:lpstr>
      <vt:lpstr>Markov matrix transition</vt:lpstr>
      <vt:lpstr>Mangroves_BSE</vt:lpstr>
      <vt:lpstr>Benefit transfer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[Est - DCA] Caballero Gonzalez, Claudia</dc:creator>
  <cp:lastModifiedBy>Claudia Caballero González</cp:lastModifiedBy>
  <dcterms:created xsi:type="dcterms:W3CDTF">2024-07-03T19:39:57Z</dcterms:created>
  <dcterms:modified xsi:type="dcterms:W3CDTF">2025-12-15T19:42:30Z</dcterms:modified>
</cp:coreProperties>
</file>