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Micro Plastics Manuscript\Krustal Wallis by Chemical\"/>
    </mc:Choice>
  </mc:AlternateContent>
  <xr:revisionPtr revIDLastSave="0" documentId="13_ncr:1_{EDF70414-1FEA-4E21-8A01-F04F9CC00C43}" xr6:coauthVersionLast="47" xr6:coauthVersionMax="47" xr10:uidLastSave="{00000000-0000-0000-0000-000000000000}"/>
  <bookViews>
    <workbookView xWindow="-135" yWindow="-135" windowWidth="29070" windowHeight="17550" activeTab="1" xr2:uid="{E6290586-B794-4737-A50E-53B97BA37E9F}"/>
  </bookViews>
  <sheets>
    <sheet name="Raw Data" sheetId="1" r:id="rId1"/>
    <sheet name="KW Long Form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9" i="2" l="1"/>
  <c r="H67" i="2"/>
  <c r="Q61" i="2"/>
  <c r="O61" i="2"/>
  <c r="P61" i="2" s="1"/>
  <c r="R61" i="2" s="1"/>
  <c r="N61" i="2"/>
  <c r="J64" i="2"/>
  <c r="G64" i="2"/>
  <c r="J44" i="2"/>
  <c r="BH28" i="1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59" i="2"/>
  <c r="J60" i="2"/>
  <c r="J61" i="2"/>
  <c r="J62" i="2"/>
  <c r="J63" i="2"/>
  <c r="J6" i="2"/>
  <c r="I63" i="2"/>
  <c r="I62" i="2"/>
  <c r="I61" i="2"/>
  <c r="I60" i="2"/>
  <c r="I59" i="2"/>
  <c r="I58" i="2"/>
  <c r="I57" i="2"/>
  <c r="I56" i="2"/>
  <c r="I55" i="2"/>
  <c r="I54" i="2"/>
  <c r="I53" i="2"/>
  <c r="I52" i="2"/>
  <c r="I51" i="2"/>
  <c r="I50" i="2"/>
  <c r="I49" i="2"/>
  <c r="I48" i="2"/>
  <c r="I47" i="2"/>
  <c r="I46" i="2"/>
  <c r="I45" i="2"/>
  <c r="I43" i="2"/>
  <c r="I42" i="2"/>
  <c r="I41" i="2"/>
  <c r="I40" i="2"/>
  <c r="I39" i="2"/>
  <c r="I38" i="2"/>
  <c r="I37" i="2"/>
  <c r="I36" i="2"/>
  <c r="I35" i="2"/>
  <c r="I34" i="2"/>
  <c r="I33" i="2"/>
  <c r="I32" i="2"/>
  <c r="I31" i="2"/>
  <c r="I30" i="2"/>
  <c r="I29" i="2"/>
  <c r="I28" i="2"/>
  <c r="I27" i="2"/>
  <c r="I26" i="2"/>
  <c r="I25" i="2"/>
  <c r="I24" i="2"/>
  <c r="I23" i="2"/>
  <c r="I22" i="2"/>
  <c r="I21" i="2"/>
  <c r="I20" i="2"/>
  <c r="I19" i="2"/>
  <c r="I18" i="2"/>
  <c r="I17" i="2"/>
  <c r="I16" i="2"/>
  <c r="I15" i="2"/>
  <c r="I14" i="2"/>
  <c r="I13" i="2"/>
  <c r="I12" i="2"/>
  <c r="I11" i="2"/>
  <c r="I10" i="2"/>
  <c r="I9" i="2"/>
  <c r="I8" i="2"/>
  <c r="I7" i="2"/>
  <c r="I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61" i="2"/>
  <c r="D162" i="2"/>
  <c r="D163" i="2"/>
  <c r="D164" i="2"/>
  <c r="D165" i="2"/>
  <c r="D166" i="2"/>
  <c r="D167" i="2"/>
  <c r="D168" i="2"/>
  <c r="D169" i="2"/>
  <c r="D170" i="2"/>
  <c r="D171" i="2"/>
  <c r="D172" i="2"/>
  <c r="D173" i="2"/>
  <c r="D174" i="2"/>
  <c r="D175" i="2"/>
  <c r="D176" i="2"/>
  <c r="D177" i="2"/>
  <c r="D178" i="2"/>
  <c r="D179" i="2"/>
  <c r="D180" i="2"/>
  <c r="D181" i="2"/>
  <c r="D182" i="2"/>
  <c r="D183" i="2"/>
  <c r="D184" i="2"/>
  <c r="D185" i="2"/>
  <c r="D186" i="2"/>
  <c r="D187" i="2"/>
  <c r="D188" i="2"/>
  <c r="D189" i="2"/>
  <c r="D190" i="2"/>
  <c r="D191" i="2"/>
  <c r="D192" i="2"/>
  <c r="D193" i="2"/>
  <c r="D6" i="2"/>
  <c r="C194" i="2"/>
  <c r="BG28" i="1"/>
  <c r="BF28" i="1"/>
  <c r="BE28" i="1"/>
  <c r="BD28" i="1"/>
  <c r="BC28" i="1"/>
  <c r="BB28" i="1"/>
  <c r="BA28" i="1"/>
  <c r="AZ28" i="1"/>
  <c r="AY28" i="1"/>
  <c r="AX28" i="1"/>
  <c r="AW28" i="1"/>
  <c r="AV28" i="1"/>
  <c r="AU28" i="1"/>
  <c r="AT28" i="1"/>
  <c r="AS28" i="1"/>
  <c r="AR28" i="1"/>
  <c r="AQ28" i="1"/>
  <c r="AP28" i="1"/>
  <c r="AO28" i="1"/>
  <c r="AM28" i="1"/>
  <c r="AL28" i="1"/>
  <c r="AK28" i="1"/>
  <c r="AJ28" i="1"/>
  <c r="AI28" i="1"/>
  <c r="AH28" i="1"/>
  <c r="AG28" i="1"/>
  <c r="AF28" i="1"/>
  <c r="AE28" i="1"/>
  <c r="AD28" i="1"/>
  <c r="AC28" i="1"/>
  <c r="AB28" i="1"/>
  <c r="AA28" i="1"/>
  <c r="Z28" i="1"/>
  <c r="Y28" i="1"/>
  <c r="X28" i="1"/>
  <c r="W28" i="1"/>
  <c r="V28" i="1"/>
  <c r="U28" i="1"/>
  <c r="T28" i="1"/>
  <c r="S28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B28" i="1"/>
  <c r="BH27" i="1"/>
  <c r="BH26" i="1"/>
  <c r="BH25" i="1"/>
  <c r="BH24" i="1"/>
  <c r="BH23" i="1"/>
  <c r="BH22" i="1"/>
  <c r="BH21" i="1"/>
  <c r="BH20" i="1"/>
  <c r="BH19" i="1"/>
  <c r="BH18" i="1"/>
  <c r="BH17" i="1"/>
  <c r="BH16" i="1"/>
  <c r="BH15" i="1"/>
  <c r="BH14" i="1"/>
  <c r="BH13" i="1"/>
  <c r="BH12" i="1"/>
  <c r="BH11" i="1"/>
  <c r="BH10" i="1"/>
  <c r="BH9" i="1"/>
  <c r="BH8" i="1"/>
  <c r="BH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Owner</author>
  </authors>
  <commentList>
    <comment ref="AN6" authorId="0" shapeId="0" xr:uid="{39917487-5171-4973-B154-E3AE503DD4D2}">
      <text>
        <r>
          <rPr>
            <b/>
            <sz val="9"/>
            <color indexed="81"/>
            <rFont val="Tahoma"/>
            <family val="2"/>
          </rPr>
          <t>Owner:</t>
        </r>
        <r>
          <rPr>
            <sz val="9"/>
            <color indexed="81"/>
            <rFont val="Tahoma"/>
            <family val="2"/>
          </rPr>
          <t xml:space="preserve">
This is removed from the dataset as they are natural fibers and not microplastics.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Owner</author>
  </authors>
  <commentList>
    <comment ref="G44" authorId="0" shapeId="0" xr:uid="{FA6441E3-C234-4BFA-BA58-0693E2511342}">
      <text>
        <r>
          <rPr>
            <b/>
            <sz val="9"/>
            <color indexed="81"/>
            <rFont val="Tahoma"/>
            <family val="2"/>
          </rPr>
          <t>Owner:</t>
        </r>
        <r>
          <rPr>
            <sz val="9"/>
            <color indexed="81"/>
            <rFont val="Tahoma"/>
            <family val="2"/>
          </rPr>
          <t xml:space="preserve">
This should be removed from the dataset
</t>
        </r>
      </text>
    </comment>
    <comment ref="G64" authorId="0" shapeId="0" xr:uid="{5E21B402-4C67-47C1-815A-EBA980071607}">
      <text>
        <r>
          <rPr>
            <b/>
            <sz val="9"/>
            <color indexed="81"/>
            <rFont val="Tahoma"/>
            <family val="2"/>
          </rPr>
          <t>Owner:</t>
        </r>
        <r>
          <rPr>
            <sz val="9"/>
            <color indexed="81"/>
            <rFont val="Tahoma"/>
            <family val="2"/>
          </rPr>
          <t xml:space="preserve">
I subracted out the 5 PLT they are natural fibers</t>
        </r>
      </text>
    </comment>
    <comment ref="G66" authorId="0" shapeId="0" xr:uid="{241FAE4D-9085-4CB9-B301-6E06AABC324C}">
      <text>
        <r>
          <rPr>
            <b/>
            <sz val="9"/>
            <color indexed="81"/>
            <rFont val="Tahoma"/>
            <family val="2"/>
          </rPr>
          <t>Owner:</t>
        </r>
        <r>
          <rPr>
            <sz val="9"/>
            <color indexed="81"/>
            <rFont val="Tahoma"/>
            <family val="2"/>
          </rPr>
          <t xml:space="preserve">
dof = Degrees of Freedom
The total is 58 but I am removing the PLT (Plant), natural fibers so now the number is 57.
dof = n -1 so dof = 56</t>
        </r>
      </text>
    </comment>
    <comment ref="G67" authorId="0" shapeId="0" xr:uid="{D2466EE7-E83B-4022-9439-50DEEEBBD3B1}">
      <text>
        <r>
          <rPr>
            <b/>
            <sz val="9"/>
            <color indexed="81"/>
            <rFont val="Tahoma"/>
            <family val="2"/>
          </rPr>
          <t>Owner:</t>
        </r>
        <r>
          <rPr>
            <sz val="9"/>
            <color indexed="81"/>
            <rFont val="Tahoma"/>
            <family val="2"/>
          </rPr>
          <t xml:space="preserve">
The formula is 
H= ((12/(N(N+1))*∑(Ri^2/ni))−3(N+1)≥0</t>
        </r>
      </text>
    </comment>
  </commentList>
</comments>
</file>

<file path=xl/sharedStrings.xml><?xml version="1.0" encoding="utf-8"?>
<sst xmlns="http://schemas.openxmlformats.org/spreadsheetml/2006/main" count="529" uniqueCount="94">
  <si>
    <t>Hailstone</t>
  </si>
  <si>
    <t>ACR</t>
  </si>
  <si>
    <t>ARA</t>
  </si>
  <si>
    <t>BMC</t>
  </si>
  <si>
    <t>BR3</t>
  </si>
  <si>
    <t>DLTDP</t>
  </si>
  <si>
    <t>EPX</t>
  </si>
  <si>
    <t>EVA</t>
  </si>
  <si>
    <t>FEP</t>
  </si>
  <si>
    <t>HDPE</t>
  </si>
  <si>
    <t>HERB</t>
  </si>
  <si>
    <t>HLAS</t>
  </si>
  <si>
    <t>HRB</t>
  </si>
  <si>
    <t>IIR</t>
  </si>
  <si>
    <t>LDPE</t>
  </si>
  <si>
    <t>LS770</t>
  </si>
  <si>
    <t>MEL</t>
  </si>
  <si>
    <t>NYL</t>
  </si>
  <si>
    <t>PA</t>
  </si>
  <si>
    <t>PAC</t>
  </si>
  <si>
    <t>PAM</t>
  </si>
  <si>
    <t>PAP</t>
  </si>
  <si>
    <t>PAR</t>
  </si>
  <si>
    <t>PB1</t>
  </si>
  <si>
    <t>PBT</t>
  </si>
  <si>
    <t>PC</t>
  </si>
  <si>
    <t>PCL</t>
  </si>
  <si>
    <t>PDI</t>
  </si>
  <si>
    <t>PEEK</t>
  </si>
  <si>
    <t>PEG</t>
  </si>
  <si>
    <t>PEI</t>
  </si>
  <si>
    <t>PEPQ</t>
  </si>
  <si>
    <t>PES</t>
  </si>
  <si>
    <t>PET</t>
  </si>
  <si>
    <t>PETG</t>
  </si>
  <si>
    <t>PHSI</t>
  </si>
  <si>
    <t>PI</t>
  </si>
  <si>
    <t>PIB</t>
  </si>
  <si>
    <t>PIP</t>
  </si>
  <si>
    <t>PLT</t>
  </si>
  <si>
    <t>PMP</t>
  </si>
  <si>
    <t>POM</t>
  </si>
  <si>
    <t>PP</t>
  </si>
  <si>
    <t>PPO</t>
  </si>
  <si>
    <t>PPS</t>
  </si>
  <si>
    <t>PS</t>
  </si>
  <si>
    <t>PSO</t>
  </si>
  <si>
    <t>PTFE2</t>
  </si>
  <si>
    <t>PUR</t>
  </si>
  <si>
    <t>PVC</t>
  </si>
  <si>
    <t>PVDC</t>
  </si>
  <si>
    <t>PVDF</t>
  </si>
  <si>
    <t>RUBB</t>
  </si>
  <si>
    <t>SB</t>
  </si>
  <si>
    <t>SBS</t>
  </si>
  <si>
    <t>SI</t>
  </si>
  <si>
    <t>SMA</t>
  </si>
  <si>
    <t>STR</t>
  </si>
  <si>
    <t>WOIL</t>
  </si>
  <si>
    <t>DR041120HD03</t>
  </si>
  <si>
    <t>DR041120HE02</t>
  </si>
  <si>
    <t>DR041120HG02</t>
  </si>
  <si>
    <t>DR041120HG06</t>
  </si>
  <si>
    <t>DR041120HJ03</t>
  </si>
  <si>
    <t>DR041120HJ28</t>
  </si>
  <si>
    <t>DR041120HM01</t>
  </si>
  <si>
    <t>DR041120HR01</t>
  </si>
  <si>
    <t>DR041120HT03</t>
  </si>
  <si>
    <t>DR042820HA10</t>
  </si>
  <si>
    <t>DR042821HA32</t>
  </si>
  <si>
    <t>UV042821HA04</t>
  </si>
  <si>
    <t>UV042821HA05</t>
  </si>
  <si>
    <t>UV042821HA11</t>
  </si>
  <si>
    <t>UV042821HA12</t>
  </si>
  <si>
    <t>UV042821HA22</t>
  </si>
  <si>
    <t>UV042821HA31</t>
  </si>
  <si>
    <t>UV042821HA34</t>
  </si>
  <si>
    <t>UV042821HA46</t>
  </si>
  <si>
    <t>UV042821HA48</t>
  </si>
  <si>
    <t>UV042821HA52</t>
  </si>
  <si>
    <t>Chemical Abbreviation</t>
  </si>
  <si>
    <t>Count</t>
  </si>
  <si>
    <t>Rank</t>
  </si>
  <si>
    <r>
      <t>n</t>
    </r>
    <r>
      <rPr>
        <vertAlign val="subscript"/>
        <sz val="12"/>
        <color theme="1"/>
        <rFont val="Times New Roman"/>
        <family val="1"/>
      </rPr>
      <t>i</t>
    </r>
  </si>
  <si>
    <t>Chemical</t>
  </si>
  <si>
    <r>
      <t>R</t>
    </r>
    <r>
      <rPr>
        <vertAlign val="subscript"/>
        <sz val="12"/>
        <color theme="1"/>
        <rFont val="Times New Roman"/>
        <family val="1"/>
      </rPr>
      <t>i</t>
    </r>
    <r>
      <rPr>
        <vertAlign val="superscript"/>
        <sz val="12"/>
        <color theme="1"/>
        <rFont val="Times New Roman"/>
        <family val="1"/>
      </rPr>
      <t>2</t>
    </r>
    <r>
      <rPr>
        <sz val="12"/>
        <color theme="1"/>
        <rFont val="Times New Roman"/>
        <family val="1"/>
      </rPr>
      <t>/n</t>
    </r>
    <r>
      <rPr>
        <vertAlign val="subscript"/>
        <sz val="12"/>
        <color theme="1"/>
        <rFont val="Times New Roman"/>
        <family val="1"/>
      </rPr>
      <t>i</t>
    </r>
  </si>
  <si>
    <r>
      <t>Sum of Ranks (R</t>
    </r>
    <r>
      <rPr>
        <vertAlign val="subscript"/>
        <sz val="12"/>
        <color theme="1"/>
        <rFont val="Times New Roman"/>
        <family val="1"/>
      </rPr>
      <t>i</t>
    </r>
    <r>
      <rPr>
        <sz val="12"/>
        <color theme="1"/>
        <rFont val="Times New Roman"/>
        <family val="1"/>
      </rPr>
      <t>)</t>
    </r>
  </si>
  <si>
    <t>Count Total</t>
  </si>
  <si>
    <t>count</t>
  </si>
  <si>
    <t>dof =</t>
  </si>
  <si>
    <t>H Statistic=</t>
  </si>
  <si>
    <t>N=</t>
  </si>
  <si>
    <t>alpha =</t>
  </si>
  <si>
    <t>p value 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</si>
</sst>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2"/>
      <color theme="1"/>
      <name val="Times New Roman"/>
      <family val="1"/>
    </font>
    <font>
      <vertAlign val="subscript"/>
      <sz val="12"/>
      <color theme="1"/>
      <name val="Times New Roman"/>
      <family val="1"/>
    </font>
    <font>
      <vertAlign val="superscript"/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theme="4" tint="0.79998168889431442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/>
    <xf numFmtId="0" fontId="1" fillId="3" borderId="1" xfId="0" applyFont="1" applyFill="1" applyBorder="1"/>
    <xf numFmtId="0" fontId="0" fillId="4" borderId="0" xfId="0" applyFill="1"/>
    <xf numFmtId="0" fontId="4" fillId="0" borderId="0" xfId="0" applyFont="1" applyAlignment="1">
      <alignment horizontal="center" vertical="center" wrapText="1"/>
    </xf>
    <xf numFmtId="0" fontId="4" fillId="0" borderId="0" xfId="0" applyFont="1"/>
    <xf numFmtId="0" fontId="4" fillId="4" borderId="0" xfId="0" applyFont="1" applyFill="1"/>
    <xf numFmtId="0" fontId="4" fillId="0" borderId="2" xfId="0" applyFont="1" applyBorder="1"/>
    <xf numFmtId="2" fontId="4" fillId="0" borderId="0" xfId="0" applyNumberFormat="1" applyFont="1"/>
    <xf numFmtId="0" fontId="0" fillId="0" borderId="0" xfId="0" applyAlignment="1">
      <alignment horizontal="right"/>
    </xf>
    <xf numFmtId="0" fontId="4" fillId="0" borderId="0" xfId="0" applyFont="1" applyAlignment="1">
      <alignment horizontal="right"/>
    </xf>
    <xf numFmtId="4" fontId="4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D74E6D-D07D-4817-A783-CCA88E92B05A}">
  <dimension ref="A6:BH28"/>
  <sheetViews>
    <sheetView workbookViewId="0">
      <selection activeCell="E28" sqref="E28"/>
    </sheetView>
  </sheetViews>
  <sheetFormatPr defaultRowHeight="15" x14ac:dyDescent="0.25"/>
  <cols>
    <col min="1" max="1" width="14.5703125" bestFit="1" customWidth="1"/>
  </cols>
  <sheetData>
    <row r="6" spans="1:60" x14ac:dyDescent="0.25">
      <c r="A6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6</v>
      </c>
      <c r="H6" s="1" t="s">
        <v>7</v>
      </c>
      <c r="I6" s="1" t="s">
        <v>8</v>
      </c>
      <c r="J6" s="1" t="s">
        <v>9</v>
      </c>
      <c r="K6" s="1" t="s">
        <v>10</v>
      </c>
      <c r="L6" s="1" t="s">
        <v>11</v>
      </c>
      <c r="M6" s="1" t="s">
        <v>12</v>
      </c>
      <c r="N6" s="1" t="s">
        <v>13</v>
      </c>
      <c r="O6" s="1" t="s">
        <v>14</v>
      </c>
      <c r="P6" s="1" t="s">
        <v>15</v>
      </c>
      <c r="Q6" s="1" t="s">
        <v>16</v>
      </c>
      <c r="R6" s="1" t="s">
        <v>17</v>
      </c>
      <c r="S6" s="1" t="s">
        <v>18</v>
      </c>
      <c r="T6" s="1" t="s">
        <v>19</v>
      </c>
      <c r="U6" s="1" t="s">
        <v>20</v>
      </c>
      <c r="V6" s="1" t="s">
        <v>21</v>
      </c>
      <c r="W6" s="1" t="s">
        <v>22</v>
      </c>
      <c r="X6" s="1" t="s">
        <v>23</v>
      </c>
      <c r="Y6" s="1" t="s">
        <v>24</v>
      </c>
      <c r="Z6" s="1" t="s">
        <v>25</v>
      </c>
      <c r="AA6" s="1" t="s">
        <v>26</v>
      </c>
      <c r="AB6" s="1" t="s">
        <v>27</v>
      </c>
      <c r="AC6" s="1" t="s">
        <v>28</v>
      </c>
      <c r="AD6" s="1" t="s">
        <v>29</v>
      </c>
      <c r="AE6" s="1" t="s">
        <v>30</v>
      </c>
      <c r="AF6" s="1" t="s">
        <v>31</v>
      </c>
      <c r="AG6" s="1" t="s">
        <v>32</v>
      </c>
      <c r="AH6" s="1" t="s">
        <v>33</v>
      </c>
      <c r="AI6" s="1" t="s">
        <v>34</v>
      </c>
      <c r="AJ6" s="1" t="s">
        <v>35</v>
      </c>
      <c r="AK6" s="1" t="s">
        <v>36</v>
      </c>
      <c r="AL6" s="1" t="s">
        <v>37</v>
      </c>
      <c r="AM6" s="1" t="s">
        <v>38</v>
      </c>
      <c r="AN6" s="2" t="s">
        <v>39</v>
      </c>
      <c r="AO6" s="1" t="s">
        <v>40</v>
      </c>
      <c r="AP6" s="1" t="s">
        <v>41</v>
      </c>
      <c r="AQ6" s="1" t="s">
        <v>42</v>
      </c>
      <c r="AR6" s="1" t="s">
        <v>43</v>
      </c>
      <c r="AS6" s="1" t="s">
        <v>44</v>
      </c>
      <c r="AT6" s="1" t="s">
        <v>45</v>
      </c>
      <c r="AU6" s="1" t="s">
        <v>46</v>
      </c>
      <c r="AV6" s="1" t="s">
        <v>47</v>
      </c>
      <c r="AW6" s="1" t="s">
        <v>48</v>
      </c>
      <c r="AX6" s="1" t="s">
        <v>49</v>
      </c>
      <c r="AY6" s="1" t="s">
        <v>50</v>
      </c>
      <c r="AZ6" s="1" t="s">
        <v>51</v>
      </c>
      <c r="BA6" s="1" t="s">
        <v>52</v>
      </c>
      <c r="BB6" s="1" t="s">
        <v>53</v>
      </c>
      <c r="BC6" s="1" t="s">
        <v>54</v>
      </c>
      <c r="BD6" s="1" t="s">
        <v>55</v>
      </c>
      <c r="BE6" s="1" t="s">
        <v>56</v>
      </c>
      <c r="BF6" s="1" t="s">
        <v>57</v>
      </c>
      <c r="BG6" s="1" t="s">
        <v>58</v>
      </c>
    </row>
    <row r="7" spans="1:60" x14ac:dyDescent="0.25">
      <c r="A7" t="s">
        <v>59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1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8</v>
      </c>
      <c r="AA7">
        <v>0</v>
      </c>
      <c r="AB7">
        <v>0</v>
      </c>
      <c r="AC7">
        <v>0</v>
      </c>
      <c r="AD7">
        <v>0</v>
      </c>
      <c r="AE7">
        <v>0</v>
      </c>
      <c r="AF7">
        <v>0</v>
      </c>
      <c r="AG7">
        <v>0</v>
      </c>
      <c r="AH7">
        <v>0</v>
      </c>
      <c r="AI7">
        <v>0</v>
      </c>
      <c r="AJ7">
        <v>0</v>
      </c>
      <c r="AK7">
        <v>0</v>
      </c>
      <c r="AL7">
        <v>0</v>
      </c>
      <c r="AM7">
        <v>0</v>
      </c>
      <c r="AN7" s="3">
        <v>0</v>
      </c>
      <c r="AO7">
        <v>0</v>
      </c>
      <c r="AP7">
        <v>0</v>
      </c>
      <c r="AQ7">
        <v>0</v>
      </c>
      <c r="AR7">
        <v>0</v>
      </c>
      <c r="AS7">
        <v>0</v>
      </c>
      <c r="AT7">
        <v>0</v>
      </c>
      <c r="AU7">
        <v>0</v>
      </c>
      <c r="AV7">
        <v>1</v>
      </c>
      <c r="AW7">
        <v>0</v>
      </c>
      <c r="AX7">
        <v>0</v>
      </c>
      <c r="AY7">
        <v>0</v>
      </c>
      <c r="AZ7">
        <v>1</v>
      </c>
      <c r="BA7">
        <v>1</v>
      </c>
      <c r="BB7">
        <v>0</v>
      </c>
      <c r="BC7">
        <v>0</v>
      </c>
      <c r="BD7">
        <v>0</v>
      </c>
      <c r="BE7">
        <v>0</v>
      </c>
      <c r="BF7">
        <v>0</v>
      </c>
      <c r="BG7">
        <v>0</v>
      </c>
      <c r="BH7">
        <f>SUM(B7:BG7)</f>
        <v>12</v>
      </c>
    </row>
    <row r="8" spans="1:60" x14ac:dyDescent="0.25">
      <c r="A8" t="s">
        <v>60</v>
      </c>
      <c r="B8">
        <v>0</v>
      </c>
      <c r="C8">
        <v>0</v>
      </c>
      <c r="D8">
        <v>1</v>
      </c>
      <c r="E8">
        <v>1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5</v>
      </c>
      <c r="AA8">
        <v>0</v>
      </c>
      <c r="AB8">
        <v>0</v>
      </c>
      <c r="AC8">
        <v>0</v>
      </c>
      <c r="AD8">
        <v>2</v>
      </c>
      <c r="AE8">
        <v>1</v>
      </c>
      <c r="AF8">
        <v>0</v>
      </c>
      <c r="AG8">
        <v>0</v>
      </c>
      <c r="AH8">
        <v>0</v>
      </c>
      <c r="AI8">
        <v>0</v>
      </c>
      <c r="AJ8">
        <v>0</v>
      </c>
      <c r="AK8">
        <v>0</v>
      </c>
      <c r="AL8">
        <v>0</v>
      </c>
      <c r="AM8">
        <v>0</v>
      </c>
      <c r="AN8" s="3">
        <v>0</v>
      </c>
      <c r="AO8">
        <v>0</v>
      </c>
      <c r="AP8">
        <v>0</v>
      </c>
      <c r="AQ8">
        <v>0</v>
      </c>
      <c r="AR8">
        <v>0</v>
      </c>
      <c r="AS8">
        <v>0</v>
      </c>
      <c r="AT8">
        <v>0</v>
      </c>
      <c r="AU8">
        <v>0</v>
      </c>
      <c r="AV8">
        <v>0</v>
      </c>
      <c r="AW8">
        <v>1</v>
      </c>
      <c r="AX8">
        <v>0</v>
      </c>
      <c r="AY8">
        <v>0</v>
      </c>
      <c r="AZ8">
        <v>0</v>
      </c>
      <c r="BA8">
        <v>0</v>
      </c>
      <c r="BB8">
        <v>0</v>
      </c>
      <c r="BC8">
        <v>0</v>
      </c>
      <c r="BD8">
        <v>1</v>
      </c>
      <c r="BE8">
        <v>0</v>
      </c>
      <c r="BF8">
        <v>0</v>
      </c>
      <c r="BG8">
        <v>0</v>
      </c>
      <c r="BH8">
        <f t="shared" ref="BH8:BH27" si="0">SUM(B8:BG8)</f>
        <v>12</v>
      </c>
    </row>
    <row r="9" spans="1:60" x14ac:dyDescent="0.25">
      <c r="A9" t="s">
        <v>61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1</v>
      </c>
      <c r="Y9">
        <v>0</v>
      </c>
      <c r="Z9">
        <v>3</v>
      </c>
      <c r="AA9">
        <v>0</v>
      </c>
      <c r="AB9">
        <v>0</v>
      </c>
      <c r="AC9">
        <v>2</v>
      </c>
      <c r="AD9">
        <v>1</v>
      </c>
      <c r="AE9">
        <v>0</v>
      </c>
      <c r="AF9">
        <v>0</v>
      </c>
      <c r="AG9">
        <v>0</v>
      </c>
      <c r="AH9">
        <v>0</v>
      </c>
      <c r="AI9">
        <v>0</v>
      </c>
      <c r="AJ9">
        <v>0</v>
      </c>
      <c r="AK9">
        <v>0</v>
      </c>
      <c r="AL9">
        <v>0</v>
      </c>
      <c r="AM9">
        <v>0</v>
      </c>
      <c r="AN9" s="3">
        <v>1</v>
      </c>
      <c r="AO9">
        <v>0</v>
      </c>
      <c r="AP9">
        <v>0</v>
      </c>
      <c r="AQ9">
        <v>0</v>
      </c>
      <c r="AR9">
        <v>0</v>
      </c>
      <c r="AS9">
        <v>0</v>
      </c>
      <c r="AT9">
        <v>0</v>
      </c>
      <c r="AU9">
        <v>0</v>
      </c>
      <c r="AV9">
        <v>0</v>
      </c>
      <c r="AW9">
        <v>0</v>
      </c>
      <c r="AX9">
        <v>0</v>
      </c>
      <c r="AY9">
        <v>0</v>
      </c>
      <c r="AZ9">
        <v>0</v>
      </c>
      <c r="BA9">
        <v>0</v>
      </c>
      <c r="BB9">
        <v>0</v>
      </c>
      <c r="BC9">
        <v>0</v>
      </c>
      <c r="BD9">
        <v>2</v>
      </c>
      <c r="BE9">
        <v>0</v>
      </c>
      <c r="BF9">
        <v>0</v>
      </c>
      <c r="BG9">
        <v>0</v>
      </c>
      <c r="BH9">
        <f t="shared" si="0"/>
        <v>10</v>
      </c>
    </row>
    <row r="10" spans="1:60" x14ac:dyDescent="0.25">
      <c r="A10" t="s">
        <v>62</v>
      </c>
      <c r="B10">
        <v>0</v>
      </c>
      <c r="C10">
        <v>0</v>
      </c>
      <c r="D10">
        <v>0</v>
      </c>
      <c r="E10">
        <v>1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2</v>
      </c>
      <c r="N10">
        <v>0</v>
      </c>
      <c r="O10">
        <v>1</v>
      </c>
      <c r="P10">
        <v>0</v>
      </c>
      <c r="Q10">
        <v>0</v>
      </c>
      <c r="R10">
        <v>1</v>
      </c>
      <c r="S10">
        <v>0</v>
      </c>
      <c r="T10">
        <v>1</v>
      </c>
      <c r="U10">
        <v>0</v>
      </c>
      <c r="V10">
        <v>0</v>
      </c>
      <c r="W10">
        <v>0</v>
      </c>
      <c r="X10">
        <v>0</v>
      </c>
      <c r="Y10">
        <v>0</v>
      </c>
      <c r="Z10">
        <v>7</v>
      </c>
      <c r="AA10">
        <v>0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1</v>
      </c>
      <c r="AH10">
        <v>0</v>
      </c>
      <c r="AI10">
        <v>0</v>
      </c>
      <c r="AJ10">
        <v>0</v>
      </c>
      <c r="AK10">
        <v>1</v>
      </c>
      <c r="AL10">
        <v>0</v>
      </c>
      <c r="AM10">
        <v>0</v>
      </c>
      <c r="AN10" s="3">
        <v>0</v>
      </c>
      <c r="AO10">
        <v>0</v>
      </c>
      <c r="AP10">
        <v>0</v>
      </c>
      <c r="AQ10">
        <v>0</v>
      </c>
      <c r="AR10">
        <v>0</v>
      </c>
      <c r="AS10">
        <v>0</v>
      </c>
      <c r="AT10">
        <v>0</v>
      </c>
      <c r="AU10">
        <v>0</v>
      </c>
      <c r="AV10">
        <v>0</v>
      </c>
      <c r="AW10">
        <v>0</v>
      </c>
      <c r="AX10">
        <v>0</v>
      </c>
      <c r="AY10">
        <v>0</v>
      </c>
      <c r="AZ10">
        <v>1</v>
      </c>
      <c r="BA10">
        <v>2</v>
      </c>
      <c r="BB10">
        <v>0</v>
      </c>
      <c r="BC10">
        <v>0</v>
      </c>
      <c r="BD10">
        <v>0</v>
      </c>
      <c r="BE10">
        <v>0</v>
      </c>
      <c r="BF10">
        <v>1</v>
      </c>
      <c r="BG10">
        <v>0</v>
      </c>
      <c r="BH10">
        <f t="shared" si="0"/>
        <v>19</v>
      </c>
    </row>
    <row r="11" spans="1:60" x14ac:dyDescent="0.25">
      <c r="A11" t="s">
        <v>63</v>
      </c>
      <c r="B11">
        <v>0</v>
      </c>
      <c r="C11">
        <v>0</v>
      </c>
      <c r="D11">
        <v>0</v>
      </c>
      <c r="E11">
        <v>1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1</v>
      </c>
      <c r="Q11">
        <v>0</v>
      </c>
      <c r="R11">
        <v>1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1</v>
      </c>
      <c r="AA11">
        <v>0</v>
      </c>
      <c r="AB11">
        <v>0</v>
      </c>
      <c r="AC11">
        <v>0</v>
      </c>
      <c r="AD11">
        <v>1</v>
      </c>
      <c r="AE11">
        <v>1</v>
      </c>
      <c r="AF11">
        <v>0</v>
      </c>
      <c r="AG11">
        <v>0</v>
      </c>
      <c r="AH11">
        <v>0</v>
      </c>
      <c r="AI11">
        <v>0</v>
      </c>
      <c r="AJ11">
        <v>0</v>
      </c>
      <c r="AK11">
        <v>0</v>
      </c>
      <c r="AL11">
        <v>0</v>
      </c>
      <c r="AM11">
        <v>0</v>
      </c>
      <c r="AN11" s="3">
        <v>0</v>
      </c>
      <c r="AO11">
        <v>0</v>
      </c>
      <c r="AP11">
        <v>0</v>
      </c>
      <c r="AQ11">
        <v>0</v>
      </c>
      <c r="AR11">
        <v>0</v>
      </c>
      <c r="AS11">
        <v>0</v>
      </c>
      <c r="AT11">
        <v>0</v>
      </c>
      <c r="AU11">
        <v>0</v>
      </c>
      <c r="AV11">
        <v>0</v>
      </c>
      <c r="AW11">
        <v>0</v>
      </c>
      <c r="AX11">
        <v>0</v>
      </c>
      <c r="AY11">
        <v>0</v>
      </c>
      <c r="AZ11">
        <v>0</v>
      </c>
      <c r="BA11">
        <v>0</v>
      </c>
      <c r="BB11">
        <v>0</v>
      </c>
      <c r="BC11">
        <v>0</v>
      </c>
      <c r="BD11">
        <v>0</v>
      </c>
      <c r="BE11">
        <v>1</v>
      </c>
      <c r="BF11">
        <v>0</v>
      </c>
      <c r="BG11">
        <v>0</v>
      </c>
      <c r="BH11">
        <f t="shared" si="0"/>
        <v>7</v>
      </c>
    </row>
    <row r="12" spans="1:60" x14ac:dyDescent="0.25">
      <c r="A12" t="s">
        <v>64</v>
      </c>
      <c r="B12">
        <v>0</v>
      </c>
      <c r="C12">
        <v>0</v>
      </c>
      <c r="D12">
        <v>0</v>
      </c>
      <c r="E12">
        <v>0</v>
      </c>
      <c r="F12">
        <v>0</v>
      </c>
      <c r="G12">
        <v>1</v>
      </c>
      <c r="H12">
        <v>0</v>
      </c>
      <c r="I12">
        <v>0</v>
      </c>
      <c r="J12">
        <v>1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1</v>
      </c>
      <c r="AA12">
        <v>0</v>
      </c>
      <c r="AB12">
        <v>0</v>
      </c>
      <c r="AC12">
        <v>0</v>
      </c>
      <c r="AD12">
        <v>0</v>
      </c>
      <c r="AE12">
        <v>0</v>
      </c>
      <c r="AF12">
        <v>1</v>
      </c>
      <c r="AH12">
        <v>1</v>
      </c>
      <c r="AI12">
        <v>0</v>
      </c>
      <c r="AJ12">
        <v>0</v>
      </c>
      <c r="AK12">
        <v>0</v>
      </c>
      <c r="AL12">
        <v>0</v>
      </c>
      <c r="AM12">
        <v>0</v>
      </c>
      <c r="AN12" s="3">
        <v>0</v>
      </c>
      <c r="AO12">
        <v>0</v>
      </c>
      <c r="AP12">
        <v>0</v>
      </c>
      <c r="AQ12">
        <v>0</v>
      </c>
      <c r="AR12">
        <v>0</v>
      </c>
      <c r="AS12">
        <v>0</v>
      </c>
      <c r="AT12">
        <v>0</v>
      </c>
      <c r="AU12">
        <v>0</v>
      </c>
      <c r="AV12">
        <v>0</v>
      </c>
      <c r="AW12">
        <v>0</v>
      </c>
      <c r="AX12">
        <v>0</v>
      </c>
      <c r="AY12">
        <v>0</v>
      </c>
      <c r="AZ12">
        <v>0</v>
      </c>
      <c r="BA12">
        <v>0</v>
      </c>
      <c r="BB12">
        <v>0</v>
      </c>
      <c r="BC12">
        <v>0</v>
      </c>
      <c r="BD12">
        <v>0</v>
      </c>
      <c r="BE12">
        <v>0</v>
      </c>
      <c r="BF12">
        <v>0</v>
      </c>
      <c r="BG12">
        <v>0</v>
      </c>
      <c r="BH12">
        <f t="shared" si="0"/>
        <v>5</v>
      </c>
    </row>
    <row r="13" spans="1:60" x14ac:dyDescent="0.25">
      <c r="A13" t="s">
        <v>65</v>
      </c>
      <c r="B13">
        <v>0</v>
      </c>
      <c r="C13">
        <v>0</v>
      </c>
      <c r="D13">
        <v>0</v>
      </c>
      <c r="E13">
        <v>1</v>
      </c>
      <c r="F13">
        <v>0</v>
      </c>
      <c r="G13">
        <v>1</v>
      </c>
      <c r="H13">
        <v>0</v>
      </c>
      <c r="I13">
        <v>0</v>
      </c>
      <c r="J13">
        <v>0</v>
      </c>
      <c r="K13">
        <v>0</v>
      </c>
      <c r="L13">
        <v>1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1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3</v>
      </c>
      <c r="AA13">
        <v>0</v>
      </c>
      <c r="AB13">
        <v>0</v>
      </c>
      <c r="AC13">
        <v>0</v>
      </c>
      <c r="AD13">
        <v>0</v>
      </c>
      <c r="AE13">
        <v>0</v>
      </c>
      <c r="AF13">
        <v>0</v>
      </c>
      <c r="AG13">
        <v>0</v>
      </c>
      <c r="AH13">
        <v>2</v>
      </c>
      <c r="AI13">
        <v>0</v>
      </c>
      <c r="AJ13">
        <v>0</v>
      </c>
      <c r="AK13">
        <v>0</v>
      </c>
      <c r="AL13">
        <v>0</v>
      </c>
      <c r="AM13">
        <v>0</v>
      </c>
      <c r="AN13" s="3">
        <v>0</v>
      </c>
      <c r="AO13">
        <v>0</v>
      </c>
      <c r="AP13">
        <v>0</v>
      </c>
      <c r="AQ13">
        <v>0</v>
      </c>
      <c r="AR13">
        <v>0</v>
      </c>
      <c r="AS13">
        <v>1</v>
      </c>
      <c r="AT13">
        <v>0</v>
      </c>
      <c r="AU13">
        <v>1</v>
      </c>
      <c r="AV13">
        <v>0</v>
      </c>
      <c r="AW13">
        <v>0</v>
      </c>
      <c r="AX13">
        <v>0</v>
      </c>
      <c r="AY13">
        <v>0</v>
      </c>
      <c r="AZ13">
        <v>0</v>
      </c>
      <c r="BA13">
        <v>0</v>
      </c>
      <c r="BB13">
        <v>0</v>
      </c>
      <c r="BC13">
        <v>0</v>
      </c>
      <c r="BD13">
        <v>0</v>
      </c>
      <c r="BE13">
        <v>0</v>
      </c>
      <c r="BF13">
        <v>0</v>
      </c>
      <c r="BG13">
        <v>0</v>
      </c>
      <c r="BH13">
        <f t="shared" si="0"/>
        <v>11</v>
      </c>
    </row>
    <row r="14" spans="1:60" x14ac:dyDescent="0.25">
      <c r="A14" t="s">
        <v>66</v>
      </c>
      <c r="B14">
        <v>1</v>
      </c>
      <c r="C14">
        <v>0</v>
      </c>
      <c r="D14">
        <v>0</v>
      </c>
      <c r="E14">
        <v>2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1</v>
      </c>
      <c r="W14">
        <v>0</v>
      </c>
      <c r="X14">
        <v>0</v>
      </c>
      <c r="Y14">
        <v>0</v>
      </c>
      <c r="Z14">
        <v>10</v>
      </c>
      <c r="AA14">
        <v>0</v>
      </c>
      <c r="AB14">
        <v>0</v>
      </c>
      <c r="AC14">
        <v>0</v>
      </c>
      <c r="AD14">
        <v>0</v>
      </c>
      <c r="AE14">
        <v>0</v>
      </c>
      <c r="AF14">
        <v>0</v>
      </c>
      <c r="AG14">
        <v>0</v>
      </c>
      <c r="AH14">
        <v>0</v>
      </c>
      <c r="AI14">
        <v>0</v>
      </c>
      <c r="AJ14">
        <v>0</v>
      </c>
      <c r="AK14">
        <v>0</v>
      </c>
      <c r="AL14">
        <v>0</v>
      </c>
      <c r="AM14">
        <v>0</v>
      </c>
      <c r="AN14" s="3">
        <v>1</v>
      </c>
      <c r="AO14">
        <v>0</v>
      </c>
      <c r="AP14">
        <v>0</v>
      </c>
      <c r="AQ14">
        <v>1</v>
      </c>
      <c r="AR14">
        <v>1</v>
      </c>
      <c r="AS14">
        <v>0</v>
      </c>
      <c r="AT14">
        <v>1</v>
      </c>
      <c r="AU14">
        <v>0</v>
      </c>
      <c r="AV14">
        <v>0</v>
      </c>
      <c r="AW14">
        <v>0</v>
      </c>
      <c r="AX14">
        <v>0</v>
      </c>
      <c r="AY14">
        <v>0</v>
      </c>
      <c r="AZ14">
        <v>0</v>
      </c>
      <c r="BA14">
        <v>0</v>
      </c>
      <c r="BB14">
        <v>0</v>
      </c>
      <c r="BC14">
        <v>0</v>
      </c>
      <c r="BD14">
        <v>0</v>
      </c>
      <c r="BE14">
        <v>0</v>
      </c>
      <c r="BF14">
        <v>0</v>
      </c>
      <c r="BG14">
        <v>0</v>
      </c>
      <c r="BH14">
        <f t="shared" si="0"/>
        <v>18</v>
      </c>
    </row>
    <row r="15" spans="1:60" x14ac:dyDescent="0.25">
      <c r="A15" t="s">
        <v>67</v>
      </c>
      <c r="B15">
        <v>0</v>
      </c>
      <c r="C15">
        <v>0</v>
      </c>
      <c r="D15">
        <v>0</v>
      </c>
      <c r="E15">
        <v>1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1</v>
      </c>
      <c r="S15">
        <v>2</v>
      </c>
      <c r="T15">
        <v>1</v>
      </c>
      <c r="U15">
        <v>0</v>
      </c>
      <c r="V15">
        <v>0</v>
      </c>
      <c r="W15">
        <v>0</v>
      </c>
      <c r="X15">
        <v>0</v>
      </c>
      <c r="Y15">
        <v>0</v>
      </c>
      <c r="Z15">
        <v>3</v>
      </c>
      <c r="AA15">
        <v>1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0</v>
      </c>
      <c r="AJ15">
        <v>0</v>
      </c>
      <c r="AK15">
        <v>0</v>
      </c>
      <c r="AL15">
        <v>0</v>
      </c>
      <c r="AM15">
        <v>0</v>
      </c>
      <c r="AN15" s="3">
        <v>1</v>
      </c>
      <c r="AO15">
        <v>0</v>
      </c>
      <c r="AP15">
        <v>0</v>
      </c>
      <c r="AQ15">
        <v>0</v>
      </c>
      <c r="AR15">
        <v>0</v>
      </c>
      <c r="AS15">
        <v>1</v>
      </c>
      <c r="AT15">
        <v>0</v>
      </c>
      <c r="AU15">
        <v>0</v>
      </c>
      <c r="AV15">
        <v>0</v>
      </c>
      <c r="AW15">
        <v>0</v>
      </c>
      <c r="AX15">
        <v>1</v>
      </c>
      <c r="AY15">
        <v>1</v>
      </c>
      <c r="AZ15">
        <v>0</v>
      </c>
      <c r="BA15">
        <v>0</v>
      </c>
      <c r="BB15">
        <v>0</v>
      </c>
      <c r="BC15">
        <v>0</v>
      </c>
      <c r="BD15">
        <v>0</v>
      </c>
      <c r="BE15">
        <v>0</v>
      </c>
      <c r="BF15">
        <v>0</v>
      </c>
      <c r="BG15">
        <v>0</v>
      </c>
      <c r="BH15">
        <f t="shared" si="0"/>
        <v>13</v>
      </c>
    </row>
    <row r="16" spans="1:60" x14ac:dyDescent="0.25">
      <c r="A16" t="s">
        <v>68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1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4</v>
      </c>
      <c r="AA16">
        <v>0</v>
      </c>
      <c r="AB16">
        <v>0</v>
      </c>
      <c r="AC16">
        <v>0</v>
      </c>
      <c r="AD16">
        <v>0</v>
      </c>
      <c r="AE16">
        <v>0</v>
      </c>
      <c r="AF16">
        <v>0</v>
      </c>
      <c r="AG16">
        <v>0</v>
      </c>
      <c r="AH16">
        <v>1</v>
      </c>
      <c r="AI16">
        <v>0</v>
      </c>
      <c r="AJ16">
        <v>0</v>
      </c>
      <c r="AK16">
        <v>0</v>
      </c>
      <c r="AL16">
        <v>0</v>
      </c>
      <c r="AM16">
        <v>0</v>
      </c>
      <c r="AN16" s="3">
        <v>0</v>
      </c>
      <c r="AO16">
        <v>0</v>
      </c>
      <c r="AP16">
        <v>0</v>
      </c>
      <c r="AQ16">
        <v>0</v>
      </c>
      <c r="AR16">
        <v>0</v>
      </c>
      <c r="AS16">
        <v>0</v>
      </c>
      <c r="AT16">
        <v>0</v>
      </c>
      <c r="AU16">
        <v>0</v>
      </c>
      <c r="AV16">
        <v>0</v>
      </c>
      <c r="AW16">
        <v>0</v>
      </c>
      <c r="AX16">
        <v>0</v>
      </c>
      <c r="AY16">
        <v>0</v>
      </c>
      <c r="AZ16">
        <v>0</v>
      </c>
      <c r="BA16">
        <v>1</v>
      </c>
      <c r="BB16">
        <v>0</v>
      </c>
      <c r="BC16">
        <v>0</v>
      </c>
      <c r="BD16">
        <v>0</v>
      </c>
      <c r="BE16">
        <v>0</v>
      </c>
      <c r="BF16">
        <v>0</v>
      </c>
      <c r="BG16">
        <v>0</v>
      </c>
      <c r="BH16">
        <f t="shared" si="0"/>
        <v>7</v>
      </c>
    </row>
    <row r="17" spans="1:60" x14ac:dyDescent="0.25">
      <c r="A17" t="s">
        <v>69</v>
      </c>
      <c r="B17">
        <v>0</v>
      </c>
      <c r="C17">
        <v>0</v>
      </c>
      <c r="D17">
        <v>0</v>
      </c>
      <c r="E17">
        <v>0</v>
      </c>
      <c r="F17">
        <v>0</v>
      </c>
      <c r="G17">
        <v>2</v>
      </c>
      <c r="H17">
        <v>0</v>
      </c>
      <c r="I17">
        <v>0</v>
      </c>
      <c r="J17">
        <v>0</v>
      </c>
      <c r="K17">
        <v>0</v>
      </c>
      <c r="L17">
        <v>0</v>
      </c>
      <c r="M17">
        <v>1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1</v>
      </c>
      <c r="V17">
        <v>0</v>
      </c>
      <c r="W17">
        <v>0</v>
      </c>
      <c r="X17">
        <v>0</v>
      </c>
      <c r="Y17">
        <v>1</v>
      </c>
      <c r="Z17">
        <v>5</v>
      </c>
      <c r="AA17">
        <v>0</v>
      </c>
      <c r="AB17">
        <v>0</v>
      </c>
      <c r="AC17">
        <v>0</v>
      </c>
      <c r="AD17">
        <v>0</v>
      </c>
      <c r="AE17">
        <v>0</v>
      </c>
      <c r="AF17">
        <v>0</v>
      </c>
      <c r="AG17">
        <v>0</v>
      </c>
      <c r="AH17">
        <v>0</v>
      </c>
      <c r="AI17">
        <v>0</v>
      </c>
      <c r="AJ17">
        <v>0</v>
      </c>
      <c r="AK17">
        <v>2</v>
      </c>
      <c r="AL17">
        <v>0</v>
      </c>
      <c r="AM17">
        <v>0</v>
      </c>
      <c r="AN17" s="3">
        <v>1</v>
      </c>
      <c r="AO17">
        <v>0</v>
      </c>
      <c r="AP17">
        <v>0</v>
      </c>
      <c r="AQ17">
        <v>0</v>
      </c>
      <c r="AR17">
        <v>0</v>
      </c>
      <c r="AS17">
        <v>1</v>
      </c>
      <c r="AT17">
        <v>1</v>
      </c>
      <c r="AU17">
        <v>0</v>
      </c>
      <c r="AV17">
        <v>0</v>
      </c>
      <c r="AW17">
        <v>0</v>
      </c>
      <c r="AX17">
        <v>0</v>
      </c>
      <c r="AY17">
        <v>0</v>
      </c>
      <c r="AZ17">
        <v>0</v>
      </c>
      <c r="BA17">
        <v>0</v>
      </c>
      <c r="BB17">
        <v>0</v>
      </c>
      <c r="BC17">
        <v>0</v>
      </c>
      <c r="BD17">
        <v>0</v>
      </c>
      <c r="BE17">
        <v>0</v>
      </c>
      <c r="BF17">
        <v>0</v>
      </c>
      <c r="BG17">
        <v>0</v>
      </c>
      <c r="BH17">
        <f t="shared" si="0"/>
        <v>15</v>
      </c>
    </row>
    <row r="18" spans="1:60" x14ac:dyDescent="0.25">
      <c r="A18" t="s">
        <v>70</v>
      </c>
      <c r="B18">
        <v>0</v>
      </c>
      <c r="C18">
        <v>0</v>
      </c>
      <c r="D18">
        <v>0</v>
      </c>
      <c r="E18">
        <v>1</v>
      </c>
      <c r="F18">
        <v>0</v>
      </c>
      <c r="G18">
        <v>1</v>
      </c>
      <c r="H18">
        <v>0</v>
      </c>
      <c r="I18">
        <v>1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1</v>
      </c>
      <c r="R18">
        <v>0</v>
      </c>
      <c r="S18">
        <v>1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11</v>
      </c>
      <c r="AA18">
        <v>0</v>
      </c>
      <c r="AB18">
        <v>0</v>
      </c>
      <c r="AC18">
        <v>0</v>
      </c>
      <c r="AD18">
        <v>1</v>
      </c>
      <c r="AE18">
        <v>0</v>
      </c>
      <c r="AF18">
        <v>0</v>
      </c>
      <c r="AG18">
        <v>0</v>
      </c>
      <c r="AH18">
        <v>0</v>
      </c>
      <c r="AI18">
        <v>0</v>
      </c>
      <c r="AJ18">
        <v>0</v>
      </c>
      <c r="AK18">
        <v>0</v>
      </c>
      <c r="AL18">
        <v>1</v>
      </c>
      <c r="AM18">
        <v>0</v>
      </c>
      <c r="AN18" s="3">
        <v>1</v>
      </c>
      <c r="AO18">
        <v>0</v>
      </c>
      <c r="AP18">
        <v>0</v>
      </c>
      <c r="AQ18">
        <v>0</v>
      </c>
      <c r="AR18">
        <v>0</v>
      </c>
      <c r="AS18">
        <v>0</v>
      </c>
      <c r="AT18">
        <v>0</v>
      </c>
      <c r="AU18">
        <v>0</v>
      </c>
      <c r="AV18">
        <v>1</v>
      </c>
      <c r="AW18">
        <v>0</v>
      </c>
      <c r="AX18">
        <v>0</v>
      </c>
      <c r="AY18">
        <v>0</v>
      </c>
      <c r="AZ18">
        <v>0</v>
      </c>
      <c r="BA18">
        <v>0</v>
      </c>
      <c r="BB18">
        <v>0</v>
      </c>
      <c r="BC18">
        <v>0</v>
      </c>
      <c r="BD18">
        <v>0</v>
      </c>
      <c r="BE18">
        <v>0</v>
      </c>
      <c r="BF18">
        <v>0</v>
      </c>
      <c r="BG18">
        <v>0</v>
      </c>
      <c r="BH18">
        <f t="shared" si="0"/>
        <v>20</v>
      </c>
    </row>
    <row r="19" spans="1:60" x14ac:dyDescent="0.25">
      <c r="A19" t="s">
        <v>71</v>
      </c>
      <c r="B19">
        <v>0</v>
      </c>
      <c r="C19">
        <v>0</v>
      </c>
      <c r="D19">
        <v>0</v>
      </c>
      <c r="E19">
        <v>0</v>
      </c>
      <c r="F19">
        <v>1</v>
      </c>
      <c r="G19">
        <v>2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1</v>
      </c>
      <c r="P19">
        <v>1</v>
      </c>
      <c r="Q19">
        <v>0</v>
      </c>
      <c r="R19">
        <v>0</v>
      </c>
      <c r="S19">
        <v>2</v>
      </c>
      <c r="T19">
        <v>0</v>
      </c>
      <c r="U19">
        <v>1</v>
      </c>
      <c r="V19">
        <v>0</v>
      </c>
      <c r="W19">
        <v>0</v>
      </c>
      <c r="X19">
        <v>0</v>
      </c>
      <c r="Y19">
        <v>0</v>
      </c>
      <c r="Z19">
        <v>3</v>
      </c>
      <c r="AA19">
        <v>0</v>
      </c>
      <c r="AB19">
        <v>1</v>
      </c>
      <c r="AC19">
        <v>0</v>
      </c>
      <c r="AD19">
        <v>1</v>
      </c>
      <c r="AE19">
        <v>1</v>
      </c>
      <c r="AF19">
        <v>1</v>
      </c>
      <c r="AG19">
        <v>0</v>
      </c>
      <c r="AH19">
        <v>0</v>
      </c>
      <c r="AI19">
        <v>0</v>
      </c>
      <c r="AJ19">
        <v>1</v>
      </c>
      <c r="AK19">
        <v>1</v>
      </c>
      <c r="AL19">
        <v>0</v>
      </c>
      <c r="AM19">
        <v>0</v>
      </c>
      <c r="AN19" s="3">
        <v>0</v>
      </c>
      <c r="AO19">
        <v>0</v>
      </c>
      <c r="AP19">
        <v>0</v>
      </c>
      <c r="AQ19">
        <v>0</v>
      </c>
      <c r="AR19">
        <v>0</v>
      </c>
      <c r="AS19">
        <v>2</v>
      </c>
      <c r="AT19">
        <v>1</v>
      </c>
      <c r="AU19">
        <v>0</v>
      </c>
      <c r="AV19">
        <v>0</v>
      </c>
      <c r="AW19">
        <v>0</v>
      </c>
      <c r="AX19">
        <v>0</v>
      </c>
      <c r="AY19">
        <v>0</v>
      </c>
      <c r="AZ19">
        <v>0</v>
      </c>
      <c r="BA19">
        <v>1</v>
      </c>
      <c r="BB19">
        <v>0</v>
      </c>
      <c r="BC19">
        <v>0</v>
      </c>
      <c r="BD19">
        <v>0</v>
      </c>
      <c r="BE19">
        <v>0</v>
      </c>
      <c r="BF19">
        <v>0</v>
      </c>
      <c r="BG19">
        <v>0</v>
      </c>
      <c r="BH19">
        <f t="shared" si="0"/>
        <v>21</v>
      </c>
    </row>
    <row r="20" spans="1:60" x14ac:dyDescent="0.25">
      <c r="A20" t="s">
        <v>72</v>
      </c>
      <c r="B20">
        <v>0</v>
      </c>
      <c r="C20">
        <v>0</v>
      </c>
      <c r="D20">
        <v>0</v>
      </c>
      <c r="E20">
        <v>0</v>
      </c>
      <c r="F20">
        <v>0</v>
      </c>
      <c r="G20">
        <v>2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1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>
        <v>0</v>
      </c>
      <c r="AF20">
        <v>0</v>
      </c>
      <c r="AG20">
        <v>0</v>
      </c>
      <c r="AH20">
        <v>0</v>
      </c>
      <c r="AI20">
        <v>0</v>
      </c>
      <c r="AJ20">
        <v>0</v>
      </c>
      <c r="AK20">
        <v>0</v>
      </c>
      <c r="AL20">
        <v>0</v>
      </c>
      <c r="AM20">
        <v>1</v>
      </c>
      <c r="AN20" s="3">
        <v>0</v>
      </c>
      <c r="AO20">
        <v>0</v>
      </c>
      <c r="AP20">
        <v>0</v>
      </c>
      <c r="AQ20">
        <v>1</v>
      </c>
      <c r="AR20">
        <v>0</v>
      </c>
      <c r="AS20">
        <v>2</v>
      </c>
      <c r="AT20">
        <v>1</v>
      </c>
      <c r="AU20">
        <v>0</v>
      </c>
      <c r="AV20">
        <v>0</v>
      </c>
      <c r="AW20">
        <v>0</v>
      </c>
      <c r="AX20">
        <v>0</v>
      </c>
      <c r="AY20">
        <v>0</v>
      </c>
      <c r="AZ20">
        <v>0</v>
      </c>
      <c r="BA20">
        <v>0</v>
      </c>
      <c r="BB20">
        <v>0</v>
      </c>
      <c r="BC20">
        <v>0</v>
      </c>
      <c r="BD20">
        <v>0</v>
      </c>
      <c r="BE20">
        <v>0</v>
      </c>
      <c r="BF20">
        <v>0</v>
      </c>
      <c r="BG20">
        <v>0</v>
      </c>
      <c r="BH20">
        <f t="shared" si="0"/>
        <v>8</v>
      </c>
    </row>
    <row r="21" spans="1:60" x14ac:dyDescent="0.25">
      <c r="A21" t="s">
        <v>73</v>
      </c>
      <c r="B21">
        <v>0</v>
      </c>
      <c r="C21">
        <v>0</v>
      </c>
      <c r="D21">
        <v>0</v>
      </c>
      <c r="E21">
        <v>0</v>
      </c>
      <c r="F21">
        <v>0</v>
      </c>
      <c r="G21">
        <v>2</v>
      </c>
      <c r="H21">
        <v>0</v>
      </c>
      <c r="I21">
        <v>0</v>
      </c>
      <c r="J21">
        <v>0</v>
      </c>
      <c r="K21">
        <v>0</v>
      </c>
      <c r="L21">
        <v>1</v>
      </c>
      <c r="M21">
        <v>0</v>
      </c>
      <c r="N21">
        <v>0</v>
      </c>
      <c r="O21">
        <v>0</v>
      </c>
      <c r="P21">
        <v>1</v>
      </c>
      <c r="Q21">
        <v>0</v>
      </c>
      <c r="R21">
        <v>0</v>
      </c>
      <c r="S21">
        <v>1</v>
      </c>
      <c r="T21">
        <v>0</v>
      </c>
      <c r="U21">
        <v>0</v>
      </c>
      <c r="V21">
        <v>0</v>
      </c>
      <c r="W21">
        <v>1</v>
      </c>
      <c r="X21">
        <v>0</v>
      </c>
      <c r="Y21">
        <v>0</v>
      </c>
      <c r="Z21">
        <v>3</v>
      </c>
      <c r="AA21">
        <v>0</v>
      </c>
      <c r="AB21">
        <v>0</v>
      </c>
      <c r="AC21">
        <v>0</v>
      </c>
      <c r="AD21">
        <v>1</v>
      </c>
      <c r="AE21">
        <v>0</v>
      </c>
      <c r="AF21">
        <v>0</v>
      </c>
      <c r="AG21">
        <v>0</v>
      </c>
      <c r="AH21">
        <v>0</v>
      </c>
      <c r="AI21">
        <v>0</v>
      </c>
      <c r="AJ21">
        <v>0</v>
      </c>
      <c r="AK21">
        <v>1</v>
      </c>
      <c r="AL21">
        <v>0</v>
      </c>
      <c r="AM21">
        <v>0</v>
      </c>
      <c r="AN21" s="3">
        <v>0</v>
      </c>
      <c r="AO21">
        <v>0</v>
      </c>
      <c r="AP21">
        <v>0</v>
      </c>
      <c r="AQ21">
        <v>0</v>
      </c>
      <c r="AR21">
        <v>0</v>
      </c>
      <c r="AS21">
        <v>2</v>
      </c>
      <c r="AT21">
        <v>0</v>
      </c>
      <c r="AU21">
        <v>0</v>
      </c>
      <c r="AV21">
        <v>0</v>
      </c>
      <c r="AW21">
        <v>0</v>
      </c>
      <c r="AX21">
        <v>2</v>
      </c>
      <c r="AY21">
        <v>0</v>
      </c>
      <c r="AZ21">
        <v>2</v>
      </c>
      <c r="BA21">
        <v>0</v>
      </c>
      <c r="BB21">
        <v>0</v>
      </c>
      <c r="BC21">
        <v>0</v>
      </c>
      <c r="BD21">
        <v>0</v>
      </c>
      <c r="BE21">
        <v>0</v>
      </c>
      <c r="BF21">
        <v>0</v>
      </c>
      <c r="BG21">
        <v>0</v>
      </c>
      <c r="BH21">
        <f t="shared" si="0"/>
        <v>17</v>
      </c>
    </row>
    <row r="22" spans="1:60" x14ac:dyDescent="0.25">
      <c r="A22" t="s">
        <v>74</v>
      </c>
      <c r="B22">
        <v>0</v>
      </c>
      <c r="C22">
        <v>0</v>
      </c>
      <c r="D22">
        <v>0</v>
      </c>
      <c r="E22">
        <v>2</v>
      </c>
      <c r="F22">
        <v>0</v>
      </c>
      <c r="G22">
        <v>1</v>
      </c>
      <c r="H22">
        <v>0</v>
      </c>
      <c r="I22">
        <v>0</v>
      </c>
      <c r="J22">
        <v>1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1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4</v>
      </c>
      <c r="AA22">
        <v>0</v>
      </c>
      <c r="AB22">
        <v>0</v>
      </c>
      <c r="AC22">
        <v>0</v>
      </c>
      <c r="AD22">
        <v>1</v>
      </c>
      <c r="AE22">
        <v>0</v>
      </c>
      <c r="AF22">
        <v>0</v>
      </c>
      <c r="AG22">
        <v>0</v>
      </c>
      <c r="AH22">
        <v>0</v>
      </c>
      <c r="AI22">
        <v>0</v>
      </c>
      <c r="AJ22">
        <v>0</v>
      </c>
      <c r="AK22">
        <v>1</v>
      </c>
      <c r="AL22">
        <v>0</v>
      </c>
      <c r="AM22">
        <v>0</v>
      </c>
      <c r="AN22" s="3">
        <v>0</v>
      </c>
      <c r="AO22">
        <v>0</v>
      </c>
      <c r="AP22">
        <v>0</v>
      </c>
      <c r="AQ22">
        <v>0</v>
      </c>
      <c r="AR22">
        <v>0</v>
      </c>
      <c r="AS22">
        <v>1</v>
      </c>
      <c r="AT22">
        <v>0</v>
      </c>
      <c r="AU22">
        <v>0</v>
      </c>
      <c r="AV22">
        <v>0</v>
      </c>
      <c r="AW22">
        <v>0</v>
      </c>
      <c r="AX22">
        <v>0</v>
      </c>
      <c r="AY22">
        <v>0</v>
      </c>
      <c r="AZ22">
        <v>0</v>
      </c>
      <c r="BA22">
        <v>0</v>
      </c>
      <c r="BB22">
        <v>1</v>
      </c>
      <c r="BC22">
        <v>0</v>
      </c>
      <c r="BD22">
        <v>0</v>
      </c>
      <c r="BE22">
        <v>0</v>
      </c>
      <c r="BF22">
        <v>0</v>
      </c>
      <c r="BG22">
        <v>1</v>
      </c>
      <c r="BH22">
        <f t="shared" si="0"/>
        <v>14</v>
      </c>
    </row>
    <row r="23" spans="1:60" x14ac:dyDescent="0.25">
      <c r="A23" t="s">
        <v>75</v>
      </c>
      <c r="B23">
        <v>0</v>
      </c>
      <c r="C23">
        <v>0</v>
      </c>
      <c r="D23">
        <v>0</v>
      </c>
      <c r="E23">
        <v>1</v>
      </c>
      <c r="F23">
        <v>1</v>
      </c>
      <c r="G23">
        <v>2</v>
      </c>
      <c r="H23">
        <v>0</v>
      </c>
      <c r="I23">
        <v>0</v>
      </c>
      <c r="J23">
        <v>0</v>
      </c>
      <c r="K23">
        <v>1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3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3</v>
      </c>
      <c r="AA23">
        <v>0</v>
      </c>
      <c r="AB23">
        <v>0</v>
      </c>
      <c r="AC23">
        <v>0</v>
      </c>
      <c r="AD23">
        <v>0</v>
      </c>
      <c r="AE23">
        <v>0</v>
      </c>
      <c r="AF23">
        <v>0</v>
      </c>
      <c r="AG23">
        <v>0</v>
      </c>
      <c r="AH23">
        <v>0</v>
      </c>
      <c r="AI23">
        <v>0</v>
      </c>
      <c r="AJ23">
        <v>0</v>
      </c>
      <c r="AK23">
        <v>2</v>
      </c>
      <c r="AL23">
        <v>0</v>
      </c>
      <c r="AM23">
        <v>0</v>
      </c>
      <c r="AN23" s="3">
        <v>0</v>
      </c>
      <c r="AO23">
        <v>1</v>
      </c>
      <c r="AP23">
        <v>0</v>
      </c>
      <c r="AQ23">
        <v>1</v>
      </c>
      <c r="AR23">
        <v>0</v>
      </c>
      <c r="AS23">
        <v>2</v>
      </c>
      <c r="AT23">
        <v>0</v>
      </c>
      <c r="AU23">
        <v>0</v>
      </c>
      <c r="AV23">
        <v>0</v>
      </c>
      <c r="AW23">
        <v>0</v>
      </c>
      <c r="AX23">
        <v>0</v>
      </c>
      <c r="AY23">
        <v>0</v>
      </c>
      <c r="AZ23">
        <v>0</v>
      </c>
      <c r="BA23">
        <v>2</v>
      </c>
      <c r="BB23">
        <v>0</v>
      </c>
      <c r="BC23">
        <v>0</v>
      </c>
      <c r="BD23">
        <v>0</v>
      </c>
      <c r="BE23">
        <v>0</v>
      </c>
      <c r="BF23">
        <v>0</v>
      </c>
      <c r="BG23">
        <v>0</v>
      </c>
      <c r="BH23">
        <f t="shared" si="0"/>
        <v>19</v>
      </c>
    </row>
    <row r="24" spans="1:60" x14ac:dyDescent="0.25">
      <c r="A24" t="s">
        <v>76</v>
      </c>
      <c r="B24">
        <v>0</v>
      </c>
      <c r="C24">
        <v>0</v>
      </c>
      <c r="D24">
        <v>0</v>
      </c>
      <c r="E24">
        <v>0</v>
      </c>
      <c r="F24">
        <v>0</v>
      </c>
      <c r="G24">
        <v>2</v>
      </c>
      <c r="H24">
        <v>1</v>
      </c>
      <c r="I24">
        <v>0</v>
      </c>
      <c r="J24">
        <v>0</v>
      </c>
      <c r="K24">
        <v>0</v>
      </c>
      <c r="L24">
        <v>0</v>
      </c>
      <c r="M24">
        <v>0</v>
      </c>
      <c r="N24">
        <v>1</v>
      </c>
      <c r="O24">
        <v>0</v>
      </c>
      <c r="P24">
        <v>1</v>
      </c>
      <c r="Q24">
        <v>0</v>
      </c>
      <c r="R24">
        <v>0</v>
      </c>
      <c r="S24">
        <v>2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1</v>
      </c>
      <c r="AA24">
        <v>0</v>
      </c>
      <c r="AB24">
        <v>0</v>
      </c>
      <c r="AC24">
        <v>0</v>
      </c>
      <c r="AD24">
        <v>1</v>
      </c>
      <c r="AE24">
        <v>0</v>
      </c>
      <c r="AF24">
        <v>0</v>
      </c>
      <c r="AG24">
        <v>0</v>
      </c>
      <c r="AH24">
        <v>0</v>
      </c>
      <c r="AI24">
        <v>1</v>
      </c>
      <c r="AJ24">
        <v>0</v>
      </c>
      <c r="AK24">
        <v>0</v>
      </c>
      <c r="AL24">
        <v>0</v>
      </c>
      <c r="AM24">
        <v>0</v>
      </c>
      <c r="AN24" s="3">
        <v>0</v>
      </c>
      <c r="AO24">
        <v>0</v>
      </c>
      <c r="AP24">
        <v>1</v>
      </c>
      <c r="AQ24">
        <v>0</v>
      </c>
      <c r="AR24">
        <v>0</v>
      </c>
      <c r="AS24">
        <v>0</v>
      </c>
      <c r="AT24">
        <v>0</v>
      </c>
      <c r="AU24">
        <v>1</v>
      </c>
      <c r="AV24">
        <v>0</v>
      </c>
      <c r="AW24">
        <v>0</v>
      </c>
      <c r="AX24">
        <v>0</v>
      </c>
      <c r="AY24">
        <v>0</v>
      </c>
      <c r="AZ24">
        <v>0</v>
      </c>
      <c r="BA24">
        <v>1</v>
      </c>
      <c r="BB24">
        <v>0</v>
      </c>
      <c r="BC24">
        <v>1</v>
      </c>
      <c r="BD24">
        <v>1</v>
      </c>
      <c r="BE24">
        <v>0</v>
      </c>
      <c r="BF24">
        <v>0</v>
      </c>
      <c r="BG24">
        <v>0</v>
      </c>
      <c r="BH24">
        <f t="shared" si="0"/>
        <v>15</v>
      </c>
    </row>
    <row r="25" spans="1:60" x14ac:dyDescent="0.25">
      <c r="A25" t="s">
        <v>77</v>
      </c>
      <c r="B25">
        <v>0</v>
      </c>
      <c r="C25">
        <v>1</v>
      </c>
      <c r="D25">
        <v>0</v>
      </c>
      <c r="E25">
        <v>1</v>
      </c>
      <c r="F25">
        <v>0</v>
      </c>
      <c r="G25">
        <v>2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>
        <v>1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2</v>
      </c>
      <c r="AA25">
        <v>0</v>
      </c>
      <c r="AB25">
        <v>0</v>
      </c>
      <c r="AC25">
        <v>0</v>
      </c>
      <c r="AD25">
        <v>0</v>
      </c>
      <c r="AE25">
        <v>0</v>
      </c>
      <c r="AF25">
        <v>1</v>
      </c>
      <c r="AG25">
        <v>1</v>
      </c>
      <c r="AH25">
        <v>1</v>
      </c>
      <c r="AI25">
        <v>1</v>
      </c>
      <c r="AJ25">
        <v>0</v>
      </c>
      <c r="AK25">
        <v>2</v>
      </c>
      <c r="AL25">
        <v>0</v>
      </c>
      <c r="AM25">
        <v>0</v>
      </c>
      <c r="AN25" s="3">
        <v>0</v>
      </c>
      <c r="AO25">
        <v>0</v>
      </c>
      <c r="AP25">
        <v>0</v>
      </c>
      <c r="AQ25">
        <v>1</v>
      </c>
      <c r="AR25">
        <v>1</v>
      </c>
      <c r="AS25">
        <v>0</v>
      </c>
      <c r="AT25">
        <v>1</v>
      </c>
      <c r="AU25">
        <v>0</v>
      </c>
      <c r="AV25">
        <v>0</v>
      </c>
      <c r="AW25">
        <v>0</v>
      </c>
      <c r="AX25">
        <v>1</v>
      </c>
      <c r="AY25">
        <v>0</v>
      </c>
      <c r="AZ25">
        <v>0</v>
      </c>
      <c r="BA25">
        <v>0</v>
      </c>
      <c r="BB25">
        <v>0</v>
      </c>
      <c r="BC25">
        <v>0</v>
      </c>
      <c r="BD25">
        <v>0</v>
      </c>
      <c r="BE25">
        <v>0</v>
      </c>
      <c r="BF25">
        <v>0</v>
      </c>
      <c r="BG25">
        <v>0</v>
      </c>
      <c r="BH25">
        <f t="shared" si="0"/>
        <v>17</v>
      </c>
    </row>
    <row r="26" spans="1:60" x14ac:dyDescent="0.25">
      <c r="A26" t="s">
        <v>78</v>
      </c>
      <c r="B26">
        <v>0</v>
      </c>
      <c r="C26">
        <v>0</v>
      </c>
      <c r="D26">
        <v>0</v>
      </c>
      <c r="E26">
        <v>0</v>
      </c>
      <c r="F26">
        <v>0</v>
      </c>
      <c r="G26">
        <v>3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1</v>
      </c>
      <c r="P26">
        <v>0</v>
      </c>
      <c r="Q26">
        <v>0</v>
      </c>
      <c r="R26">
        <v>1</v>
      </c>
      <c r="S26">
        <v>1</v>
      </c>
      <c r="T26">
        <v>1</v>
      </c>
      <c r="U26">
        <v>0</v>
      </c>
      <c r="V26">
        <v>0</v>
      </c>
      <c r="W26">
        <v>1</v>
      </c>
      <c r="Y26">
        <v>1</v>
      </c>
      <c r="Z26">
        <v>3</v>
      </c>
      <c r="AA26">
        <v>0</v>
      </c>
      <c r="AB26">
        <v>0</v>
      </c>
      <c r="AC26">
        <v>1</v>
      </c>
      <c r="AD26">
        <v>0</v>
      </c>
      <c r="AE26">
        <v>0</v>
      </c>
      <c r="AF26">
        <v>0</v>
      </c>
      <c r="AG26">
        <v>0</v>
      </c>
      <c r="AH26">
        <v>0</v>
      </c>
      <c r="AI26">
        <v>0</v>
      </c>
      <c r="AJ26">
        <v>0</v>
      </c>
      <c r="AK26">
        <v>0</v>
      </c>
      <c r="AL26">
        <v>0</v>
      </c>
      <c r="AM26">
        <v>0</v>
      </c>
      <c r="AN26" s="3">
        <v>0</v>
      </c>
      <c r="AO26">
        <v>0</v>
      </c>
      <c r="AP26">
        <v>0</v>
      </c>
      <c r="AQ26">
        <v>0</v>
      </c>
      <c r="AR26">
        <v>0</v>
      </c>
      <c r="AS26">
        <v>0</v>
      </c>
      <c r="AT26">
        <v>0</v>
      </c>
      <c r="AU26">
        <v>0</v>
      </c>
      <c r="AV26">
        <v>0</v>
      </c>
      <c r="AW26">
        <v>0</v>
      </c>
      <c r="AX26">
        <v>2</v>
      </c>
      <c r="AY26">
        <v>0</v>
      </c>
      <c r="AZ26">
        <v>0</v>
      </c>
      <c r="BA26">
        <v>0</v>
      </c>
      <c r="BB26">
        <v>0</v>
      </c>
      <c r="BC26">
        <v>0</v>
      </c>
      <c r="BD26">
        <v>0</v>
      </c>
      <c r="BE26">
        <v>0</v>
      </c>
      <c r="BF26">
        <v>0</v>
      </c>
      <c r="BG26">
        <v>0</v>
      </c>
      <c r="BH26">
        <f t="shared" si="0"/>
        <v>15</v>
      </c>
    </row>
    <row r="27" spans="1:60" x14ac:dyDescent="0.25">
      <c r="A27" t="s">
        <v>79</v>
      </c>
      <c r="B27">
        <v>0</v>
      </c>
      <c r="C27">
        <v>0</v>
      </c>
      <c r="D27">
        <v>0</v>
      </c>
      <c r="E27">
        <v>2</v>
      </c>
      <c r="F27">
        <v>1</v>
      </c>
      <c r="G27">
        <v>2</v>
      </c>
      <c r="H27">
        <v>0</v>
      </c>
      <c r="I27">
        <v>1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1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7</v>
      </c>
      <c r="AA27">
        <v>0</v>
      </c>
      <c r="AB27">
        <v>0</v>
      </c>
      <c r="AC27">
        <v>0</v>
      </c>
      <c r="AD27">
        <v>0</v>
      </c>
      <c r="AE27">
        <v>0</v>
      </c>
      <c r="AF27">
        <v>0</v>
      </c>
      <c r="AG27">
        <v>1</v>
      </c>
      <c r="AH27">
        <v>0</v>
      </c>
      <c r="AI27">
        <v>0</v>
      </c>
      <c r="AJ27">
        <v>0</v>
      </c>
      <c r="AK27">
        <v>1</v>
      </c>
      <c r="AL27">
        <v>0</v>
      </c>
      <c r="AM27">
        <v>0</v>
      </c>
      <c r="AN27" s="3">
        <v>0</v>
      </c>
      <c r="AO27">
        <v>1</v>
      </c>
      <c r="AP27">
        <v>0</v>
      </c>
      <c r="AQ27">
        <v>0</v>
      </c>
      <c r="AR27">
        <v>0</v>
      </c>
      <c r="AS27">
        <v>0</v>
      </c>
      <c r="AT27">
        <v>1</v>
      </c>
      <c r="AU27">
        <v>0</v>
      </c>
      <c r="AV27">
        <v>0</v>
      </c>
      <c r="AW27">
        <v>0</v>
      </c>
      <c r="AX27">
        <v>0</v>
      </c>
      <c r="AY27">
        <v>0</v>
      </c>
      <c r="AZ27">
        <v>0</v>
      </c>
      <c r="BA27">
        <v>0</v>
      </c>
      <c r="BB27">
        <v>0</v>
      </c>
      <c r="BC27">
        <v>0</v>
      </c>
      <c r="BD27">
        <v>0</v>
      </c>
      <c r="BE27">
        <v>0</v>
      </c>
      <c r="BF27">
        <v>0</v>
      </c>
      <c r="BG27">
        <v>0</v>
      </c>
      <c r="BH27">
        <f t="shared" si="0"/>
        <v>18</v>
      </c>
    </row>
    <row r="28" spans="1:60" x14ac:dyDescent="0.25">
      <c r="A28" s="9" t="s">
        <v>87</v>
      </c>
      <c r="B28">
        <f>COUNTIF(B7:B27, "&gt;0")</f>
        <v>1</v>
      </c>
      <c r="C28">
        <f t="shared" ref="C28:BG28" si="1">COUNTIF(C7:C27, "&gt;0")</f>
        <v>1</v>
      </c>
      <c r="D28">
        <f t="shared" si="1"/>
        <v>1</v>
      </c>
      <c r="E28">
        <f t="shared" si="1"/>
        <v>11</v>
      </c>
      <c r="F28">
        <f t="shared" si="1"/>
        <v>3</v>
      </c>
      <c r="G28">
        <f t="shared" si="1"/>
        <v>13</v>
      </c>
      <c r="H28">
        <f t="shared" si="1"/>
        <v>1</v>
      </c>
      <c r="I28">
        <f t="shared" si="1"/>
        <v>2</v>
      </c>
      <c r="J28">
        <f t="shared" si="1"/>
        <v>2</v>
      </c>
      <c r="K28">
        <f t="shared" si="1"/>
        <v>1</v>
      </c>
      <c r="L28">
        <f t="shared" si="1"/>
        <v>2</v>
      </c>
      <c r="M28">
        <f t="shared" si="1"/>
        <v>2</v>
      </c>
      <c r="N28">
        <f t="shared" si="1"/>
        <v>1</v>
      </c>
      <c r="O28">
        <f t="shared" si="1"/>
        <v>3</v>
      </c>
      <c r="P28">
        <f t="shared" si="1"/>
        <v>4</v>
      </c>
      <c r="Q28">
        <f t="shared" si="1"/>
        <v>1</v>
      </c>
      <c r="R28">
        <f t="shared" si="1"/>
        <v>5</v>
      </c>
      <c r="S28">
        <f t="shared" si="1"/>
        <v>13</v>
      </c>
      <c r="T28">
        <f t="shared" si="1"/>
        <v>3</v>
      </c>
      <c r="U28">
        <f t="shared" si="1"/>
        <v>2</v>
      </c>
      <c r="V28">
        <f t="shared" si="1"/>
        <v>1</v>
      </c>
      <c r="W28">
        <f t="shared" si="1"/>
        <v>2</v>
      </c>
      <c r="X28">
        <f t="shared" si="1"/>
        <v>1</v>
      </c>
      <c r="Y28">
        <f t="shared" si="1"/>
        <v>2</v>
      </c>
      <c r="Z28">
        <f t="shared" si="1"/>
        <v>20</v>
      </c>
      <c r="AA28">
        <f t="shared" si="1"/>
        <v>1</v>
      </c>
      <c r="AB28">
        <f t="shared" si="1"/>
        <v>1</v>
      </c>
      <c r="AC28">
        <f t="shared" si="1"/>
        <v>2</v>
      </c>
      <c r="AD28">
        <f t="shared" si="1"/>
        <v>8</v>
      </c>
      <c r="AE28">
        <f t="shared" si="1"/>
        <v>3</v>
      </c>
      <c r="AF28">
        <f t="shared" si="1"/>
        <v>3</v>
      </c>
      <c r="AG28">
        <f t="shared" si="1"/>
        <v>3</v>
      </c>
      <c r="AH28">
        <f t="shared" si="1"/>
        <v>4</v>
      </c>
      <c r="AI28">
        <f t="shared" si="1"/>
        <v>2</v>
      </c>
      <c r="AJ28">
        <f t="shared" si="1"/>
        <v>1</v>
      </c>
      <c r="AK28">
        <f t="shared" si="1"/>
        <v>8</v>
      </c>
      <c r="AL28">
        <f t="shared" si="1"/>
        <v>1</v>
      </c>
      <c r="AM28">
        <f t="shared" si="1"/>
        <v>1</v>
      </c>
      <c r="AN28" s="3">
        <v>0</v>
      </c>
      <c r="AO28">
        <f t="shared" si="1"/>
        <v>2</v>
      </c>
      <c r="AP28">
        <f t="shared" si="1"/>
        <v>1</v>
      </c>
      <c r="AQ28">
        <f t="shared" si="1"/>
        <v>4</v>
      </c>
      <c r="AR28">
        <f t="shared" si="1"/>
        <v>2</v>
      </c>
      <c r="AS28">
        <f t="shared" si="1"/>
        <v>8</v>
      </c>
      <c r="AT28">
        <f t="shared" si="1"/>
        <v>6</v>
      </c>
      <c r="AU28">
        <f t="shared" si="1"/>
        <v>2</v>
      </c>
      <c r="AV28">
        <f t="shared" si="1"/>
        <v>2</v>
      </c>
      <c r="AW28">
        <f t="shared" si="1"/>
        <v>1</v>
      </c>
      <c r="AX28">
        <f t="shared" si="1"/>
        <v>4</v>
      </c>
      <c r="AY28">
        <f t="shared" si="1"/>
        <v>1</v>
      </c>
      <c r="AZ28">
        <f t="shared" si="1"/>
        <v>3</v>
      </c>
      <c r="BA28">
        <f t="shared" si="1"/>
        <v>6</v>
      </c>
      <c r="BB28">
        <f t="shared" si="1"/>
        <v>1</v>
      </c>
      <c r="BC28">
        <f t="shared" si="1"/>
        <v>1</v>
      </c>
      <c r="BD28">
        <f t="shared" si="1"/>
        <v>3</v>
      </c>
      <c r="BE28">
        <f t="shared" si="1"/>
        <v>1</v>
      </c>
      <c r="BF28">
        <f t="shared" si="1"/>
        <v>1</v>
      </c>
      <c r="BG28">
        <f t="shared" si="1"/>
        <v>1</v>
      </c>
      <c r="BH28">
        <f>SUM(B28:BG28)</f>
        <v>186</v>
      </c>
    </row>
  </sheetData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AB6ED-9D75-4BEE-8EDF-620B2E27180F}">
  <dimension ref="A5:R194"/>
  <sheetViews>
    <sheetView tabSelected="1" topLeftCell="A46" workbookViewId="0">
      <selection activeCell="M54" sqref="M54"/>
    </sheetView>
  </sheetViews>
  <sheetFormatPr defaultRowHeight="15.75" x14ac:dyDescent="0.25"/>
  <cols>
    <col min="1" max="1" width="14.5703125" style="5" bestFit="1" customWidth="1"/>
    <col min="2" max="2" width="14.85546875" style="5" customWidth="1"/>
    <col min="3" max="6" width="9.140625" style="5"/>
    <col min="7" max="7" width="11.140625" style="5" bestFit="1" customWidth="1"/>
    <col min="8" max="9" width="9.140625" style="5"/>
    <col min="10" max="10" width="11.85546875" style="5" bestFit="1" customWidth="1"/>
    <col min="11" max="13" width="9.140625" style="5"/>
    <col min="14" max="14" width="14.28515625" style="5" bestFit="1" customWidth="1"/>
    <col min="15" max="16384" width="9.140625" style="5"/>
  </cols>
  <sheetData>
    <row r="5" spans="1:11" s="4" customFormat="1" ht="50.25" x14ac:dyDescent="0.25">
      <c r="A5" s="4" t="s">
        <v>0</v>
      </c>
      <c r="B5" s="4" t="s">
        <v>80</v>
      </c>
      <c r="C5" s="4" t="s">
        <v>81</v>
      </c>
      <c r="D5" s="4" t="s">
        <v>82</v>
      </c>
      <c r="G5" s="4" t="s">
        <v>83</v>
      </c>
      <c r="H5" s="4" t="s">
        <v>84</v>
      </c>
      <c r="I5" s="4" t="s">
        <v>86</v>
      </c>
      <c r="J5" s="4" t="s">
        <v>85</v>
      </c>
      <c r="K5" s="4" t="s">
        <v>88</v>
      </c>
    </row>
    <row r="6" spans="1:11" x14ac:dyDescent="0.25">
      <c r="A6" s="5" t="s">
        <v>68</v>
      </c>
      <c r="B6" s="5" t="s">
        <v>25</v>
      </c>
      <c r="C6" s="5">
        <v>4</v>
      </c>
      <c r="D6" s="5">
        <f>_xlfn.RANK.AVG(C6,$C$6:$C$193,1)</f>
        <v>180.5</v>
      </c>
      <c r="G6" s="5">
        <v>1</v>
      </c>
      <c r="H6" s="5" t="s">
        <v>1</v>
      </c>
      <c r="I6" s="5">
        <f xml:space="preserve"> SUMIF($B$6:$B$193, "ACR", $D$6:$D$193)</f>
        <v>70.5</v>
      </c>
      <c r="J6" s="8">
        <f>I6^2/G6</f>
        <v>4970.25</v>
      </c>
      <c r="K6" s="5">
        <v>1</v>
      </c>
    </row>
    <row r="7" spans="1:11" x14ac:dyDescent="0.25">
      <c r="A7" s="5" t="s">
        <v>68</v>
      </c>
      <c r="B7" s="5" t="s">
        <v>52</v>
      </c>
      <c r="C7" s="5">
        <v>1</v>
      </c>
      <c r="D7" s="5">
        <f t="shared" ref="D7:D70" si="0">_xlfn.RANK.AVG(C7,$C$6:$C$193,1)</f>
        <v>70.5</v>
      </c>
      <c r="G7" s="5">
        <v>1</v>
      </c>
      <c r="H7" s="5" t="s">
        <v>2</v>
      </c>
      <c r="I7" s="5">
        <f xml:space="preserve"> SUMIF($B$6:$B$193, "ARA", $D$6:$D$193)</f>
        <v>70.5</v>
      </c>
      <c r="J7" s="8">
        <f t="shared" ref="J7:J63" si="1">I7^2/G7</f>
        <v>4970.25</v>
      </c>
      <c r="K7" s="5">
        <v>2</v>
      </c>
    </row>
    <row r="8" spans="1:11" x14ac:dyDescent="0.25">
      <c r="A8" s="5" t="s">
        <v>68</v>
      </c>
      <c r="B8" s="5" t="s">
        <v>33</v>
      </c>
      <c r="C8" s="5">
        <v>1</v>
      </c>
      <c r="D8" s="5">
        <f t="shared" si="0"/>
        <v>70.5</v>
      </c>
      <c r="G8" s="5">
        <v>1</v>
      </c>
      <c r="H8" s="5" t="s">
        <v>3</v>
      </c>
      <c r="I8" s="5">
        <f xml:space="preserve"> SUMIF($B$6:$B$193, "BMC", $D$6:$D$193)</f>
        <v>70.5</v>
      </c>
      <c r="J8" s="8">
        <f t="shared" si="1"/>
        <v>4970.25</v>
      </c>
      <c r="K8" s="5">
        <v>3</v>
      </c>
    </row>
    <row r="9" spans="1:11" x14ac:dyDescent="0.25">
      <c r="A9" s="5" t="s">
        <v>68</v>
      </c>
      <c r="B9" s="5" t="s">
        <v>18</v>
      </c>
      <c r="C9" s="5">
        <v>1</v>
      </c>
      <c r="D9" s="5">
        <f t="shared" si="0"/>
        <v>70.5</v>
      </c>
      <c r="G9" s="5">
        <v>11</v>
      </c>
      <c r="H9" s="5" t="s">
        <v>4</v>
      </c>
      <c r="I9" s="5">
        <f xml:space="preserve"> SUMIF($B$6:$B$193, "BR3", $D$6:$D$193)</f>
        <v>1030.5</v>
      </c>
      <c r="J9" s="8">
        <f t="shared" si="1"/>
        <v>96539.113636363632</v>
      </c>
      <c r="K9" s="5">
        <v>4</v>
      </c>
    </row>
    <row r="10" spans="1:11" x14ac:dyDescent="0.25">
      <c r="A10" s="5" t="s">
        <v>69</v>
      </c>
      <c r="B10" s="5" t="s">
        <v>45</v>
      </c>
      <c r="C10" s="5">
        <v>1</v>
      </c>
      <c r="D10" s="5">
        <f t="shared" si="0"/>
        <v>70.5</v>
      </c>
      <c r="G10" s="5">
        <v>3</v>
      </c>
      <c r="H10" s="5" t="s">
        <v>5</v>
      </c>
      <c r="I10" s="5">
        <f xml:space="preserve"> SUMIF($B$6:$B$193, "DLTDP", $D$6:$D$193)</f>
        <v>211.5</v>
      </c>
      <c r="J10" s="8">
        <f t="shared" si="1"/>
        <v>14910.75</v>
      </c>
      <c r="K10" s="5">
        <v>5</v>
      </c>
    </row>
    <row r="11" spans="1:11" x14ac:dyDescent="0.25">
      <c r="A11" s="5" t="s">
        <v>69</v>
      </c>
      <c r="B11" s="5" t="s">
        <v>20</v>
      </c>
      <c r="C11" s="5">
        <v>1</v>
      </c>
      <c r="D11" s="5">
        <f t="shared" si="0"/>
        <v>70.5</v>
      </c>
      <c r="G11" s="5">
        <v>13</v>
      </c>
      <c r="H11" s="5" t="s">
        <v>6</v>
      </c>
      <c r="I11" s="5">
        <f xml:space="preserve"> SUMIF($B$6:$B$193, "EPX", $D$6:$D$193)</f>
        <v>1701</v>
      </c>
      <c r="J11" s="8">
        <f t="shared" si="1"/>
        <v>222569.30769230769</v>
      </c>
      <c r="K11" s="5">
        <v>6</v>
      </c>
    </row>
    <row r="12" spans="1:11" x14ac:dyDescent="0.25">
      <c r="A12" s="5" t="s">
        <v>69</v>
      </c>
      <c r="B12" s="5" t="s">
        <v>36</v>
      </c>
      <c r="C12" s="5">
        <v>2</v>
      </c>
      <c r="D12" s="5">
        <f t="shared" si="0"/>
        <v>155.5</v>
      </c>
      <c r="G12" s="5">
        <v>1</v>
      </c>
      <c r="H12" s="5" t="s">
        <v>7</v>
      </c>
      <c r="I12" s="5">
        <f xml:space="preserve"> SUMIF($B$6:$B$193, "EVA", $D$6:$D$193)</f>
        <v>70.5</v>
      </c>
      <c r="J12" s="8">
        <f t="shared" si="1"/>
        <v>4970.25</v>
      </c>
      <c r="K12" s="5">
        <v>7</v>
      </c>
    </row>
    <row r="13" spans="1:11" x14ac:dyDescent="0.25">
      <c r="A13" s="5" t="s">
        <v>69</v>
      </c>
      <c r="B13" s="5" t="s">
        <v>6</v>
      </c>
      <c r="C13" s="5">
        <v>2</v>
      </c>
      <c r="D13" s="5">
        <f t="shared" si="0"/>
        <v>155.5</v>
      </c>
      <c r="G13" s="5">
        <v>2</v>
      </c>
      <c r="H13" s="5" t="s">
        <v>8</v>
      </c>
      <c r="I13" s="5">
        <f xml:space="preserve"> SUMIF($B$6:$B$193, "FEP", $D$6:$D$193)</f>
        <v>141</v>
      </c>
      <c r="J13" s="8">
        <f t="shared" si="1"/>
        <v>9940.5</v>
      </c>
      <c r="K13" s="5">
        <v>8</v>
      </c>
    </row>
    <row r="14" spans="1:11" x14ac:dyDescent="0.25">
      <c r="A14" s="5" t="s">
        <v>69</v>
      </c>
      <c r="B14" s="5" t="s">
        <v>12</v>
      </c>
      <c r="C14" s="5">
        <v>1</v>
      </c>
      <c r="D14" s="5">
        <f t="shared" si="0"/>
        <v>70.5</v>
      </c>
      <c r="G14" s="5">
        <v>2</v>
      </c>
      <c r="H14" s="5" t="s">
        <v>9</v>
      </c>
      <c r="I14" s="5">
        <f xml:space="preserve"> SUMIF($B$6:$B$193, "HDPE", $D$6:$D$193)</f>
        <v>141</v>
      </c>
      <c r="J14" s="8">
        <f t="shared" si="1"/>
        <v>9940.5</v>
      </c>
      <c r="K14" s="5">
        <v>9</v>
      </c>
    </row>
    <row r="15" spans="1:11" x14ac:dyDescent="0.25">
      <c r="A15" s="5" t="s">
        <v>69</v>
      </c>
      <c r="B15" s="5" t="s">
        <v>25</v>
      </c>
      <c r="C15" s="5">
        <v>5</v>
      </c>
      <c r="D15" s="5">
        <f t="shared" si="0"/>
        <v>182.5</v>
      </c>
      <c r="G15" s="5">
        <v>1</v>
      </c>
      <c r="H15" s="5" t="s">
        <v>10</v>
      </c>
      <c r="I15" s="5">
        <f xml:space="preserve"> SUMIF($B$6:$B$193, "HERB", $D$6:$D$193)</f>
        <v>70.5</v>
      </c>
      <c r="J15" s="8">
        <f t="shared" si="1"/>
        <v>4970.25</v>
      </c>
      <c r="K15" s="5">
        <v>10</v>
      </c>
    </row>
    <row r="16" spans="1:11" x14ac:dyDescent="0.25">
      <c r="A16" s="5" t="s">
        <v>69</v>
      </c>
      <c r="B16" s="5" t="s">
        <v>24</v>
      </c>
      <c r="C16" s="5">
        <v>1</v>
      </c>
      <c r="D16" s="5">
        <f t="shared" si="0"/>
        <v>70.5</v>
      </c>
      <c r="G16" s="5">
        <v>2</v>
      </c>
      <c r="H16" s="5" t="s">
        <v>11</v>
      </c>
      <c r="I16" s="5">
        <f xml:space="preserve"> SUMIF($B$6:$B$193, "HLAS", $D$6:$D$193)</f>
        <v>141</v>
      </c>
      <c r="J16" s="8">
        <f t="shared" si="1"/>
        <v>9940.5</v>
      </c>
      <c r="K16" s="5">
        <v>11</v>
      </c>
    </row>
    <row r="17" spans="1:11" x14ac:dyDescent="0.25">
      <c r="A17" s="5" t="s">
        <v>69</v>
      </c>
      <c r="B17" s="5" t="s">
        <v>44</v>
      </c>
      <c r="C17" s="5">
        <v>1</v>
      </c>
      <c r="D17" s="5">
        <f t="shared" si="0"/>
        <v>70.5</v>
      </c>
      <c r="G17" s="5">
        <v>2</v>
      </c>
      <c r="H17" s="5" t="s">
        <v>12</v>
      </c>
      <c r="I17" s="5">
        <f xml:space="preserve"> SUMIF($B$6:$B$193, "HRB", $D$6:$D$193)</f>
        <v>226</v>
      </c>
      <c r="J17" s="8">
        <f t="shared" si="1"/>
        <v>25538</v>
      </c>
      <c r="K17" s="5">
        <v>12</v>
      </c>
    </row>
    <row r="18" spans="1:11" x14ac:dyDescent="0.25">
      <c r="A18" s="5" t="s">
        <v>59</v>
      </c>
      <c r="B18" s="5" t="s">
        <v>51</v>
      </c>
      <c r="C18" s="5">
        <v>1</v>
      </c>
      <c r="D18" s="5">
        <f t="shared" si="0"/>
        <v>70.5</v>
      </c>
      <c r="G18" s="5">
        <v>1</v>
      </c>
      <c r="H18" s="5" t="s">
        <v>13</v>
      </c>
      <c r="I18" s="5">
        <f xml:space="preserve"> SUMIF($B$6:$B$193, "IIR", $D$6:$D$193)</f>
        <v>70.5</v>
      </c>
      <c r="J18" s="8">
        <f t="shared" si="1"/>
        <v>4970.25</v>
      </c>
      <c r="K18" s="5">
        <v>13</v>
      </c>
    </row>
    <row r="19" spans="1:11" x14ac:dyDescent="0.25">
      <c r="A19" s="5" t="s">
        <v>59</v>
      </c>
      <c r="B19" s="5" t="s">
        <v>25</v>
      </c>
      <c r="C19" s="5">
        <v>8</v>
      </c>
      <c r="D19" s="5">
        <f t="shared" si="0"/>
        <v>186</v>
      </c>
      <c r="G19" s="5">
        <v>3</v>
      </c>
      <c r="H19" s="5" t="s">
        <v>14</v>
      </c>
      <c r="I19" s="5">
        <f xml:space="preserve"> SUMIF($B$6:$B$193, "LDPE", $D$6:$D$193)</f>
        <v>211.5</v>
      </c>
      <c r="J19" s="8">
        <f t="shared" si="1"/>
        <v>14910.75</v>
      </c>
      <c r="K19" s="5">
        <v>14</v>
      </c>
    </row>
    <row r="20" spans="1:11" x14ac:dyDescent="0.25">
      <c r="A20" s="5" t="s">
        <v>59</v>
      </c>
      <c r="B20" s="5" t="s">
        <v>52</v>
      </c>
      <c r="C20" s="5">
        <v>1</v>
      </c>
      <c r="D20" s="5">
        <f t="shared" si="0"/>
        <v>70.5</v>
      </c>
      <c r="G20" s="5">
        <v>4</v>
      </c>
      <c r="H20" s="5" t="s">
        <v>15</v>
      </c>
      <c r="I20" s="5">
        <f xml:space="preserve"> SUMIF($B$6:$B$193, "LS770", $D$6:$D$193)</f>
        <v>282</v>
      </c>
      <c r="J20" s="8">
        <f t="shared" si="1"/>
        <v>19881</v>
      </c>
      <c r="K20" s="5">
        <v>15</v>
      </c>
    </row>
    <row r="21" spans="1:11" x14ac:dyDescent="0.25">
      <c r="A21" s="5" t="s">
        <v>59</v>
      </c>
      <c r="B21" s="5" t="s">
        <v>18</v>
      </c>
      <c r="C21" s="5">
        <v>1</v>
      </c>
      <c r="D21" s="5">
        <f t="shared" si="0"/>
        <v>70.5</v>
      </c>
      <c r="G21" s="5">
        <v>1</v>
      </c>
      <c r="H21" s="5" t="s">
        <v>16</v>
      </c>
      <c r="I21" s="5">
        <f xml:space="preserve"> SUMIF($B$6:$B$193, "MEL", $D$6:$D$193)</f>
        <v>70.5</v>
      </c>
      <c r="J21" s="8">
        <f t="shared" si="1"/>
        <v>4970.25</v>
      </c>
      <c r="K21" s="5">
        <v>16</v>
      </c>
    </row>
    <row r="22" spans="1:11" x14ac:dyDescent="0.25">
      <c r="A22" s="5" t="s">
        <v>59</v>
      </c>
      <c r="B22" s="5" t="s">
        <v>47</v>
      </c>
      <c r="C22" s="5">
        <v>1</v>
      </c>
      <c r="D22" s="5">
        <f t="shared" si="0"/>
        <v>70.5</v>
      </c>
      <c r="G22" s="5">
        <v>5</v>
      </c>
      <c r="H22" s="5" t="s">
        <v>17</v>
      </c>
      <c r="I22" s="5">
        <f xml:space="preserve"> SUMIF($B$6:$B$193, "NYL", $D$6:$D$193)</f>
        <v>352.5</v>
      </c>
      <c r="J22" s="8">
        <f t="shared" si="1"/>
        <v>24851.25</v>
      </c>
      <c r="K22" s="5">
        <v>17</v>
      </c>
    </row>
    <row r="23" spans="1:11" x14ac:dyDescent="0.25">
      <c r="A23" s="5" t="s">
        <v>60</v>
      </c>
      <c r="B23" s="5" t="s">
        <v>25</v>
      </c>
      <c r="C23" s="5">
        <v>5</v>
      </c>
      <c r="D23" s="5">
        <f t="shared" si="0"/>
        <v>182.5</v>
      </c>
      <c r="G23" s="5">
        <v>13</v>
      </c>
      <c r="H23" s="5" t="s">
        <v>18</v>
      </c>
      <c r="I23" s="5">
        <f xml:space="preserve"> SUMIF($B$6:$B$193, "PA", $D$6:$D$193)</f>
        <v>1276</v>
      </c>
      <c r="J23" s="8">
        <f t="shared" si="1"/>
        <v>125244.30769230769</v>
      </c>
      <c r="K23" s="5">
        <v>18</v>
      </c>
    </row>
    <row r="24" spans="1:11" x14ac:dyDescent="0.25">
      <c r="A24" s="5" t="s">
        <v>60</v>
      </c>
      <c r="B24" s="5" t="s">
        <v>29</v>
      </c>
      <c r="C24" s="5">
        <v>2</v>
      </c>
      <c r="D24" s="5">
        <f t="shared" si="0"/>
        <v>155.5</v>
      </c>
      <c r="G24" s="5">
        <v>3</v>
      </c>
      <c r="H24" s="5" t="s">
        <v>19</v>
      </c>
      <c r="I24" s="5">
        <f xml:space="preserve"> SUMIF($B$6:$B$193, "PAC", $D$6:$D$193)</f>
        <v>211.5</v>
      </c>
      <c r="J24" s="8">
        <f t="shared" si="1"/>
        <v>14910.75</v>
      </c>
      <c r="K24" s="5">
        <v>19</v>
      </c>
    </row>
    <row r="25" spans="1:11" x14ac:dyDescent="0.25">
      <c r="A25" s="5" t="s">
        <v>60</v>
      </c>
      <c r="B25" s="5" t="s">
        <v>4</v>
      </c>
      <c r="C25" s="5">
        <v>1</v>
      </c>
      <c r="D25" s="5">
        <f t="shared" si="0"/>
        <v>70.5</v>
      </c>
      <c r="G25" s="5">
        <v>2</v>
      </c>
      <c r="H25" s="5" t="s">
        <v>20</v>
      </c>
      <c r="I25" s="5">
        <f xml:space="preserve"> SUMIF($B$6:$B$193, "PAM", $D$6:$D$193)</f>
        <v>141</v>
      </c>
      <c r="J25" s="8">
        <f t="shared" si="1"/>
        <v>9940.5</v>
      </c>
      <c r="K25" s="5">
        <v>20</v>
      </c>
    </row>
    <row r="26" spans="1:11" x14ac:dyDescent="0.25">
      <c r="A26" s="5" t="s">
        <v>60</v>
      </c>
      <c r="B26" s="5" t="s">
        <v>55</v>
      </c>
      <c r="C26" s="5">
        <v>1</v>
      </c>
      <c r="D26" s="5">
        <f t="shared" si="0"/>
        <v>70.5</v>
      </c>
      <c r="G26" s="5">
        <v>1</v>
      </c>
      <c r="H26" s="5" t="s">
        <v>21</v>
      </c>
      <c r="I26" s="5">
        <f xml:space="preserve"> SUMIF($B$6:$B$193, "PAP", $D$6:$D$193)</f>
        <v>70.5</v>
      </c>
      <c r="J26" s="8">
        <f t="shared" si="1"/>
        <v>4970.25</v>
      </c>
      <c r="K26" s="5">
        <v>21</v>
      </c>
    </row>
    <row r="27" spans="1:11" x14ac:dyDescent="0.25">
      <c r="A27" s="5" t="s">
        <v>60</v>
      </c>
      <c r="B27" s="5" t="s">
        <v>48</v>
      </c>
      <c r="C27" s="5">
        <v>1</v>
      </c>
      <c r="D27" s="5">
        <f t="shared" si="0"/>
        <v>70.5</v>
      </c>
      <c r="G27" s="5">
        <v>2</v>
      </c>
      <c r="H27" s="5" t="s">
        <v>22</v>
      </c>
      <c r="I27" s="5">
        <f xml:space="preserve"> SUMIF($B$6:$B$193, "PAR", $D$6:$D$193)</f>
        <v>141</v>
      </c>
      <c r="J27" s="8">
        <f t="shared" si="1"/>
        <v>9940.5</v>
      </c>
      <c r="K27" s="5">
        <v>22</v>
      </c>
    </row>
    <row r="28" spans="1:11" x14ac:dyDescent="0.25">
      <c r="A28" s="5" t="s">
        <v>60</v>
      </c>
      <c r="B28" s="5" t="s">
        <v>3</v>
      </c>
      <c r="C28" s="5">
        <v>1</v>
      </c>
      <c r="D28" s="5">
        <f t="shared" si="0"/>
        <v>70.5</v>
      </c>
      <c r="G28" s="5">
        <v>1</v>
      </c>
      <c r="H28" s="5" t="s">
        <v>23</v>
      </c>
      <c r="I28" s="5">
        <f xml:space="preserve"> SUMIF($B$6:$B$193, "PB1", $D$6:$D$193)</f>
        <v>70.5</v>
      </c>
      <c r="J28" s="8">
        <f t="shared" si="1"/>
        <v>4970.25</v>
      </c>
      <c r="K28" s="5">
        <v>23</v>
      </c>
    </row>
    <row r="29" spans="1:11" x14ac:dyDescent="0.25">
      <c r="A29" s="5" t="s">
        <v>60</v>
      </c>
      <c r="B29" s="5" t="s">
        <v>30</v>
      </c>
      <c r="C29" s="5">
        <v>1</v>
      </c>
      <c r="D29" s="5">
        <f t="shared" si="0"/>
        <v>70.5</v>
      </c>
      <c r="G29" s="5">
        <v>2</v>
      </c>
      <c r="H29" s="5" t="s">
        <v>24</v>
      </c>
      <c r="I29" s="5">
        <f xml:space="preserve"> SUMIF($B$6:$B$193, "PBT", $D$6:$D$193)</f>
        <v>141</v>
      </c>
      <c r="J29" s="8">
        <f t="shared" si="1"/>
        <v>9940.5</v>
      </c>
      <c r="K29" s="5">
        <v>24</v>
      </c>
    </row>
    <row r="30" spans="1:11" x14ac:dyDescent="0.25">
      <c r="A30" s="5" t="s">
        <v>61</v>
      </c>
      <c r="B30" s="5" t="s">
        <v>25</v>
      </c>
      <c r="C30" s="5">
        <v>3</v>
      </c>
      <c r="D30" s="5">
        <f t="shared" si="0"/>
        <v>175</v>
      </c>
      <c r="G30" s="5">
        <v>20</v>
      </c>
      <c r="H30" s="5" t="s">
        <v>25</v>
      </c>
      <c r="I30" s="5">
        <f xml:space="preserve"> SUMIF($B$6:$B$193, "PC", $D$6:$D$193)</f>
        <v>3248</v>
      </c>
      <c r="J30" s="8">
        <f t="shared" si="1"/>
        <v>527475.19999999995</v>
      </c>
      <c r="K30" s="5">
        <v>25</v>
      </c>
    </row>
    <row r="31" spans="1:11" x14ac:dyDescent="0.25">
      <c r="A31" s="5" t="s">
        <v>61</v>
      </c>
      <c r="B31" s="5" t="s">
        <v>28</v>
      </c>
      <c r="C31" s="5">
        <v>2</v>
      </c>
      <c r="D31" s="5">
        <f t="shared" si="0"/>
        <v>155.5</v>
      </c>
      <c r="G31" s="5">
        <v>1</v>
      </c>
      <c r="H31" s="5" t="s">
        <v>26</v>
      </c>
      <c r="I31" s="5">
        <f xml:space="preserve"> SUMIF($B$6:$B$193, "PCL", $D$6:$D$193)</f>
        <v>70.5</v>
      </c>
      <c r="J31" s="8">
        <f t="shared" si="1"/>
        <v>4970.25</v>
      </c>
      <c r="K31" s="5">
        <v>26</v>
      </c>
    </row>
    <row r="32" spans="1:11" x14ac:dyDescent="0.25">
      <c r="A32" s="5" t="s">
        <v>61</v>
      </c>
      <c r="B32" s="5" t="s">
        <v>55</v>
      </c>
      <c r="C32" s="5">
        <v>2</v>
      </c>
      <c r="D32" s="5">
        <f t="shared" si="0"/>
        <v>155.5</v>
      </c>
      <c r="G32" s="5">
        <v>1</v>
      </c>
      <c r="H32" s="5" t="s">
        <v>27</v>
      </c>
      <c r="I32" s="5">
        <f xml:space="preserve"> SUMIF($B$6:$B$193, "PDI", $D$6:$D$193)</f>
        <v>70.5</v>
      </c>
      <c r="J32" s="8">
        <f t="shared" si="1"/>
        <v>4970.25</v>
      </c>
      <c r="K32" s="5">
        <v>27</v>
      </c>
    </row>
    <row r="33" spans="1:11" x14ac:dyDescent="0.25">
      <c r="A33" s="5" t="s">
        <v>61</v>
      </c>
      <c r="B33" s="5" t="s">
        <v>23</v>
      </c>
      <c r="C33" s="5">
        <v>1</v>
      </c>
      <c r="D33" s="5">
        <f t="shared" si="0"/>
        <v>70.5</v>
      </c>
      <c r="G33" s="5">
        <v>2</v>
      </c>
      <c r="H33" s="5" t="s">
        <v>28</v>
      </c>
      <c r="I33" s="5">
        <f xml:space="preserve"> SUMIF($B$6:$B$193, "PEEK", $D$6:$D$193)</f>
        <v>226</v>
      </c>
      <c r="J33" s="8">
        <f t="shared" si="1"/>
        <v>25538</v>
      </c>
      <c r="K33" s="5">
        <v>28</v>
      </c>
    </row>
    <row r="34" spans="1:11" x14ac:dyDescent="0.25">
      <c r="A34" s="5" t="s">
        <v>61</v>
      </c>
      <c r="B34" s="5" t="s">
        <v>29</v>
      </c>
      <c r="C34" s="5">
        <v>1</v>
      </c>
      <c r="D34" s="5">
        <f t="shared" si="0"/>
        <v>70.5</v>
      </c>
      <c r="G34" s="5">
        <v>8</v>
      </c>
      <c r="H34" s="5" t="s">
        <v>29</v>
      </c>
      <c r="I34" s="5">
        <f xml:space="preserve"> SUMIF($B$6:$B$193, "PEG", $D$6:$D$193)</f>
        <v>649</v>
      </c>
      <c r="J34" s="8">
        <f t="shared" si="1"/>
        <v>52650.125</v>
      </c>
      <c r="K34" s="5">
        <v>29</v>
      </c>
    </row>
    <row r="35" spans="1:11" x14ac:dyDescent="0.25">
      <c r="A35" s="5" t="s">
        <v>62</v>
      </c>
      <c r="B35" s="5" t="s">
        <v>17</v>
      </c>
      <c r="C35" s="5">
        <v>1</v>
      </c>
      <c r="D35" s="5">
        <f t="shared" si="0"/>
        <v>70.5</v>
      </c>
      <c r="G35" s="5">
        <v>3</v>
      </c>
      <c r="H35" s="5" t="s">
        <v>30</v>
      </c>
      <c r="I35" s="5">
        <f xml:space="preserve"> SUMIF($B$6:$B$193, "PEI", $D$6:$D$193)</f>
        <v>211.5</v>
      </c>
      <c r="J35" s="8">
        <f t="shared" si="1"/>
        <v>14910.75</v>
      </c>
      <c r="K35" s="5">
        <v>30</v>
      </c>
    </row>
    <row r="36" spans="1:11" x14ac:dyDescent="0.25">
      <c r="A36" s="5" t="s">
        <v>62</v>
      </c>
      <c r="B36" s="5" t="s">
        <v>52</v>
      </c>
      <c r="C36" s="5">
        <v>2</v>
      </c>
      <c r="D36" s="5">
        <f t="shared" si="0"/>
        <v>155.5</v>
      </c>
      <c r="G36" s="5">
        <v>3</v>
      </c>
      <c r="H36" s="5" t="s">
        <v>31</v>
      </c>
      <c r="I36" s="5">
        <f xml:space="preserve"> SUMIF($B$6:$B$193, "PEPQ", $D$6:$D$193)</f>
        <v>211.5</v>
      </c>
      <c r="J36" s="8">
        <f t="shared" si="1"/>
        <v>14910.75</v>
      </c>
      <c r="K36" s="5">
        <v>31</v>
      </c>
    </row>
    <row r="37" spans="1:11" x14ac:dyDescent="0.25">
      <c r="A37" s="5" t="s">
        <v>62</v>
      </c>
      <c r="B37" s="5" t="s">
        <v>36</v>
      </c>
      <c r="C37" s="5">
        <v>1</v>
      </c>
      <c r="D37" s="5">
        <f t="shared" si="0"/>
        <v>70.5</v>
      </c>
      <c r="G37" s="5">
        <v>3</v>
      </c>
      <c r="H37" s="5" t="s">
        <v>32</v>
      </c>
      <c r="I37" s="5">
        <f xml:space="preserve"> SUMIF($B$6:$B$193, "PES", $D$6:$D$193)</f>
        <v>211.5</v>
      </c>
      <c r="J37" s="8">
        <f t="shared" si="1"/>
        <v>14910.75</v>
      </c>
      <c r="K37" s="5">
        <v>32</v>
      </c>
    </row>
    <row r="38" spans="1:11" x14ac:dyDescent="0.25">
      <c r="A38" s="5" t="s">
        <v>62</v>
      </c>
      <c r="B38" s="5" t="s">
        <v>25</v>
      </c>
      <c r="C38" s="5">
        <v>7</v>
      </c>
      <c r="D38" s="5">
        <f t="shared" si="0"/>
        <v>184.5</v>
      </c>
      <c r="G38" s="5">
        <v>4</v>
      </c>
      <c r="H38" s="5" t="s">
        <v>33</v>
      </c>
      <c r="I38" s="5">
        <f xml:space="preserve"> SUMIF($B$6:$B$193, "PET", $D$6:$D$193)</f>
        <v>367</v>
      </c>
      <c r="J38" s="8">
        <f t="shared" si="1"/>
        <v>33672.25</v>
      </c>
      <c r="K38" s="5">
        <v>33</v>
      </c>
    </row>
    <row r="39" spans="1:11" x14ac:dyDescent="0.25">
      <c r="A39" s="5" t="s">
        <v>62</v>
      </c>
      <c r="B39" s="5" t="s">
        <v>19</v>
      </c>
      <c r="C39" s="5">
        <v>1</v>
      </c>
      <c r="D39" s="5">
        <f t="shared" si="0"/>
        <v>70.5</v>
      </c>
      <c r="G39" s="5">
        <v>2</v>
      </c>
      <c r="H39" s="5" t="s">
        <v>34</v>
      </c>
      <c r="I39" s="5">
        <f xml:space="preserve"> SUMIF($B$6:$B$193, "PETG", $D$6:$D$193)</f>
        <v>141</v>
      </c>
      <c r="J39" s="8">
        <f t="shared" si="1"/>
        <v>9940.5</v>
      </c>
      <c r="K39" s="5">
        <v>34</v>
      </c>
    </row>
    <row r="40" spans="1:11" x14ac:dyDescent="0.25">
      <c r="A40" s="5" t="s">
        <v>62</v>
      </c>
      <c r="B40" s="5" t="s">
        <v>32</v>
      </c>
      <c r="C40" s="5">
        <v>1</v>
      </c>
      <c r="D40" s="5">
        <f t="shared" si="0"/>
        <v>70.5</v>
      </c>
      <c r="G40" s="5">
        <v>1</v>
      </c>
      <c r="H40" s="5" t="s">
        <v>35</v>
      </c>
      <c r="I40" s="5">
        <f xml:space="preserve"> SUMIF($B$6:$B$193, "PHSI", $D$6:$D$193)</f>
        <v>70.5</v>
      </c>
      <c r="J40" s="8">
        <f t="shared" si="1"/>
        <v>4970.25</v>
      </c>
      <c r="K40" s="5">
        <v>35</v>
      </c>
    </row>
    <row r="41" spans="1:11" x14ac:dyDescent="0.25">
      <c r="A41" s="5" t="s">
        <v>62</v>
      </c>
      <c r="B41" s="5" t="s">
        <v>51</v>
      </c>
      <c r="C41" s="5">
        <v>1</v>
      </c>
      <c r="D41" s="5">
        <f t="shared" si="0"/>
        <v>70.5</v>
      </c>
      <c r="G41" s="5">
        <v>8</v>
      </c>
      <c r="H41" s="5" t="s">
        <v>36</v>
      </c>
      <c r="I41" s="5">
        <f xml:space="preserve"> SUMIF($B$6:$B$193, "PI", $D$6:$D$193)</f>
        <v>819</v>
      </c>
      <c r="J41" s="8">
        <f t="shared" si="1"/>
        <v>83845.125</v>
      </c>
      <c r="K41" s="5">
        <v>36</v>
      </c>
    </row>
    <row r="42" spans="1:11" x14ac:dyDescent="0.25">
      <c r="A42" s="5" t="s">
        <v>62</v>
      </c>
      <c r="B42" s="5" t="s">
        <v>12</v>
      </c>
      <c r="C42" s="5">
        <v>2</v>
      </c>
      <c r="D42" s="5">
        <f t="shared" si="0"/>
        <v>155.5</v>
      </c>
      <c r="G42" s="5">
        <v>1</v>
      </c>
      <c r="H42" s="5" t="s">
        <v>37</v>
      </c>
      <c r="I42" s="5">
        <f xml:space="preserve"> SUMIF($B$6:$B$193, "PIB", $D$6:$D$193)</f>
        <v>70.5</v>
      </c>
      <c r="J42" s="8">
        <f t="shared" si="1"/>
        <v>4970.25</v>
      </c>
      <c r="K42" s="5">
        <v>37</v>
      </c>
    </row>
    <row r="43" spans="1:11" x14ac:dyDescent="0.25">
      <c r="A43" s="5" t="s">
        <v>62</v>
      </c>
      <c r="B43" s="5" t="s">
        <v>57</v>
      </c>
      <c r="C43" s="5">
        <v>1</v>
      </c>
      <c r="D43" s="5">
        <f t="shared" si="0"/>
        <v>70.5</v>
      </c>
      <c r="G43" s="5">
        <v>1</v>
      </c>
      <c r="H43" s="5" t="s">
        <v>38</v>
      </c>
      <c r="I43" s="5">
        <f xml:space="preserve"> SUMIF($B$6:$B$193, "PIP", $D$6:$D$193)</f>
        <v>70.5</v>
      </c>
      <c r="J43" s="8">
        <f t="shared" si="1"/>
        <v>4970.25</v>
      </c>
      <c r="K43" s="5">
        <v>38</v>
      </c>
    </row>
    <row r="44" spans="1:11" x14ac:dyDescent="0.25">
      <c r="A44" s="5" t="s">
        <v>62</v>
      </c>
      <c r="B44" s="5" t="s">
        <v>14</v>
      </c>
      <c r="C44" s="5">
        <v>1</v>
      </c>
      <c r="D44" s="5">
        <f t="shared" si="0"/>
        <v>70.5</v>
      </c>
      <c r="G44" s="6">
        <v>5</v>
      </c>
      <c r="H44" s="6" t="s">
        <v>39</v>
      </c>
      <c r="I44" s="5">
        <v>0</v>
      </c>
      <c r="J44" s="8">
        <f>I44^2/G44</f>
        <v>0</v>
      </c>
      <c r="K44" s="5">
        <v>39</v>
      </c>
    </row>
    <row r="45" spans="1:11" x14ac:dyDescent="0.25">
      <c r="A45" s="5" t="s">
        <v>62</v>
      </c>
      <c r="B45" s="5" t="s">
        <v>4</v>
      </c>
      <c r="C45" s="5">
        <v>1</v>
      </c>
      <c r="D45" s="5">
        <f t="shared" si="0"/>
        <v>70.5</v>
      </c>
      <c r="G45" s="5">
        <v>2</v>
      </c>
      <c r="H45" s="5" t="s">
        <v>40</v>
      </c>
      <c r="I45" s="5">
        <f xml:space="preserve"> SUMIF($B$6:$B$193, "PMP", $D$6:$D$193)</f>
        <v>141</v>
      </c>
      <c r="J45" s="8">
        <f t="shared" si="1"/>
        <v>9940.5</v>
      </c>
      <c r="K45" s="5">
        <v>40</v>
      </c>
    </row>
    <row r="46" spans="1:11" x14ac:dyDescent="0.25">
      <c r="A46" s="5" t="s">
        <v>63</v>
      </c>
      <c r="B46" s="5" t="s">
        <v>4</v>
      </c>
      <c r="C46" s="5">
        <v>1</v>
      </c>
      <c r="D46" s="5">
        <f t="shared" si="0"/>
        <v>70.5</v>
      </c>
      <c r="G46" s="5">
        <v>1</v>
      </c>
      <c r="H46" s="5" t="s">
        <v>41</v>
      </c>
      <c r="I46" s="5">
        <f xml:space="preserve"> SUMIF($B$6:$B$193, "POM", $D$6:$D$193)</f>
        <v>70.5</v>
      </c>
      <c r="J46" s="8">
        <f t="shared" si="1"/>
        <v>4970.25</v>
      </c>
      <c r="K46" s="5">
        <v>41</v>
      </c>
    </row>
    <row r="47" spans="1:11" x14ac:dyDescent="0.25">
      <c r="A47" s="5" t="s">
        <v>63</v>
      </c>
      <c r="B47" s="5" t="s">
        <v>56</v>
      </c>
      <c r="C47" s="5">
        <v>1</v>
      </c>
      <c r="D47" s="5">
        <f t="shared" si="0"/>
        <v>70.5</v>
      </c>
      <c r="G47" s="5">
        <v>4</v>
      </c>
      <c r="H47" s="5" t="s">
        <v>42</v>
      </c>
      <c r="I47" s="5">
        <f xml:space="preserve"> SUMIF($B$6:$B$193, "PP", $D$6:$D$193)</f>
        <v>282</v>
      </c>
      <c r="J47" s="8">
        <f t="shared" si="1"/>
        <v>19881</v>
      </c>
      <c r="K47" s="5">
        <v>42</v>
      </c>
    </row>
    <row r="48" spans="1:11" x14ac:dyDescent="0.25">
      <c r="A48" s="5" t="s">
        <v>63</v>
      </c>
      <c r="B48" s="5" t="s">
        <v>17</v>
      </c>
      <c r="C48" s="5">
        <v>1</v>
      </c>
      <c r="D48" s="5">
        <f t="shared" si="0"/>
        <v>70.5</v>
      </c>
      <c r="G48" s="5">
        <v>2</v>
      </c>
      <c r="H48" s="5" t="s">
        <v>43</v>
      </c>
      <c r="I48" s="5">
        <f xml:space="preserve"> SUMIF($B$6:$B$193, "PPO", $D$6:$D$193)</f>
        <v>141</v>
      </c>
      <c r="J48" s="8">
        <f t="shared" si="1"/>
        <v>9940.5</v>
      </c>
      <c r="K48" s="5">
        <v>43</v>
      </c>
    </row>
    <row r="49" spans="1:18" x14ac:dyDescent="0.25">
      <c r="A49" s="5" t="s">
        <v>63</v>
      </c>
      <c r="B49" s="5" t="s">
        <v>15</v>
      </c>
      <c r="C49" s="5">
        <v>1</v>
      </c>
      <c r="D49" s="5">
        <f t="shared" si="0"/>
        <v>70.5</v>
      </c>
      <c r="G49" s="5">
        <v>8</v>
      </c>
      <c r="H49" s="5" t="s">
        <v>44</v>
      </c>
      <c r="I49" s="5">
        <f xml:space="preserve"> SUMIF($B$6:$B$193, "PPS", $D$6:$D$193)</f>
        <v>889.5</v>
      </c>
      <c r="J49" s="8">
        <f t="shared" si="1"/>
        <v>98901.28125</v>
      </c>
      <c r="K49" s="5">
        <v>44</v>
      </c>
    </row>
    <row r="50" spans="1:18" x14ac:dyDescent="0.25">
      <c r="A50" s="5" t="s">
        <v>63</v>
      </c>
      <c r="B50" s="5" t="s">
        <v>30</v>
      </c>
      <c r="C50" s="5">
        <v>1</v>
      </c>
      <c r="D50" s="5">
        <f t="shared" si="0"/>
        <v>70.5</v>
      </c>
      <c r="G50" s="5">
        <v>6</v>
      </c>
      <c r="H50" s="5" t="s">
        <v>45</v>
      </c>
      <c r="I50" s="5">
        <f xml:space="preserve"> SUMIF($B$6:$B$193, "PS", $D$6:$D$193)</f>
        <v>423</v>
      </c>
      <c r="J50" s="8">
        <f t="shared" si="1"/>
        <v>29821.5</v>
      </c>
      <c r="K50" s="5">
        <v>45</v>
      </c>
    </row>
    <row r="51" spans="1:18" x14ac:dyDescent="0.25">
      <c r="A51" s="5" t="s">
        <v>63</v>
      </c>
      <c r="B51" s="5" t="s">
        <v>25</v>
      </c>
      <c r="C51" s="5">
        <v>1</v>
      </c>
      <c r="D51" s="5">
        <f t="shared" si="0"/>
        <v>70.5</v>
      </c>
      <c r="G51" s="5">
        <v>2</v>
      </c>
      <c r="H51" s="5" t="s">
        <v>46</v>
      </c>
      <c r="I51" s="5">
        <f xml:space="preserve"> SUMIF($B$6:$B$193, "PSO", $D$6:$D$193)</f>
        <v>141</v>
      </c>
      <c r="J51" s="8">
        <f t="shared" si="1"/>
        <v>9940.5</v>
      </c>
      <c r="K51" s="5">
        <v>46</v>
      </c>
    </row>
    <row r="52" spans="1:18" x14ac:dyDescent="0.25">
      <c r="A52" s="5" t="s">
        <v>63</v>
      </c>
      <c r="B52" s="5" t="s">
        <v>29</v>
      </c>
      <c r="C52" s="5">
        <v>1</v>
      </c>
      <c r="D52" s="5">
        <f t="shared" si="0"/>
        <v>70.5</v>
      </c>
      <c r="G52" s="5">
        <v>2</v>
      </c>
      <c r="H52" s="5" t="s">
        <v>47</v>
      </c>
      <c r="I52" s="5">
        <f xml:space="preserve"> SUMIF($B$6:$B$193, "PTFE2", $D$6:$D$193)</f>
        <v>141</v>
      </c>
      <c r="J52" s="8">
        <f t="shared" si="1"/>
        <v>9940.5</v>
      </c>
      <c r="K52" s="5">
        <v>47</v>
      </c>
    </row>
    <row r="53" spans="1:18" x14ac:dyDescent="0.25">
      <c r="A53" s="5" t="s">
        <v>64</v>
      </c>
      <c r="B53" s="5" t="s">
        <v>9</v>
      </c>
      <c r="C53" s="5">
        <v>1</v>
      </c>
      <c r="D53" s="5">
        <f t="shared" si="0"/>
        <v>70.5</v>
      </c>
      <c r="G53" s="5">
        <v>1</v>
      </c>
      <c r="H53" s="5" t="s">
        <v>48</v>
      </c>
      <c r="I53" s="5">
        <f xml:space="preserve"> SUMIF($B$6:$B$193, "PUR", $D$6:$D$193)</f>
        <v>70.5</v>
      </c>
      <c r="J53" s="8">
        <f t="shared" si="1"/>
        <v>4970.25</v>
      </c>
      <c r="K53" s="5">
        <v>48</v>
      </c>
    </row>
    <row r="54" spans="1:18" x14ac:dyDescent="0.25">
      <c r="A54" s="5" t="s">
        <v>64</v>
      </c>
      <c r="B54" s="5" t="s">
        <v>25</v>
      </c>
      <c r="C54" s="5">
        <v>1</v>
      </c>
      <c r="D54" s="5">
        <f t="shared" si="0"/>
        <v>70.5</v>
      </c>
      <c r="G54" s="5">
        <v>4</v>
      </c>
      <c r="H54" s="5" t="s">
        <v>49</v>
      </c>
      <c r="I54" s="5">
        <f xml:space="preserve"> SUMIF($B$6:$B$193, "PVC", $D$6:$D$193)</f>
        <v>452</v>
      </c>
      <c r="J54" s="8">
        <f t="shared" si="1"/>
        <v>51076</v>
      </c>
      <c r="K54" s="5">
        <v>49</v>
      </c>
    </row>
    <row r="55" spans="1:18" x14ac:dyDescent="0.25">
      <c r="A55" s="5" t="s">
        <v>64</v>
      </c>
      <c r="B55" s="5" t="s">
        <v>6</v>
      </c>
      <c r="C55" s="5">
        <v>1</v>
      </c>
      <c r="D55" s="5">
        <f t="shared" si="0"/>
        <v>70.5</v>
      </c>
      <c r="G55" s="5">
        <v>1</v>
      </c>
      <c r="H55" s="5" t="s">
        <v>50</v>
      </c>
      <c r="I55" s="5">
        <f xml:space="preserve"> SUMIF($B$6:$B$193, "PVDC", $D$6:$D$193)</f>
        <v>70.5</v>
      </c>
      <c r="J55" s="8">
        <f t="shared" si="1"/>
        <v>4970.25</v>
      </c>
      <c r="K55" s="5">
        <v>50</v>
      </c>
    </row>
    <row r="56" spans="1:18" x14ac:dyDescent="0.25">
      <c r="A56" s="5" t="s">
        <v>64</v>
      </c>
      <c r="B56" s="5" t="s">
        <v>31</v>
      </c>
      <c r="C56" s="5">
        <v>1</v>
      </c>
      <c r="D56" s="5">
        <f t="shared" si="0"/>
        <v>70.5</v>
      </c>
      <c r="G56" s="5">
        <v>3</v>
      </c>
      <c r="H56" s="5" t="s">
        <v>51</v>
      </c>
      <c r="I56" s="5">
        <f xml:space="preserve"> SUMIF($B$6:$B$193, "PVDF", $D$6:$D$193)</f>
        <v>282</v>
      </c>
      <c r="J56" s="8">
        <f t="shared" si="1"/>
        <v>26508</v>
      </c>
      <c r="K56" s="5">
        <v>51</v>
      </c>
    </row>
    <row r="57" spans="1:18" x14ac:dyDescent="0.25">
      <c r="A57" s="5" t="s">
        <v>64</v>
      </c>
      <c r="B57" s="5" t="s">
        <v>33</v>
      </c>
      <c r="C57" s="5">
        <v>1</v>
      </c>
      <c r="D57" s="5">
        <f t="shared" si="0"/>
        <v>70.5</v>
      </c>
      <c r="G57" s="5">
        <v>6</v>
      </c>
      <c r="H57" s="5" t="s">
        <v>52</v>
      </c>
      <c r="I57" s="5">
        <f xml:space="preserve"> SUMIF($B$6:$B$193, "RUBB", $D$6:$D$193)</f>
        <v>593</v>
      </c>
      <c r="J57" s="8">
        <f t="shared" si="1"/>
        <v>58608.166666666664</v>
      </c>
      <c r="K57" s="5">
        <v>52</v>
      </c>
    </row>
    <row r="58" spans="1:18" x14ac:dyDescent="0.25">
      <c r="A58" s="5" t="s">
        <v>65</v>
      </c>
      <c r="B58" s="5" t="s">
        <v>25</v>
      </c>
      <c r="C58" s="5">
        <v>3</v>
      </c>
      <c r="D58" s="5">
        <f t="shared" si="0"/>
        <v>175</v>
      </c>
      <c r="G58" s="5">
        <v>1</v>
      </c>
      <c r="H58" s="5" t="s">
        <v>53</v>
      </c>
      <c r="I58" s="5">
        <f xml:space="preserve"> SUMIF($B$6:$B$193, "SB", $D$6:$D$193)</f>
        <v>70.5</v>
      </c>
      <c r="J58" s="8">
        <f t="shared" si="1"/>
        <v>4970.25</v>
      </c>
      <c r="K58" s="5">
        <v>53</v>
      </c>
    </row>
    <row r="59" spans="1:18" x14ac:dyDescent="0.25">
      <c r="A59" s="5" t="s">
        <v>65</v>
      </c>
      <c r="B59" s="5" t="s">
        <v>33</v>
      </c>
      <c r="C59" s="5">
        <v>2</v>
      </c>
      <c r="D59" s="5">
        <f t="shared" si="0"/>
        <v>155.5</v>
      </c>
      <c r="G59" s="5">
        <v>1</v>
      </c>
      <c r="H59" s="5" t="s">
        <v>54</v>
      </c>
      <c r="I59" s="5">
        <f xml:space="preserve"> SUMIF($B$6:$B$193, "SBS", $D$6:$D$193)</f>
        <v>70.5</v>
      </c>
      <c r="J59" s="8">
        <f t="shared" si="1"/>
        <v>4970.25</v>
      </c>
      <c r="K59" s="5">
        <v>54</v>
      </c>
    </row>
    <row r="60" spans="1:18" x14ac:dyDescent="0.25">
      <c r="A60" s="5" t="s">
        <v>65</v>
      </c>
      <c r="B60" s="5" t="s">
        <v>18</v>
      </c>
      <c r="C60" s="5">
        <v>1</v>
      </c>
      <c r="D60" s="5">
        <f t="shared" si="0"/>
        <v>70.5</v>
      </c>
      <c r="G60" s="5">
        <v>3</v>
      </c>
      <c r="H60" s="5" t="s">
        <v>55</v>
      </c>
      <c r="I60" s="5">
        <f xml:space="preserve"> SUMIF($B$6:$B$193, "SI", $D$6:$D$193)</f>
        <v>296.5</v>
      </c>
      <c r="J60" s="8">
        <f t="shared" si="1"/>
        <v>29304.083333333332</v>
      </c>
      <c r="K60" s="5">
        <v>55</v>
      </c>
    </row>
    <row r="61" spans="1:18" x14ac:dyDescent="0.25">
      <c r="A61" s="5" t="s">
        <v>65</v>
      </c>
      <c r="B61" s="5" t="s">
        <v>11</v>
      </c>
      <c r="C61" s="5">
        <v>1</v>
      </c>
      <c r="D61" s="5">
        <f t="shared" si="0"/>
        <v>70.5</v>
      </c>
      <c r="G61" s="5">
        <v>1</v>
      </c>
      <c r="H61" s="5" t="s">
        <v>56</v>
      </c>
      <c r="I61" s="5">
        <f xml:space="preserve"> SUMIF($B$6:$B$193, "SMA", $D$6:$D$193)</f>
        <v>70.5</v>
      </c>
      <c r="J61" s="8">
        <f t="shared" si="1"/>
        <v>4970.25</v>
      </c>
      <c r="K61" s="5">
        <v>56</v>
      </c>
      <c r="N61" s="11">
        <f>12*J64</f>
        <v>22320710.52325175</v>
      </c>
      <c r="O61" s="5">
        <f>186*187</f>
        <v>34782</v>
      </c>
      <c r="P61" s="5">
        <f>N61/O61</f>
        <v>641.73165784750017</v>
      </c>
      <c r="Q61" s="5">
        <f>3*187</f>
        <v>561</v>
      </c>
      <c r="R61" s="5">
        <f>P61-Q61</f>
        <v>80.731657847500173</v>
      </c>
    </row>
    <row r="62" spans="1:18" x14ac:dyDescent="0.25">
      <c r="A62" s="5" t="s">
        <v>65</v>
      </c>
      <c r="B62" s="5" t="s">
        <v>46</v>
      </c>
      <c r="C62" s="5">
        <v>1</v>
      </c>
      <c r="D62" s="5">
        <f t="shared" si="0"/>
        <v>70.5</v>
      </c>
      <c r="G62" s="5">
        <v>1</v>
      </c>
      <c r="H62" s="5" t="s">
        <v>57</v>
      </c>
      <c r="I62" s="5">
        <f xml:space="preserve"> SUMIF($B$6:$B$193, "STR", $D$6:$D$193)</f>
        <v>70.5</v>
      </c>
      <c r="J62" s="8">
        <f t="shared" si="1"/>
        <v>4970.25</v>
      </c>
      <c r="K62" s="5">
        <v>57</v>
      </c>
    </row>
    <row r="63" spans="1:18" ht="16.5" thickBot="1" x14ac:dyDescent="0.3">
      <c r="A63" s="5" t="s">
        <v>65</v>
      </c>
      <c r="B63" s="5" t="s">
        <v>4</v>
      </c>
      <c r="C63" s="5">
        <v>1</v>
      </c>
      <c r="D63" s="5">
        <f t="shared" si="0"/>
        <v>70.5</v>
      </c>
      <c r="G63" s="5">
        <v>1</v>
      </c>
      <c r="H63" s="7" t="s">
        <v>58</v>
      </c>
      <c r="I63" s="5">
        <f xml:space="preserve"> SUMIF($B$6:$B$193, "WOIL", $D$6:$D$193)</f>
        <v>70.5</v>
      </c>
      <c r="J63" s="8">
        <f t="shared" si="1"/>
        <v>4970.25</v>
      </c>
      <c r="K63" s="5">
        <v>58</v>
      </c>
    </row>
    <row r="64" spans="1:18" x14ac:dyDescent="0.25">
      <c r="A64" s="5" t="s">
        <v>65</v>
      </c>
      <c r="B64" s="5" t="s">
        <v>44</v>
      </c>
      <c r="C64" s="5">
        <v>1</v>
      </c>
      <c r="D64" s="5">
        <f t="shared" si="0"/>
        <v>70.5</v>
      </c>
      <c r="F64" s="10" t="s">
        <v>91</v>
      </c>
      <c r="G64" s="5">
        <f>SUM(G6:G63)-5</f>
        <v>186</v>
      </c>
      <c r="J64" s="8">
        <f>SUM(J6:J63)</f>
        <v>1860059.210270979</v>
      </c>
    </row>
    <row r="65" spans="1:8" x14ac:dyDescent="0.25">
      <c r="A65" s="5" t="s">
        <v>65</v>
      </c>
      <c r="B65" s="5" t="s">
        <v>6</v>
      </c>
      <c r="C65" s="5">
        <v>1</v>
      </c>
      <c r="D65" s="5">
        <f t="shared" si="0"/>
        <v>70.5</v>
      </c>
    </row>
    <row r="66" spans="1:8" x14ac:dyDescent="0.25">
      <c r="A66" s="5" t="s">
        <v>66</v>
      </c>
      <c r="B66" s="5" t="s">
        <v>4</v>
      </c>
      <c r="C66" s="5">
        <v>2</v>
      </c>
      <c r="D66" s="5">
        <f t="shared" si="0"/>
        <v>155.5</v>
      </c>
      <c r="G66" s="10" t="s">
        <v>89</v>
      </c>
      <c r="H66" s="5">
        <v>56</v>
      </c>
    </row>
    <row r="67" spans="1:8" x14ac:dyDescent="0.25">
      <c r="A67" s="5" t="s">
        <v>66</v>
      </c>
      <c r="B67" s="5" t="s">
        <v>25</v>
      </c>
      <c r="C67" s="5">
        <v>10</v>
      </c>
      <c r="D67" s="5">
        <f t="shared" si="0"/>
        <v>187</v>
      </c>
      <c r="G67" s="5" t="s">
        <v>90</v>
      </c>
      <c r="H67" s="5">
        <f>P61-Q61</f>
        <v>80.731657847500173</v>
      </c>
    </row>
    <row r="68" spans="1:8" x14ac:dyDescent="0.25">
      <c r="A68" s="5" t="s">
        <v>66</v>
      </c>
      <c r="B68" s="5" t="s">
        <v>45</v>
      </c>
      <c r="C68" s="5">
        <v>1</v>
      </c>
      <c r="D68" s="5">
        <f t="shared" si="0"/>
        <v>70.5</v>
      </c>
      <c r="G68" s="10" t="s">
        <v>92</v>
      </c>
      <c r="H68" s="5">
        <v>0.05</v>
      </c>
    </row>
    <row r="69" spans="1:8" x14ac:dyDescent="0.25">
      <c r="A69" s="5" t="s">
        <v>66</v>
      </c>
      <c r="B69" s="5" t="s">
        <v>43</v>
      </c>
      <c r="C69" s="5">
        <v>1</v>
      </c>
      <c r="D69" s="5">
        <f t="shared" si="0"/>
        <v>70.5</v>
      </c>
      <c r="G69" s="10" t="s">
        <v>93</v>
      </c>
      <c r="H69" s="5">
        <f>_xlfn.CHISQ.DIST.RT(H67,H66)</f>
        <v>1.6915629750571516E-2</v>
      </c>
    </row>
    <row r="70" spans="1:8" x14ac:dyDescent="0.25">
      <c r="A70" s="5" t="s">
        <v>66</v>
      </c>
      <c r="B70" s="5" t="s">
        <v>21</v>
      </c>
      <c r="C70" s="5">
        <v>1</v>
      </c>
      <c r="D70" s="5">
        <f t="shared" si="0"/>
        <v>70.5</v>
      </c>
    </row>
    <row r="71" spans="1:8" x14ac:dyDescent="0.25">
      <c r="A71" s="5" t="s">
        <v>66</v>
      </c>
      <c r="B71" s="5" t="s">
        <v>1</v>
      </c>
      <c r="C71" s="5">
        <v>1</v>
      </c>
      <c r="D71" s="5">
        <f t="shared" ref="D71:D134" si="2">_xlfn.RANK.AVG(C71,$C$6:$C$193,1)</f>
        <v>70.5</v>
      </c>
    </row>
    <row r="72" spans="1:8" x14ac:dyDescent="0.25">
      <c r="A72" s="5" t="s">
        <v>66</v>
      </c>
      <c r="B72" s="5" t="s">
        <v>42</v>
      </c>
      <c r="C72" s="5">
        <v>1</v>
      </c>
      <c r="D72" s="5">
        <f t="shared" si="2"/>
        <v>70.5</v>
      </c>
    </row>
    <row r="73" spans="1:8" x14ac:dyDescent="0.25">
      <c r="A73" s="5" t="s">
        <v>67</v>
      </c>
      <c r="B73" s="5" t="s">
        <v>44</v>
      </c>
      <c r="C73" s="5">
        <v>1</v>
      </c>
      <c r="D73" s="5">
        <f t="shared" si="2"/>
        <v>70.5</v>
      </c>
    </row>
    <row r="74" spans="1:8" x14ac:dyDescent="0.25">
      <c r="A74" s="5" t="s">
        <v>67</v>
      </c>
      <c r="B74" s="5" t="s">
        <v>18</v>
      </c>
      <c r="C74" s="5">
        <v>2</v>
      </c>
      <c r="D74" s="5">
        <f t="shared" si="2"/>
        <v>155.5</v>
      </c>
    </row>
    <row r="75" spans="1:8" x14ac:dyDescent="0.25">
      <c r="A75" s="5" t="s">
        <v>67</v>
      </c>
      <c r="B75" s="5" t="s">
        <v>19</v>
      </c>
      <c r="C75" s="5">
        <v>1</v>
      </c>
      <c r="D75" s="5">
        <f t="shared" si="2"/>
        <v>70.5</v>
      </c>
    </row>
    <row r="76" spans="1:8" x14ac:dyDescent="0.25">
      <c r="A76" s="5" t="s">
        <v>67</v>
      </c>
      <c r="B76" s="5" t="s">
        <v>49</v>
      </c>
      <c r="C76" s="5">
        <v>1</v>
      </c>
      <c r="D76" s="5">
        <f t="shared" si="2"/>
        <v>70.5</v>
      </c>
    </row>
    <row r="77" spans="1:8" x14ac:dyDescent="0.25">
      <c r="A77" s="5" t="s">
        <v>67</v>
      </c>
      <c r="B77" s="5" t="s">
        <v>25</v>
      </c>
      <c r="C77" s="5">
        <v>3</v>
      </c>
      <c r="D77" s="5">
        <f t="shared" si="2"/>
        <v>175</v>
      </c>
    </row>
    <row r="78" spans="1:8" x14ac:dyDescent="0.25">
      <c r="A78" s="5" t="s">
        <v>67</v>
      </c>
      <c r="B78" s="5" t="s">
        <v>17</v>
      </c>
      <c r="C78" s="5">
        <v>1</v>
      </c>
      <c r="D78" s="5">
        <f t="shared" si="2"/>
        <v>70.5</v>
      </c>
    </row>
    <row r="79" spans="1:8" x14ac:dyDescent="0.25">
      <c r="A79" s="5" t="s">
        <v>67</v>
      </c>
      <c r="B79" s="5" t="s">
        <v>26</v>
      </c>
      <c r="C79" s="5">
        <v>1</v>
      </c>
      <c r="D79" s="5">
        <f t="shared" si="2"/>
        <v>70.5</v>
      </c>
    </row>
    <row r="80" spans="1:8" x14ac:dyDescent="0.25">
      <c r="A80" s="5" t="s">
        <v>67</v>
      </c>
      <c r="B80" s="5" t="s">
        <v>4</v>
      </c>
      <c r="C80" s="5">
        <v>1</v>
      </c>
      <c r="D80" s="5">
        <f t="shared" si="2"/>
        <v>70.5</v>
      </c>
    </row>
    <row r="81" spans="1:4" x14ac:dyDescent="0.25">
      <c r="A81" s="5" t="s">
        <v>67</v>
      </c>
      <c r="B81" s="5" t="s">
        <v>50</v>
      </c>
      <c r="C81" s="5">
        <v>1</v>
      </c>
      <c r="D81" s="5">
        <f t="shared" si="2"/>
        <v>70.5</v>
      </c>
    </row>
    <row r="82" spans="1:4" x14ac:dyDescent="0.25">
      <c r="A82" s="5" t="s">
        <v>70</v>
      </c>
      <c r="B82" s="5" t="s">
        <v>6</v>
      </c>
      <c r="C82" s="5">
        <v>1</v>
      </c>
      <c r="D82" s="5">
        <f t="shared" si="2"/>
        <v>70.5</v>
      </c>
    </row>
    <row r="83" spans="1:4" x14ac:dyDescent="0.25">
      <c r="A83" s="5" t="s">
        <v>70</v>
      </c>
      <c r="B83" s="5" t="s">
        <v>47</v>
      </c>
      <c r="C83" s="5">
        <v>1</v>
      </c>
      <c r="D83" s="5">
        <f t="shared" si="2"/>
        <v>70.5</v>
      </c>
    </row>
    <row r="84" spans="1:4" x14ac:dyDescent="0.25">
      <c r="A84" s="5" t="s">
        <v>70</v>
      </c>
      <c r="B84" s="5" t="s">
        <v>37</v>
      </c>
      <c r="C84" s="5">
        <v>1</v>
      </c>
      <c r="D84" s="5">
        <f t="shared" si="2"/>
        <v>70.5</v>
      </c>
    </row>
    <row r="85" spans="1:4" x14ac:dyDescent="0.25">
      <c r="A85" s="5" t="s">
        <v>70</v>
      </c>
      <c r="B85" s="5" t="s">
        <v>18</v>
      </c>
      <c r="C85" s="5">
        <v>1</v>
      </c>
      <c r="D85" s="5">
        <f t="shared" si="2"/>
        <v>70.5</v>
      </c>
    </row>
    <row r="86" spans="1:4" x14ac:dyDescent="0.25">
      <c r="A86" s="5" t="s">
        <v>70</v>
      </c>
      <c r="B86" s="5" t="s">
        <v>25</v>
      </c>
      <c r="C86" s="5">
        <v>11</v>
      </c>
      <c r="D86" s="5">
        <f t="shared" si="2"/>
        <v>188</v>
      </c>
    </row>
    <row r="87" spans="1:4" x14ac:dyDescent="0.25">
      <c r="A87" s="5" t="s">
        <v>70</v>
      </c>
      <c r="B87" s="5" t="s">
        <v>16</v>
      </c>
      <c r="C87" s="5">
        <v>1</v>
      </c>
      <c r="D87" s="5">
        <f t="shared" si="2"/>
        <v>70.5</v>
      </c>
    </row>
    <row r="88" spans="1:4" x14ac:dyDescent="0.25">
      <c r="A88" s="5" t="s">
        <v>70</v>
      </c>
      <c r="B88" s="5" t="s">
        <v>29</v>
      </c>
      <c r="C88" s="5">
        <v>1</v>
      </c>
      <c r="D88" s="5">
        <f t="shared" si="2"/>
        <v>70.5</v>
      </c>
    </row>
    <row r="89" spans="1:4" x14ac:dyDescent="0.25">
      <c r="A89" s="5" t="s">
        <v>70</v>
      </c>
      <c r="B89" s="5" t="s">
        <v>8</v>
      </c>
      <c r="C89" s="5">
        <v>1</v>
      </c>
      <c r="D89" s="5">
        <f t="shared" si="2"/>
        <v>70.5</v>
      </c>
    </row>
    <row r="90" spans="1:4" x14ac:dyDescent="0.25">
      <c r="A90" s="5" t="s">
        <v>70</v>
      </c>
      <c r="B90" s="5" t="s">
        <v>4</v>
      </c>
      <c r="C90" s="5">
        <v>1</v>
      </c>
      <c r="D90" s="5">
        <f t="shared" si="2"/>
        <v>70.5</v>
      </c>
    </row>
    <row r="91" spans="1:4" x14ac:dyDescent="0.25">
      <c r="A91" s="5" t="s">
        <v>71</v>
      </c>
      <c r="B91" s="5" t="s">
        <v>44</v>
      </c>
      <c r="C91" s="5">
        <v>2</v>
      </c>
      <c r="D91" s="5">
        <f t="shared" si="2"/>
        <v>155.5</v>
      </c>
    </row>
    <row r="92" spans="1:4" x14ac:dyDescent="0.25">
      <c r="A92" s="5" t="s">
        <v>71</v>
      </c>
      <c r="B92" s="5" t="s">
        <v>5</v>
      </c>
      <c r="C92" s="5">
        <v>1</v>
      </c>
      <c r="D92" s="5">
        <f t="shared" si="2"/>
        <v>70.5</v>
      </c>
    </row>
    <row r="93" spans="1:4" x14ac:dyDescent="0.25">
      <c r="A93" s="5" t="s">
        <v>71</v>
      </c>
      <c r="B93" s="5" t="s">
        <v>29</v>
      </c>
      <c r="C93" s="5">
        <v>1</v>
      </c>
      <c r="D93" s="5">
        <f t="shared" si="2"/>
        <v>70.5</v>
      </c>
    </row>
    <row r="94" spans="1:4" x14ac:dyDescent="0.25">
      <c r="A94" s="5" t="s">
        <v>71</v>
      </c>
      <c r="B94" s="5" t="s">
        <v>52</v>
      </c>
      <c r="C94" s="5">
        <v>1</v>
      </c>
      <c r="D94" s="5">
        <f t="shared" si="2"/>
        <v>70.5</v>
      </c>
    </row>
    <row r="95" spans="1:4" x14ac:dyDescent="0.25">
      <c r="A95" s="5" t="s">
        <v>71</v>
      </c>
      <c r="B95" s="5" t="s">
        <v>6</v>
      </c>
      <c r="C95" s="5">
        <v>2</v>
      </c>
      <c r="D95" s="5">
        <f t="shared" si="2"/>
        <v>155.5</v>
      </c>
    </row>
    <row r="96" spans="1:4" x14ac:dyDescent="0.25">
      <c r="A96" s="5" t="s">
        <v>71</v>
      </c>
      <c r="B96" s="5" t="s">
        <v>27</v>
      </c>
      <c r="C96" s="5">
        <v>1</v>
      </c>
      <c r="D96" s="5">
        <f t="shared" si="2"/>
        <v>70.5</v>
      </c>
    </row>
    <row r="97" spans="1:4" x14ac:dyDescent="0.25">
      <c r="A97" s="5" t="s">
        <v>71</v>
      </c>
      <c r="B97" s="5" t="s">
        <v>14</v>
      </c>
      <c r="C97" s="5">
        <v>1</v>
      </c>
      <c r="D97" s="5">
        <f t="shared" si="2"/>
        <v>70.5</v>
      </c>
    </row>
    <row r="98" spans="1:4" x14ac:dyDescent="0.25">
      <c r="A98" s="5" t="s">
        <v>71</v>
      </c>
      <c r="B98" s="5" t="s">
        <v>31</v>
      </c>
      <c r="C98" s="5">
        <v>1</v>
      </c>
      <c r="D98" s="5">
        <f t="shared" si="2"/>
        <v>70.5</v>
      </c>
    </row>
    <row r="99" spans="1:4" x14ac:dyDescent="0.25">
      <c r="A99" s="5" t="s">
        <v>71</v>
      </c>
      <c r="B99" s="5" t="s">
        <v>25</v>
      </c>
      <c r="C99" s="5">
        <v>3</v>
      </c>
      <c r="D99" s="5">
        <f t="shared" si="2"/>
        <v>175</v>
      </c>
    </row>
    <row r="100" spans="1:4" x14ac:dyDescent="0.25">
      <c r="A100" s="5" t="s">
        <v>71</v>
      </c>
      <c r="B100" s="5" t="s">
        <v>36</v>
      </c>
      <c r="C100" s="5">
        <v>1</v>
      </c>
      <c r="D100" s="5">
        <f t="shared" si="2"/>
        <v>70.5</v>
      </c>
    </row>
    <row r="101" spans="1:4" x14ac:dyDescent="0.25">
      <c r="A101" s="5" t="s">
        <v>71</v>
      </c>
      <c r="B101" s="5" t="s">
        <v>18</v>
      </c>
      <c r="C101" s="5">
        <v>2</v>
      </c>
      <c r="D101" s="5">
        <f t="shared" si="2"/>
        <v>155.5</v>
      </c>
    </row>
    <row r="102" spans="1:4" x14ac:dyDescent="0.25">
      <c r="A102" s="5" t="s">
        <v>71</v>
      </c>
      <c r="B102" s="5" t="s">
        <v>15</v>
      </c>
      <c r="C102" s="5">
        <v>1</v>
      </c>
      <c r="D102" s="5">
        <f t="shared" si="2"/>
        <v>70.5</v>
      </c>
    </row>
    <row r="103" spans="1:4" x14ac:dyDescent="0.25">
      <c r="A103" s="5" t="s">
        <v>71</v>
      </c>
      <c r="B103" s="5" t="s">
        <v>45</v>
      </c>
      <c r="C103" s="5">
        <v>1</v>
      </c>
      <c r="D103" s="5">
        <f t="shared" si="2"/>
        <v>70.5</v>
      </c>
    </row>
    <row r="104" spans="1:4" x14ac:dyDescent="0.25">
      <c r="A104" s="5" t="s">
        <v>71</v>
      </c>
      <c r="B104" s="5" t="s">
        <v>30</v>
      </c>
      <c r="C104" s="5">
        <v>1</v>
      </c>
      <c r="D104" s="5">
        <f t="shared" si="2"/>
        <v>70.5</v>
      </c>
    </row>
    <row r="105" spans="1:4" x14ac:dyDescent="0.25">
      <c r="A105" s="5" t="s">
        <v>71</v>
      </c>
      <c r="B105" s="5" t="s">
        <v>35</v>
      </c>
      <c r="C105" s="5">
        <v>1</v>
      </c>
      <c r="D105" s="5">
        <f t="shared" si="2"/>
        <v>70.5</v>
      </c>
    </row>
    <row r="106" spans="1:4" x14ac:dyDescent="0.25">
      <c r="A106" s="5" t="s">
        <v>71</v>
      </c>
      <c r="B106" s="5" t="s">
        <v>20</v>
      </c>
      <c r="C106" s="5">
        <v>1</v>
      </c>
      <c r="D106" s="5">
        <f t="shared" si="2"/>
        <v>70.5</v>
      </c>
    </row>
    <row r="107" spans="1:4" x14ac:dyDescent="0.25">
      <c r="A107" s="5" t="s">
        <v>72</v>
      </c>
      <c r="B107" s="5" t="s">
        <v>42</v>
      </c>
      <c r="C107" s="5">
        <v>1</v>
      </c>
      <c r="D107" s="5">
        <f t="shared" si="2"/>
        <v>70.5</v>
      </c>
    </row>
    <row r="108" spans="1:4" x14ac:dyDescent="0.25">
      <c r="A108" s="5" t="s">
        <v>72</v>
      </c>
      <c r="B108" s="5" t="s">
        <v>18</v>
      </c>
      <c r="C108" s="5">
        <v>1</v>
      </c>
      <c r="D108" s="5">
        <f t="shared" si="2"/>
        <v>70.5</v>
      </c>
    </row>
    <row r="109" spans="1:4" x14ac:dyDescent="0.25">
      <c r="A109" s="5" t="s">
        <v>72</v>
      </c>
      <c r="B109" s="5" t="s">
        <v>44</v>
      </c>
      <c r="C109" s="5">
        <v>2</v>
      </c>
      <c r="D109" s="5">
        <f t="shared" si="2"/>
        <v>155.5</v>
      </c>
    </row>
    <row r="110" spans="1:4" x14ac:dyDescent="0.25">
      <c r="A110" s="5" t="s">
        <v>72</v>
      </c>
      <c r="B110" s="5" t="s">
        <v>45</v>
      </c>
      <c r="C110" s="5">
        <v>1</v>
      </c>
      <c r="D110" s="5">
        <f t="shared" si="2"/>
        <v>70.5</v>
      </c>
    </row>
    <row r="111" spans="1:4" x14ac:dyDescent="0.25">
      <c r="A111" s="5" t="s">
        <v>72</v>
      </c>
      <c r="B111" s="5" t="s">
        <v>6</v>
      </c>
      <c r="C111" s="5">
        <v>2</v>
      </c>
      <c r="D111" s="5">
        <f t="shared" si="2"/>
        <v>155.5</v>
      </c>
    </row>
    <row r="112" spans="1:4" x14ac:dyDescent="0.25">
      <c r="A112" s="5" t="s">
        <v>72</v>
      </c>
      <c r="B112" s="5" t="s">
        <v>38</v>
      </c>
      <c r="C112" s="5">
        <v>1</v>
      </c>
      <c r="D112" s="5">
        <f t="shared" si="2"/>
        <v>70.5</v>
      </c>
    </row>
    <row r="113" spans="1:4" x14ac:dyDescent="0.25">
      <c r="A113" s="5" t="s">
        <v>73</v>
      </c>
      <c r="B113" s="5" t="s">
        <v>49</v>
      </c>
      <c r="C113" s="5">
        <v>2</v>
      </c>
      <c r="D113" s="5">
        <f t="shared" si="2"/>
        <v>155.5</v>
      </c>
    </row>
    <row r="114" spans="1:4" x14ac:dyDescent="0.25">
      <c r="A114" s="5" t="s">
        <v>73</v>
      </c>
      <c r="B114" s="5" t="s">
        <v>44</v>
      </c>
      <c r="C114" s="5">
        <v>2</v>
      </c>
      <c r="D114" s="5">
        <f t="shared" si="2"/>
        <v>155.5</v>
      </c>
    </row>
    <row r="115" spans="1:4" x14ac:dyDescent="0.25">
      <c r="A115" s="5" t="s">
        <v>73</v>
      </c>
      <c r="B115" s="5" t="s">
        <v>6</v>
      </c>
      <c r="C115" s="5">
        <v>2</v>
      </c>
      <c r="D115" s="5">
        <f t="shared" si="2"/>
        <v>155.5</v>
      </c>
    </row>
    <row r="116" spans="1:4" x14ac:dyDescent="0.25">
      <c r="A116" s="5" t="s">
        <v>73</v>
      </c>
      <c r="B116" s="5" t="s">
        <v>51</v>
      </c>
      <c r="C116" s="5">
        <v>1</v>
      </c>
      <c r="D116" s="5">
        <f t="shared" si="2"/>
        <v>70.5</v>
      </c>
    </row>
    <row r="117" spans="1:4" x14ac:dyDescent="0.25">
      <c r="A117" s="5" t="s">
        <v>73</v>
      </c>
      <c r="B117" s="5" t="s">
        <v>11</v>
      </c>
      <c r="C117" s="5">
        <v>1</v>
      </c>
      <c r="D117" s="5">
        <f t="shared" si="2"/>
        <v>70.5</v>
      </c>
    </row>
    <row r="118" spans="1:4" x14ac:dyDescent="0.25">
      <c r="A118" s="5" t="s">
        <v>73</v>
      </c>
      <c r="B118" s="5" t="s">
        <v>22</v>
      </c>
      <c r="C118" s="5">
        <v>1</v>
      </c>
      <c r="D118" s="5">
        <f t="shared" si="2"/>
        <v>70.5</v>
      </c>
    </row>
    <row r="119" spans="1:4" x14ac:dyDescent="0.25">
      <c r="A119" s="5" t="s">
        <v>73</v>
      </c>
      <c r="B119" s="5" t="s">
        <v>18</v>
      </c>
      <c r="C119" s="5">
        <v>1</v>
      </c>
      <c r="D119" s="5">
        <f t="shared" si="2"/>
        <v>70.5</v>
      </c>
    </row>
    <row r="120" spans="1:4" x14ac:dyDescent="0.25">
      <c r="A120" s="5" t="s">
        <v>73</v>
      </c>
      <c r="B120" s="5" t="s">
        <v>25</v>
      </c>
      <c r="C120" s="5">
        <v>3</v>
      </c>
      <c r="D120" s="5">
        <f t="shared" si="2"/>
        <v>175</v>
      </c>
    </row>
    <row r="121" spans="1:4" x14ac:dyDescent="0.25">
      <c r="A121" s="5" t="s">
        <v>73</v>
      </c>
      <c r="B121" s="5" t="s">
        <v>15</v>
      </c>
      <c r="C121" s="5">
        <v>1</v>
      </c>
      <c r="D121" s="5">
        <f t="shared" si="2"/>
        <v>70.5</v>
      </c>
    </row>
    <row r="122" spans="1:4" x14ac:dyDescent="0.25">
      <c r="A122" s="5" t="s">
        <v>73</v>
      </c>
      <c r="B122" s="5" t="s">
        <v>36</v>
      </c>
      <c r="C122" s="5">
        <v>1</v>
      </c>
      <c r="D122" s="5">
        <f t="shared" si="2"/>
        <v>70.5</v>
      </c>
    </row>
    <row r="123" spans="1:4" x14ac:dyDescent="0.25">
      <c r="A123" s="5" t="s">
        <v>73</v>
      </c>
      <c r="B123" s="5" t="s">
        <v>29</v>
      </c>
      <c r="C123" s="5">
        <v>1</v>
      </c>
      <c r="D123" s="5">
        <f t="shared" si="2"/>
        <v>70.5</v>
      </c>
    </row>
    <row r="124" spans="1:4" x14ac:dyDescent="0.25">
      <c r="A124" s="5" t="s">
        <v>73</v>
      </c>
      <c r="B124" s="5" t="s">
        <v>51</v>
      </c>
      <c r="C124" s="5">
        <v>1</v>
      </c>
      <c r="D124" s="5">
        <f t="shared" si="2"/>
        <v>70.5</v>
      </c>
    </row>
    <row r="125" spans="1:4" x14ac:dyDescent="0.25">
      <c r="A125" s="5" t="s">
        <v>74</v>
      </c>
      <c r="B125" s="5" t="s">
        <v>6</v>
      </c>
      <c r="C125" s="5">
        <v>1</v>
      </c>
      <c r="D125" s="5">
        <f t="shared" si="2"/>
        <v>70.5</v>
      </c>
    </row>
    <row r="126" spans="1:4" x14ac:dyDescent="0.25">
      <c r="A126" s="5" t="s">
        <v>74</v>
      </c>
      <c r="B126" s="5" t="s">
        <v>25</v>
      </c>
      <c r="C126" s="5">
        <v>4</v>
      </c>
      <c r="D126" s="5">
        <f t="shared" si="2"/>
        <v>180.5</v>
      </c>
    </row>
    <row r="127" spans="1:4" x14ac:dyDescent="0.25">
      <c r="A127" s="5" t="s">
        <v>74</v>
      </c>
      <c r="B127" s="5" t="s">
        <v>9</v>
      </c>
      <c r="C127" s="5">
        <v>1</v>
      </c>
      <c r="D127" s="5">
        <f t="shared" si="2"/>
        <v>70.5</v>
      </c>
    </row>
    <row r="128" spans="1:4" x14ac:dyDescent="0.25">
      <c r="A128" s="5" t="s">
        <v>74</v>
      </c>
      <c r="B128" s="5" t="s">
        <v>44</v>
      </c>
      <c r="C128" s="5">
        <v>1</v>
      </c>
      <c r="D128" s="5">
        <f t="shared" si="2"/>
        <v>70.5</v>
      </c>
    </row>
    <row r="129" spans="1:4" x14ac:dyDescent="0.25">
      <c r="A129" s="5" t="s">
        <v>74</v>
      </c>
      <c r="B129" s="5" t="s">
        <v>29</v>
      </c>
      <c r="C129" s="5">
        <v>1</v>
      </c>
      <c r="D129" s="5">
        <f t="shared" si="2"/>
        <v>70.5</v>
      </c>
    </row>
    <row r="130" spans="1:4" x14ac:dyDescent="0.25">
      <c r="A130" s="5" t="s">
        <v>74</v>
      </c>
      <c r="B130" s="5" t="s">
        <v>58</v>
      </c>
      <c r="C130" s="5">
        <v>1</v>
      </c>
      <c r="D130" s="5">
        <f t="shared" si="2"/>
        <v>70.5</v>
      </c>
    </row>
    <row r="131" spans="1:4" x14ac:dyDescent="0.25">
      <c r="A131" s="5" t="s">
        <v>74</v>
      </c>
      <c r="B131" s="5" t="s">
        <v>18</v>
      </c>
      <c r="C131" s="5">
        <v>1</v>
      </c>
      <c r="D131" s="5">
        <f t="shared" si="2"/>
        <v>70.5</v>
      </c>
    </row>
    <row r="132" spans="1:4" x14ac:dyDescent="0.25">
      <c r="A132" s="5" t="s">
        <v>74</v>
      </c>
      <c r="B132" s="5" t="s">
        <v>4</v>
      </c>
      <c r="C132" s="5">
        <v>2</v>
      </c>
      <c r="D132" s="5">
        <f t="shared" si="2"/>
        <v>155.5</v>
      </c>
    </row>
    <row r="133" spans="1:4" x14ac:dyDescent="0.25">
      <c r="A133" s="5" t="s">
        <v>74</v>
      </c>
      <c r="B133" s="5" t="s">
        <v>53</v>
      </c>
      <c r="C133" s="5">
        <v>1</v>
      </c>
      <c r="D133" s="5">
        <f t="shared" si="2"/>
        <v>70.5</v>
      </c>
    </row>
    <row r="134" spans="1:4" x14ac:dyDescent="0.25">
      <c r="A134" s="5" t="s">
        <v>74</v>
      </c>
      <c r="B134" s="5" t="s">
        <v>36</v>
      </c>
      <c r="C134" s="5">
        <v>1</v>
      </c>
      <c r="D134" s="5">
        <f t="shared" si="2"/>
        <v>70.5</v>
      </c>
    </row>
    <row r="135" spans="1:4" x14ac:dyDescent="0.25">
      <c r="A135" s="5" t="s">
        <v>75</v>
      </c>
      <c r="B135" s="5" t="s">
        <v>36</v>
      </c>
      <c r="C135" s="5">
        <v>2</v>
      </c>
      <c r="D135" s="5">
        <f t="shared" ref="D135:D193" si="3">_xlfn.RANK.AVG(C135,$C$6:$C$193,1)</f>
        <v>155.5</v>
      </c>
    </row>
    <row r="136" spans="1:4" x14ac:dyDescent="0.25">
      <c r="A136" s="5" t="s">
        <v>75</v>
      </c>
      <c r="B136" s="5" t="s">
        <v>25</v>
      </c>
      <c r="C136" s="5">
        <v>3</v>
      </c>
      <c r="D136" s="5">
        <f t="shared" si="3"/>
        <v>175</v>
      </c>
    </row>
    <row r="137" spans="1:4" x14ac:dyDescent="0.25">
      <c r="A137" s="5" t="s">
        <v>75</v>
      </c>
      <c r="B137" s="5" t="s">
        <v>40</v>
      </c>
      <c r="C137" s="5">
        <v>1</v>
      </c>
      <c r="D137" s="5">
        <f t="shared" si="3"/>
        <v>70.5</v>
      </c>
    </row>
    <row r="138" spans="1:4" x14ac:dyDescent="0.25">
      <c r="A138" s="5" t="s">
        <v>75</v>
      </c>
      <c r="B138" s="5" t="s">
        <v>44</v>
      </c>
      <c r="C138" s="5">
        <v>1</v>
      </c>
      <c r="D138" s="5">
        <f t="shared" si="3"/>
        <v>70.5</v>
      </c>
    </row>
    <row r="139" spans="1:4" x14ac:dyDescent="0.25">
      <c r="A139" s="5" t="s">
        <v>75</v>
      </c>
      <c r="B139" s="5" t="s">
        <v>42</v>
      </c>
      <c r="C139" s="5">
        <v>1</v>
      </c>
      <c r="D139" s="5">
        <f t="shared" si="3"/>
        <v>70.5</v>
      </c>
    </row>
    <row r="140" spans="1:4" x14ac:dyDescent="0.25">
      <c r="A140" s="5" t="s">
        <v>75</v>
      </c>
      <c r="B140" s="5" t="s">
        <v>18</v>
      </c>
      <c r="C140" s="5">
        <v>3</v>
      </c>
      <c r="D140" s="5">
        <f t="shared" si="3"/>
        <v>175</v>
      </c>
    </row>
    <row r="141" spans="1:4" x14ac:dyDescent="0.25">
      <c r="A141" s="5" t="s">
        <v>75</v>
      </c>
      <c r="B141" s="5" t="s">
        <v>6</v>
      </c>
      <c r="C141" s="5">
        <v>2</v>
      </c>
      <c r="D141" s="5">
        <f t="shared" si="3"/>
        <v>155.5</v>
      </c>
    </row>
    <row r="142" spans="1:4" x14ac:dyDescent="0.25">
      <c r="A142" s="5" t="s">
        <v>75</v>
      </c>
      <c r="B142" s="5" t="s">
        <v>44</v>
      </c>
      <c r="C142" s="5">
        <v>1</v>
      </c>
      <c r="D142" s="5">
        <f t="shared" si="3"/>
        <v>70.5</v>
      </c>
    </row>
    <row r="143" spans="1:4" x14ac:dyDescent="0.25">
      <c r="A143" s="5" t="s">
        <v>75</v>
      </c>
      <c r="B143" s="5" t="s">
        <v>52</v>
      </c>
      <c r="C143" s="5">
        <v>2</v>
      </c>
      <c r="D143" s="5">
        <f t="shared" si="3"/>
        <v>155.5</v>
      </c>
    </row>
    <row r="144" spans="1:4" x14ac:dyDescent="0.25">
      <c r="A144" s="5" t="s">
        <v>75</v>
      </c>
      <c r="B144" s="5" t="s">
        <v>5</v>
      </c>
      <c r="C144" s="5">
        <v>1</v>
      </c>
      <c r="D144" s="5">
        <f t="shared" si="3"/>
        <v>70.5</v>
      </c>
    </row>
    <row r="145" spans="1:4" x14ac:dyDescent="0.25">
      <c r="A145" s="5" t="s">
        <v>75</v>
      </c>
      <c r="B145" s="5" t="s">
        <v>4</v>
      </c>
      <c r="C145" s="5">
        <v>1</v>
      </c>
      <c r="D145" s="5">
        <f t="shared" si="3"/>
        <v>70.5</v>
      </c>
    </row>
    <row r="146" spans="1:4" x14ac:dyDescent="0.25">
      <c r="A146" s="5" t="s">
        <v>75</v>
      </c>
      <c r="B146" s="5" t="s">
        <v>10</v>
      </c>
      <c r="C146" s="5">
        <v>1</v>
      </c>
      <c r="D146" s="5">
        <f t="shared" si="3"/>
        <v>70.5</v>
      </c>
    </row>
    <row r="147" spans="1:4" x14ac:dyDescent="0.25">
      <c r="A147" s="5" t="s">
        <v>76</v>
      </c>
      <c r="B147" s="5" t="s">
        <v>18</v>
      </c>
      <c r="C147" s="5">
        <v>2</v>
      </c>
      <c r="D147" s="5">
        <f t="shared" si="3"/>
        <v>155.5</v>
      </c>
    </row>
    <row r="148" spans="1:4" x14ac:dyDescent="0.25">
      <c r="A148" s="5" t="s">
        <v>76</v>
      </c>
      <c r="B148" s="5" t="s">
        <v>6</v>
      </c>
      <c r="C148" s="5">
        <v>2</v>
      </c>
      <c r="D148" s="5">
        <f t="shared" si="3"/>
        <v>155.5</v>
      </c>
    </row>
    <row r="149" spans="1:4" x14ac:dyDescent="0.25">
      <c r="A149" s="5" t="s">
        <v>76</v>
      </c>
      <c r="B149" s="5" t="s">
        <v>15</v>
      </c>
      <c r="C149" s="5">
        <v>1</v>
      </c>
      <c r="D149" s="5">
        <f t="shared" si="3"/>
        <v>70.5</v>
      </c>
    </row>
    <row r="150" spans="1:4" x14ac:dyDescent="0.25">
      <c r="A150" s="5" t="s">
        <v>76</v>
      </c>
      <c r="B150" s="5" t="s">
        <v>41</v>
      </c>
      <c r="C150" s="5">
        <v>1</v>
      </c>
      <c r="D150" s="5">
        <f t="shared" si="3"/>
        <v>70.5</v>
      </c>
    </row>
    <row r="151" spans="1:4" x14ac:dyDescent="0.25">
      <c r="A151" s="5" t="s">
        <v>76</v>
      </c>
      <c r="B151" s="5" t="s">
        <v>25</v>
      </c>
      <c r="C151" s="5">
        <v>1</v>
      </c>
      <c r="D151" s="5">
        <f t="shared" si="3"/>
        <v>70.5</v>
      </c>
    </row>
    <row r="152" spans="1:4" x14ac:dyDescent="0.25">
      <c r="A152" s="5" t="s">
        <v>76</v>
      </c>
      <c r="B152" s="5" t="s">
        <v>54</v>
      </c>
      <c r="C152" s="5">
        <v>1</v>
      </c>
      <c r="D152" s="5">
        <f t="shared" si="3"/>
        <v>70.5</v>
      </c>
    </row>
    <row r="153" spans="1:4" x14ac:dyDescent="0.25">
      <c r="A153" s="5" t="s">
        <v>76</v>
      </c>
      <c r="B153" s="5" t="s">
        <v>55</v>
      </c>
      <c r="C153" s="5">
        <v>1</v>
      </c>
      <c r="D153" s="5">
        <f t="shared" si="3"/>
        <v>70.5</v>
      </c>
    </row>
    <row r="154" spans="1:4" x14ac:dyDescent="0.25">
      <c r="A154" s="5" t="s">
        <v>76</v>
      </c>
      <c r="B154" s="5" t="s">
        <v>29</v>
      </c>
      <c r="C154" s="5">
        <v>1</v>
      </c>
      <c r="D154" s="5">
        <f t="shared" si="3"/>
        <v>70.5</v>
      </c>
    </row>
    <row r="155" spans="1:4" x14ac:dyDescent="0.25">
      <c r="A155" s="5" t="s">
        <v>76</v>
      </c>
      <c r="B155" s="5" t="s">
        <v>13</v>
      </c>
      <c r="C155" s="5">
        <v>1</v>
      </c>
      <c r="D155" s="5">
        <f t="shared" si="3"/>
        <v>70.5</v>
      </c>
    </row>
    <row r="156" spans="1:4" x14ac:dyDescent="0.25">
      <c r="A156" s="5" t="s">
        <v>76</v>
      </c>
      <c r="B156" s="5" t="s">
        <v>46</v>
      </c>
      <c r="C156" s="5">
        <v>1</v>
      </c>
      <c r="D156" s="5">
        <f t="shared" si="3"/>
        <v>70.5</v>
      </c>
    </row>
    <row r="157" spans="1:4" x14ac:dyDescent="0.25">
      <c r="A157" s="5" t="s">
        <v>76</v>
      </c>
      <c r="B157" s="5" t="s">
        <v>52</v>
      </c>
      <c r="C157" s="5">
        <v>1</v>
      </c>
      <c r="D157" s="5">
        <f t="shared" si="3"/>
        <v>70.5</v>
      </c>
    </row>
    <row r="158" spans="1:4" x14ac:dyDescent="0.25">
      <c r="A158" s="5" t="s">
        <v>76</v>
      </c>
      <c r="B158" s="5" t="s">
        <v>34</v>
      </c>
      <c r="C158" s="5">
        <v>1</v>
      </c>
      <c r="D158" s="5">
        <f t="shared" si="3"/>
        <v>70.5</v>
      </c>
    </row>
    <row r="159" spans="1:4" x14ac:dyDescent="0.25">
      <c r="A159" s="5" t="s">
        <v>76</v>
      </c>
      <c r="B159" s="5" t="s">
        <v>7</v>
      </c>
      <c r="C159" s="5">
        <v>1</v>
      </c>
      <c r="D159" s="5">
        <f t="shared" si="3"/>
        <v>70.5</v>
      </c>
    </row>
    <row r="160" spans="1:4" x14ac:dyDescent="0.25">
      <c r="A160" s="5" t="s">
        <v>77</v>
      </c>
      <c r="B160" s="5" t="s">
        <v>49</v>
      </c>
      <c r="C160" s="5">
        <v>1</v>
      </c>
      <c r="D160" s="5">
        <f t="shared" si="3"/>
        <v>70.5</v>
      </c>
    </row>
    <row r="161" spans="1:4" x14ac:dyDescent="0.25">
      <c r="A161" s="5" t="s">
        <v>77</v>
      </c>
      <c r="B161" s="5" t="s">
        <v>32</v>
      </c>
      <c r="C161" s="5">
        <v>1</v>
      </c>
      <c r="D161" s="5">
        <f t="shared" si="3"/>
        <v>70.5</v>
      </c>
    </row>
    <row r="162" spans="1:4" x14ac:dyDescent="0.25">
      <c r="A162" s="5" t="s">
        <v>77</v>
      </c>
      <c r="B162" s="5" t="s">
        <v>42</v>
      </c>
      <c r="C162" s="5">
        <v>1</v>
      </c>
      <c r="D162" s="5">
        <f t="shared" si="3"/>
        <v>70.5</v>
      </c>
    </row>
    <row r="163" spans="1:4" x14ac:dyDescent="0.25">
      <c r="A163" s="5" t="s">
        <v>77</v>
      </c>
      <c r="B163" s="5" t="s">
        <v>31</v>
      </c>
      <c r="C163" s="5">
        <v>1</v>
      </c>
      <c r="D163" s="5">
        <f t="shared" si="3"/>
        <v>70.5</v>
      </c>
    </row>
    <row r="164" spans="1:4" x14ac:dyDescent="0.25">
      <c r="A164" s="5" t="s">
        <v>77</v>
      </c>
      <c r="B164" s="5" t="s">
        <v>43</v>
      </c>
      <c r="C164" s="5">
        <v>1</v>
      </c>
      <c r="D164" s="5">
        <f t="shared" si="3"/>
        <v>70.5</v>
      </c>
    </row>
    <row r="165" spans="1:4" x14ac:dyDescent="0.25">
      <c r="A165" s="5" t="s">
        <v>77</v>
      </c>
      <c r="B165" s="5" t="s">
        <v>18</v>
      </c>
      <c r="C165" s="5">
        <v>1</v>
      </c>
      <c r="D165" s="5">
        <f t="shared" si="3"/>
        <v>70.5</v>
      </c>
    </row>
    <row r="166" spans="1:4" x14ac:dyDescent="0.25">
      <c r="A166" s="5" t="s">
        <v>77</v>
      </c>
      <c r="B166" s="5" t="s">
        <v>36</v>
      </c>
      <c r="C166" s="5">
        <v>2</v>
      </c>
      <c r="D166" s="5">
        <f t="shared" si="3"/>
        <v>155.5</v>
      </c>
    </row>
    <row r="167" spans="1:4" x14ac:dyDescent="0.25">
      <c r="A167" s="5" t="s">
        <v>77</v>
      </c>
      <c r="B167" s="5" t="s">
        <v>34</v>
      </c>
      <c r="C167" s="5">
        <v>1</v>
      </c>
      <c r="D167" s="5">
        <f t="shared" si="3"/>
        <v>70.5</v>
      </c>
    </row>
    <row r="168" spans="1:4" x14ac:dyDescent="0.25">
      <c r="A168" s="5" t="s">
        <v>77</v>
      </c>
      <c r="B168" s="5" t="s">
        <v>45</v>
      </c>
      <c r="C168" s="5">
        <v>1</v>
      </c>
      <c r="D168" s="5">
        <f t="shared" si="3"/>
        <v>70.5</v>
      </c>
    </row>
    <row r="169" spans="1:4" x14ac:dyDescent="0.25">
      <c r="A169" s="5" t="s">
        <v>77</v>
      </c>
      <c r="B169" s="5" t="s">
        <v>4</v>
      </c>
      <c r="C169" s="5">
        <v>1</v>
      </c>
      <c r="D169" s="5">
        <f t="shared" si="3"/>
        <v>70.5</v>
      </c>
    </row>
    <row r="170" spans="1:4" x14ac:dyDescent="0.25">
      <c r="A170" s="5" t="s">
        <v>77</v>
      </c>
      <c r="B170" s="5" t="s">
        <v>6</v>
      </c>
      <c r="C170" s="5">
        <v>2</v>
      </c>
      <c r="D170" s="5">
        <f t="shared" si="3"/>
        <v>155.5</v>
      </c>
    </row>
    <row r="171" spans="1:4" x14ac:dyDescent="0.25">
      <c r="A171" s="5" t="s">
        <v>77</v>
      </c>
      <c r="B171" s="5" t="s">
        <v>25</v>
      </c>
      <c r="C171" s="5">
        <v>2</v>
      </c>
      <c r="D171" s="5">
        <f t="shared" si="3"/>
        <v>155.5</v>
      </c>
    </row>
    <row r="172" spans="1:4" x14ac:dyDescent="0.25">
      <c r="A172" s="5" t="s">
        <v>77</v>
      </c>
      <c r="B172" s="5" t="s">
        <v>2</v>
      </c>
      <c r="C172" s="5">
        <v>1</v>
      </c>
      <c r="D172" s="5">
        <f t="shared" si="3"/>
        <v>70.5</v>
      </c>
    </row>
    <row r="173" spans="1:4" x14ac:dyDescent="0.25">
      <c r="A173" s="5" t="s">
        <v>77</v>
      </c>
      <c r="B173" s="5" t="s">
        <v>33</v>
      </c>
      <c r="C173" s="5">
        <v>1</v>
      </c>
      <c r="D173" s="5">
        <f t="shared" si="3"/>
        <v>70.5</v>
      </c>
    </row>
    <row r="174" spans="1:4" x14ac:dyDescent="0.25">
      <c r="A174" s="5" t="s">
        <v>78</v>
      </c>
      <c r="B174" s="5" t="s">
        <v>6</v>
      </c>
      <c r="C174" s="5">
        <v>3</v>
      </c>
      <c r="D174" s="5">
        <f t="shared" si="3"/>
        <v>175</v>
      </c>
    </row>
    <row r="175" spans="1:4" x14ac:dyDescent="0.25">
      <c r="A175" s="5" t="s">
        <v>78</v>
      </c>
      <c r="B175" s="5" t="s">
        <v>18</v>
      </c>
      <c r="C175" s="5">
        <v>1</v>
      </c>
      <c r="D175" s="5">
        <f t="shared" si="3"/>
        <v>70.5</v>
      </c>
    </row>
    <row r="176" spans="1:4" x14ac:dyDescent="0.25">
      <c r="A176" s="5" t="s">
        <v>78</v>
      </c>
      <c r="B176" s="5" t="s">
        <v>25</v>
      </c>
      <c r="C176" s="5">
        <v>3</v>
      </c>
      <c r="D176" s="5">
        <f t="shared" si="3"/>
        <v>175</v>
      </c>
    </row>
    <row r="177" spans="1:4" x14ac:dyDescent="0.25">
      <c r="A177" s="5" t="s">
        <v>78</v>
      </c>
      <c r="B177" s="5" t="s">
        <v>49</v>
      </c>
      <c r="C177" s="5">
        <v>2</v>
      </c>
      <c r="D177" s="5">
        <f t="shared" si="3"/>
        <v>155.5</v>
      </c>
    </row>
    <row r="178" spans="1:4" x14ac:dyDescent="0.25">
      <c r="A178" s="5" t="s">
        <v>78</v>
      </c>
      <c r="B178" s="5" t="s">
        <v>17</v>
      </c>
      <c r="C178" s="5">
        <v>1</v>
      </c>
      <c r="D178" s="5">
        <f t="shared" si="3"/>
        <v>70.5</v>
      </c>
    </row>
    <row r="179" spans="1:4" x14ac:dyDescent="0.25">
      <c r="A179" s="5" t="s">
        <v>78</v>
      </c>
      <c r="B179" s="5" t="s">
        <v>28</v>
      </c>
      <c r="C179" s="5">
        <v>1</v>
      </c>
      <c r="D179" s="5">
        <f t="shared" si="3"/>
        <v>70.5</v>
      </c>
    </row>
    <row r="180" spans="1:4" x14ac:dyDescent="0.25">
      <c r="A180" s="5" t="s">
        <v>78</v>
      </c>
      <c r="B180" s="5" t="s">
        <v>14</v>
      </c>
      <c r="C180" s="5">
        <v>1</v>
      </c>
      <c r="D180" s="5">
        <f t="shared" si="3"/>
        <v>70.5</v>
      </c>
    </row>
    <row r="181" spans="1:4" x14ac:dyDescent="0.25">
      <c r="A181" s="5" t="s">
        <v>78</v>
      </c>
      <c r="B181" s="5" t="s">
        <v>22</v>
      </c>
      <c r="C181" s="5">
        <v>1</v>
      </c>
      <c r="D181" s="5">
        <f t="shared" si="3"/>
        <v>70.5</v>
      </c>
    </row>
    <row r="182" spans="1:4" x14ac:dyDescent="0.25">
      <c r="A182" s="5" t="s">
        <v>78</v>
      </c>
      <c r="B182" s="5" t="s">
        <v>19</v>
      </c>
      <c r="C182" s="5">
        <v>1</v>
      </c>
      <c r="D182" s="5">
        <f t="shared" si="3"/>
        <v>70.5</v>
      </c>
    </row>
    <row r="183" spans="1:4" x14ac:dyDescent="0.25">
      <c r="A183" s="5" t="s">
        <v>78</v>
      </c>
      <c r="B183" s="5" t="s">
        <v>24</v>
      </c>
      <c r="C183" s="5">
        <v>1</v>
      </c>
      <c r="D183" s="5">
        <f t="shared" si="3"/>
        <v>70.5</v>
      </c>
    </row>
    <row r="184" spans="1:4" x14ac:dyDescent="0.25">
      <c r="A184" s="5" t="s">
        <v>79</v>
      </c>
      <c r="B184" s="5" t="s">
        <v>25</v>
      </c>
      <c r="C184" s="5">
        <v>7</v>
      </c>
      <c r="D184" s="5">
        <f t="shared" si="3"/>
        <v>184.5</v>
      </c>
    </row>
    <row r="185" spans="1:4" x14ac:dyDescent="0.25">
      <c r="A185" s="5" t="s">
        <v>79</v>
      </c>
      <c r="B185" s="5" t="s">
        <v>8</v>
      </c>
      <c r="C185" s="5">
        <v>1</v>
      </c>
      <c r="D185" s="5">
        <f t="shared" si="3"/>
        <v>70.5</v>
      </c>
    </row>
    <row r="186" spans="1:4" x14ac:dyDescent="0.25">
      <c r="A186" s="5" t="s">
        <v>79</v>
      </c>
      <c r="B186" s="5" t="s">
        <v>6</v>
      </c>
      <c r="C186" s="5">
        <v>2</v>
      </c>
      <c r="D186" s="5">
        <f t="shared" si="3"/>
        <v>155.5</v>
      </c>
    </row>
    <row r="187" spans="1:4" x14ac:dyDescent="0.25">
      <c r="A187" s="5" t="s">
        <v>79</v>
      </c>
      <c r="B187" s="5" t="s">
        <v>36</v>
      </c>
      <c r="C187" s="5">
        <v>1</v>
      </c>
      <c r="D187" s="5">
        <f t="shared" si="3"/>
        <v>70.5</v>
      </c>
    </row>
    <row r="188" spans="1:4" x14ac:dyDescent="0.25">
      <c r="A188" s="5" t="s">
        <v>79</v>
      </c>
      <c r="B188" s="5" t="s">
        <v>40</v>
      </c>
      <c r="C188" s="5">
        <v>1</v>
      </c>
      <c r="D188" s="5">
        <f t="shared" si="3"/>
        <v>70.5</v>
      </c>
    </row>
    <row r="189" spans="1:4" x14ac:dyDescent="0.25">
      <c r="A189" s="5" t="s">
        <v>79</v>
      </c>
      <c r="B189" s="5" t="s">
        <v>45</v>
      </c>
      <c r="C189" s="5">
        <v>1</v>
      </c>
      <c r="D189" s="5">
        <f t="shared" si="3"/>
        <v>70.5</v>
      </c>
    </row>
    <row r="190" spans="1:4" x14ac:dyDescent="0.25">
      <c r="A190" s="5" t="s">
        <v>79</v>
      </c>
      <c r="B190" s="5" t="s">
        <v>4</v>
      </c>
      <c r="C190" s="5">
        <v>2</v>
      </c>
      <c r="D190" s="5">
        <f t="shared" si="3"/>
        <v>155.5</v>
      </c>
    </row>
    <row r="191" spans="1:4" x14ac:dyDescent="0.25">
      <c r="A191" s="5" t="s">
        <v>79</v>
      </c>
      <c r="B191" s="5" t="s">
        <v>5</v>
      </c>
      <c r="C191" s="5">
        <v>1</v>
      </c>
      <c r="D191" s="5">
        <f t="shared" si="3"/>
        <v>70.5</v>
      </c>
    </row>
    <row r="192" spans="1:4" x14ac:dyDescent="0.25">
      <c r="A192" s="5" t="s">
        <v>79</v>
      </c>
      <c r="B192" s="5" t="s">
        <v>17</v>
      </c>
      <c r="C192" s="5">
        <v>1</v>
      </c>
      <c r="D192" s="5">
        <f t="shared" si="3"/>
        <v>70.5</v>
      </c>
    </row>
    <row r="193" spans="1:4" x14ac:dyDescent="0.25">
      <c r="A193" s="5" t="s">
        <v>79</v>
      </c>
      <c r="B193" s="5" t="s">
        <v>32</v>
      </c>
      <c r="C193" s="5">
        <v>1</v>
      </c>
      <c r="D193" s="5">
        <f t="shared" si="3"/>
        <v>70.5</v>
      </c>
    </row>
    <row r="194" spans="1:4" x14ac:dyDescent="0.25">
      <c r="C194" s="5">
        <f>SUM(C6:C193)</f>
        <v>288</v>
      </c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Raw Data</vt:lpstr>
      <vt:lpstr>KW Long Form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nordstrand</dc:creator>
  <cp:lastModifiedBy>thomas nordstrand</cp:lastModifiedBy>
  <dcterms:created xsi:type="dcterms:W3CDTF">2025-04-30T19:15:47Z</dcterms:created>
  <dcterms:modified xsi:type="dcterms:W3CDTF">2025-05-16T02:03:50Z</dcterms:modified>
</cp:coreProperties>
</file>