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nle\Dropbox\Papers\I-O\"/>
    </mc:Choice>
  </mc:AlternateContent>
  <xr:revisionPtr revIDLastSave="0" documentId="13_ncr:1_{4A813F38-4001-4FF3-A72A-7D8EB18118BB}" xr6:coauthVersionLast="47" xr6:coauthVersionMax="47" xr10:uidLastSave="{00000000-0000-0000-0000-000000000000}"/>
  <bookViews>
    <workbookView xWindow="-120" yWindow="-120" windowWidth="20730" windowHeight="11160" xr2:uid="{1FE31A18-E134-4B3B-9A85-37905D865765}"/>
  </bookViews>
  <sheets>
    <sheet name="1. General" sheetId="6" r:id="rId1"/>
    <sheet name="2. Government" sheetId="7" r:id="rId2"/>
    <sheet name="3. Foreign trade" sheetId="8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63" i="6" l="1"/>
  <c r="D290" i="8"/>
  <c r="D289" i="8"/>
  <c r="D288" i="8"/>
  <c r="D287" i="8"/>
  <c r="F295" i="8"/>
  <c r="F294" i="8"/>
  <c r="F288" i="8"/>
  <c r="F287" i="8"/>
  <c r="D249" i="8"/>
  <c r="D248" i="8"/>
  <c r="D247" i="8"/>
  <c r="F255" i="8"/>
  <c r="B265" i="8" s="1"/>
  <c r="C260" i="8" s="1"/>
  <c r="F254" i="8"/>
  <c r="B264" i="8" s="1"/>
  <c r="B259" i="8" s="1"/>
  <c r="F248" i="8"/>
  <c r="F247" i="8"/>
  <c r="F215" i="8"/>
  <c r="F214" i="8"/>
  <c r="D210" i="8"/>
  <c r="D209" i="8"/>
  <c r="F208" i="8"/>
  <c r="D208" i="8"/>
  <c r="F207" i="8"/>
  <c r="D207" i="8"/>
  <c r="F175" i="8"/>
  <c r="F174" i="8"/>
  <c r="D170" i="8"/>
  <c r="D169" i="8"/>
  <c r="F168" i="8"/>
  <c r="D168" i="8"/>
  <c r="F167" i="8"/>
  <c r="D167" i="8"/>
  <c r="F135" i="8"/>
  <c r="F134" i="8"/>
  <c r="D130" i="8"/>
  <c r="F129" i="8"/>
  <c r="D129" i="8"/>
  <c r="F128" i="8"/>
  <c r="D128" i="8"/>
  <c r="F96" i="8"/>
  <c r="F95" i="8"/>
  <c r="D91" i="8"/>
  <c r="F90" i="8"/>
  <c r="D90" i="8"/>
  <c r="F89" i="8"/>
  <c r="D89" i="8"/>
  <c r="F57" i="8"/>
  <c r="F56" i="8"/>
  <c r="D52" i="8"/>
  <c r="F51" i="8"/>
  <c r="D51" i="8"/>
  <c r="F50" i="8"/>
  <c r="D50" i="8"/>
  <c r="L37" i="8"/>
  <c r="L36" i="8"/>
  <c r="B67" i="8" l="1"/>
  <c r="D62" i="8" s="1"/>
  <c r="B305" i="8"/>
  <c r="B300" i="8" s="1"/>
  <c r="B304" i="8"/>
  <c r="B315" i="8" s="1"/>
  <c r="B260" i="8"/>
  <c r="H16" i="8" s="1"/>
  <c r="D259" i="8"/>
  <c r="D260" i="8"/>
  <c r="C259" i="8"/>
  <c r="H17" i="8" s="1"/>
  <c r="B224" i="8"/>
  <c r="F235" i="8" s="1"/>
  <c r="B145" i="8"/>
  <c r="B140" i="8" s="1"/>
  <c r="B105" i="8"/>
  <c r="C100" i="8" s="1"/>
  <c r="D78" i="8"/>
  <c r="B78" i="8"/>
  <c r="B184" i="8"/>
  <c r="B144" i="8"/>
  <c r="B225" i="8"/>
  <c r="F236" i="8" s="1"/>
  <c r="B62" i="8"/>
  <c r="B185" i="8"/>
  <c r="B196" i="8" s="1"/>
  <c r="C62" i="8"/>
  <c r="F78" i="8"/>
  <c r="B66" i="8"/>
  <c r="B106" i="8"/>
  <c r="C49" i="7"/>
  <c r="B49" i="7"/>
  <c r="B47" i="6"/>
  <c r="C47" i="7"/>
  <c r="B47" i="7"/>
  <c r="C41" i="7" a="1"/>
  <c r="C41" i="7" s="1"/>
  <c r="B37" i="7" a="1"/>
  <c r="B37" i="7" s="1"/>
  <c r="I35" i="7"/>
  <c r="I34" i="7"/>
  <c r="I33" i="7"/>
  <c r="H35" i="7"/>
  <c r="H34" i="7"/>
  <c r="H33" i="7"/>
  <c r="C39" i="6" a="1"/>
  <c r="C39" i="6" s="1"/>
  <c r="B35" i="6" a="1"/>
  <c r="B35" i="6" s="1"/>
  <c r="H33" i="6"/>
  <c r="H32" i="6"/>
  <c r="H31" i="6"/>
  <c r="D174" i="7"/>
  <c r="D134" i="7"/>
  <c r="D133" i="7"/>
  <c r="D132" i="7"/>
  <c r="D214" i="7"/>
  <c r="D213" i="7"/>
  <c r="D212" i="7"/>
  <c r="D211" i="7"/>
  <c r="F212" i="7"/>
  <c r="F211" i="7"/>
  <c r="F172" i="7"/>
  <c r="F171" i="7"/>
  <c r="D173" i="7"/>
  <c r="D172" i="7"/>
  <c r="D171" i="7"/>
  <c r="F133" i="7"/>
  <c r="F132" i="7"/>
  <c r="D56" i="7"/>
  <c r="D95" i="7"/>
  <c r="D94" i="7"/>
  <c r="D93" i="7"/>
  <c r="F94" i="7"/>
  <c r="F93" i="7"/>
  <c r="F55" i="7"/>
  <c r="F54" i="7"/>
  <c r="B116" i="8" l="1"/>
  <c r="G21" i="8"/>
  <c r="I36" i="8" s="1"/>
  <c r="F156" i="8"/>
  <c r="B316" i="8"/>
  <c r="D316" i="8"/>
  <c r="C300" i="8"/>
  <c r="D300" i="8"/>
  <c r="F316" i="8"/>
  <c r="B299" i="8"/>
  <c r="I16" i="8" s="1"/>
  <c r="D315" i="8"/>
  <c r="C299" i="8"/>
  <c r="F315" i="8"/>
  <c r="D299" i="8"/>
  <c r="H18" i="8"/>
  <c r="B156" i="8"/>
  <c r="B100" i="8"/>
  <c r="D265" i="8"/>
  <c r="F275" i="8"/>
  <c r="B275" i="8"/>
  <c r="F276" i="8"/>
  <c r="D276" i="8"/>
  <c r="D275" i="8"/>
  <c r="B276" i="8"/>
  <c r="D219" i="8"/>
  <c r="B229" i="8" s="1"/>
  <c r="B235" i="8"/>
  <c r="D235" i="8"/>
  <c r="C219" i="8"/>
  <c r="B219" i="8"/>
  <c r="D67" i="8"/>
  <c r="D236" i="8"/>
  <c r="B236" i="8"/>
  <c r="C140" i="8"/>
  <c r="D140" i="8"/>
  <c r="D156" i="8"/>
  <c r="F116" i="8"/>
  <c r="D100" i="8"/>
  <c r="B239" i="8"/>
  <c r="F196" i="8"/>
  <c r="D116" i="8"/>
  <c r="D179" i="8"/>
  <c r="C179" i="8"/>
  <c r="B179" i="8"/>
  <c r="D195" i="8"/>
  <c r="F195" i="8"/>
  <c r="B72" i="8"/>
  <c r="B195" i="8"/>
  <c r="G78" i="8"/>
  <c r="F117" i="8"/>
  <c r="F155" i="8"/>
  <c r="D139" i="8"/>
  <c r="B139" i="8"/>
  <c r="C139" i="8"/>
  <c r="B155" i="8"/>
  <c r="C180" i="8"/>
  <c r="D180" i="8"/>
  <c r="B180" i="8"/>
  <c r="D220" i="8"/>
  <c r="C220" i="8"/>
  <c r="B220" i="8"/>
  <c r="G16" i="8" s="1"/>
  <c r="C78" i="8"/>
  <c r="D155" i="8"/>
  <c r="D196" i="8"/>
  <c r="D101" i="8"/>
  <c r="C101" i="8"/>
  <c r="D17" i="8" s="1"/>
  <c r="D117" i="8"/>
  <c r="B101" i="8"/>
  <c r="F77" i="8"/>
  <c r="C21" i="8" s="1"/>
  <c r="B77" i="8"/>
  <c r="B61" i="8"/>
  <c r="D77" i="8"/>
  <c r="D61" i="8"/>
  <c r="C18" i="8" s="1"/>
  <c r="C61" i="8"/>
  <c r="C17" i="8" s="1"/>
  <c r="B117" i="8"/>
  <c r="D55" i="7"/>
  <c r="D54" i="7"/>
  <c r="F219" i="7"/>
  <c r="F218" i="7"/>
  <c r="F179" i="7"/>
  <c r="F178" i="7"/>
  <c r="F139" i="7"/>
  <c r="F138" i="7"/>
  <c r="F100" i="7"/>
  <c r="F99" i="7"/>
  <c r="F61" i="7"/>
  <c r="F60" i="7"/>
  <c r="H21" i="8" l="1"/>
  <c r="H28" i="8"/>
  <c r="F37" i="8" s="1"/>
  <c r="E17" i="8"/>
  <c r="I18" i="8"/>
  <c r="D105" i="8"/>
  <c r="I21" i="8"/>
  <c r="G5" i="8" s="1"/>
  <c r="C235" i="8"/>
  <c r="I17" i="8"/>
  <c r="G18" i="8"/>
  <c r="G28" i="8" s="1"/>
  <c r="E37" i="8" s="1"/>
  <c r="C10" i="8"/>
  <c r="H31" i="8"/>
  <c r="J35" i="8"/>
  <c r="H27" i="8"/>
  <c r="F36" i="8" s="1"/>
  <c r="I26" i="8"/>
  <c r="G35" i="8" s="1"/>
  <c r="H26" i="8"/>
  <c r="F35" i="8" s="1"/>
  <c r="D305" i="8"/>
  <c r="B309" i="8"/>
  <c r="C309" i="8" s="1"/>
  <c r="C316" i="8"/>
  <c r="G316" i="8"/>
  <c r="B310" i="8"/>
  <c r="C310" i="8" s="1"/>
  <c r="I316" i="8" s="1"/>
  <c r="B319" i="8"/>
  <c r="D304" i="8"/>
  <c r="G315" i="8"/>
  <c r="C315" i="8"/>
  <c r="D224" i="8"/>
  <c r="G17" i="8"/>
  <c r="G235" i="8"/>
  <c r="D145" i="8"/>
  <c r="B279" i="8"/>
  <c r="B269" i="8"/>
  <c r="C269" i="8" s="1"/>
  <c r="B270" i="8"/>
  <c r="C270" i="8" s="1"/>
  <c r="I276" i="8" s="1"/>
  <c r="C275" i="8"/>
  <c r="G275" i="8"/>
  <c r="D264" i="8"/>
  <c r="G276" i="8"/>
  <c r="C276" i="8"/>
  <c r="D21" i="8"/>
  <c r="G156" i="8"/>
  <c r="E18" i="8"/>
  <c r="B150" i="8"/>
  <c r="D150" i="8" s="1"/>
  <c r="H156" i="8" s="1"/>
  <c r="B120" i="8"/>
  <c r="B110" i="8"/>
  <c r="C110" i="8" s="1"/>
  <c r="C116" i="8"/>
  <c r="F17" i="8"/>
  <c r="G26" i="8"/>
  <c r="E35" i="8" s="1"/>
  <c r="B111" i="8"/>
  <c r="D111" i="8" s="1"/>
  <c r="H117" i="8" s="1"/>
  <c r="G116" i="8"/>
  <c r="D18" i="8"/>
  <c r="C156" i="8"/>
  <c r="F18" i="8"/>
  <c r="D16" i="8"/>
  <c r="G31" i="8"/>
  <c r="C9" i="8"/>
  <c r="G27" i="8"/>
  <c r="E36" i="8" s="1"/>
  <c r="C111" i="8"/>
  <c r="I117" i="8" s="1"/>
  <c r="F16" i="8"/>
  <c r="G195" i="8"/>
  <c r="C195" i="8"/>
  <c r="D184" i="8"/>
  <c r="B189" i="8"/>
  <c r="F21" i="8"/>
  <c r="B199" i="8"/>
  <c r="B71" i="8"/>
  <c r="D66" i="8"/>
  <c r="C16" i="8"/>
  <c r="G77" i="8"/>
  <c r="C77" i="8"/>
  <c r="C196" i="8"/>
  <c r="D185" i="8"/>
  <c r="G196" i="8"/>
  <c r="B190" i="8"/>
  <c r="B159" i="8"/>
  <c r="E21" i="8"/>
  <c r="E16" i="8"/>
  <c r="D144" i="8"/>
  <c r="G155" i="8"/>
  <c r="C155" i="8"/>
  <c r="B149" i="8"/>
  <c r="G236" i="8"/>
  <c r="C236" i="8"/>
  <c r="D225" i="8"/>
  <c r="B230" i="8"/>
  <c r="C229" i="8"/>
  <c r="D229" i="8"/>
  <c r="E235" i="8"/>
  <c r="C27" i="8"/>
  <c r="A36" i="8" s="1"/>
  <c r="B81" i="8"/>
  <c r="D106" i="8"/>
  <c r="G117" i="8"/>
  <c r="C117" i="8"/>
  <c r="E78" i="8"/>
  <c r="C72" i="8"/>
  <c r="I78" i="8" s="1"/>
  <c r="D72" i="8"/>
  <c r="H78" i="8" s="1"/>
  <c r="B110" i="7"/>
  <c r="B121" i="7" s="1"/>
  <c r="B188" i="7"/>
  <c r="B199" i="7" s="1"/>
  <c r="B189" i="7"/>
  <c r="B109" i="7"/>
  <c r="D120" i="7" s="1"/>
  <c r="B228" i="7"/>
  <c r="D239" i="7" s="1"/>
  <c r="B229" i="7"/>
  <c r="D240" i="7" s="1"/>
  <c r="B149" i="7"/>
  <c r="B160" i="7" s="1"/>
  <c r="B148" i="7"/>
  <c r="F159" i="7" s="1"/>
  <c r="B71" i="7"/>
  <c r="D66" i="7" s="1"/>
  <c r="B70" i="7"/>
  <c r="C65" i="7" s="1"/>
  <c r="D205" i="6"/>
  <c r="D208" i="6"/>
  <c r="D206" i="6"/>
  <c r="D207" i="6"/>
  <c r="F212" i="6"/>
  <c r="F213" i="6"/>
  <c r="D169" i="6"/>
  <c r="D166" i="6"/>
  <c r="D167" i="6"/>
  <c r="D168" i="6"/>
  <c r="F173" i="6"/>
  <c r="F174" i="6"/>
  <c r="D128" i="6"/>
  <c r="D129" i="6"/>
  <c r="D130" i="6"/>
  <c r="F134" i="6"/>
  <c r="F135" i="6"/>
  <c r="D90" i="6"/>
  <c r="D91" i="6"/>
  <c r="D92" i="6"/>
  <c r="F96" i="6"/>
  <c r="F97" i="6"/>
  <c r="D52" i="6"/>
  <c r="D53" i="6"/>
  <c r="D54" i="6"/>
  <c r="F58" i="6"/>
  <c r="F59" i="6"/>
  <c r="L18" i="8" l="1"/>
  <c r="M37" i="8" s="1"/>
  <c r="L17" i="8"/>
  <c r="M36" i="8" s="1"/>
  <c r="L16" i="8"/>
  <c r="D26" i="8"/>
  <c r="B35" i="8" s="1"/>
  <c r="E27" i="8"/>
  <c r="C36" i="8" s="1"/>
  <c r="J18" i="8"/>
  <c r="M18" i="8" s="1"/>
  <c r="D27" i="8"/>
  <c r="B36" i="8" s="1"/>
  <c r="J17" i="8"/>
  <c r="I27" i="8"/>
  <c r="G36" i="8" s="1"/>
  <c r="I315" i="8"/>
  <c r="I20" i="8"/>
  <c r="I30" i="8" s="1"/>
  <c r="C11" i="8"/>
  <c r="I31" i="8"/>
  <c r="J36" i="8"/>
  <c r="C150" i="8"/>
  <c r="I156" i="8" s="1"/>
  <c r="J156" i="8" s="1"/>
  <c r="I28" i="8"/>
  <c r="G37" i="8" s="1"/>
  <c r="E315" i="8"/>
  <c r="D309" i="8"/>
  <c r="E316" i="8"/>
  <c r="D310" i="8"/>
  <c r="H316" i="8" s="1"/>
  <c r="J316" i="8" s="1"/>
  <c r="B322" i="8"/>
  <c r="B320" i="8"/>
  <c r="I275" i="8"/>
  <c r="B282" i="8" s="1"/>
  <c r="H20" i="8"/>
  <c r="H30" i="8" s="1"/>
  <c r="C6" i="8"/>
  <c r="D28" i="8"/>
  <c r="B37" i="8" s="1"/>
  <c r="H36" i="8"/>
  <c r="E156" i="8"/>
  <c r="D31" i="8"/>
  <c r="E275" i="8"/>
  <c r="D269" i="8"/>
  <c r="E276" i="8"/>
  <c r="D270" i="8"/>
  <c r="H276" i="8" s="1"/>
  <c r="J276" i="8" s="1"/>
  <c r="B280" i="8"/>
  <c r="F27" i="8"/>
  <c r="D36" i="8" s="1"/>
  <c r="F26" i="8"/>
  <c r="D35" i="8" s="1"/>
  <c r="J78" i="8"/>
  <c r="F28" i="8"/>
  <c r="D37" i="8" s="1"/>
  <c r="E116" i="8"/>
  <c r="E117" i="8"/>
  <c r="D110" i="8"/>
  <c r="D19" i="8" s="1"/>
  <c r="D29" i="8" s="1"/>
  <c r="E26" i="8"/>
  <c r="C35" i="8" s="1"/>
  <c r="C190" i="8"/>
  <c r="I196" i="8" s="1"/>
  <c r="D190" i="8"/>
  <c r="H196" i="8" s="1"/>
  <c r="E196" i="8"/>
  <c r="I235" i="8"/>
  <c r="D149" i="8"/>
  <c r="E19" i="8" s="1"/>
  <c r="C149" i="8"/>
  <c r="E155" i="8"/>
  <c r="D20" i="8"/>
  <c r="D30" i="8" s="1"/>
  <c r="I116" i="8"/>
  <c r="B123" i="8" s="1"/>
  <c r="B82" i="8"/>
  <c r="D71" i="8"/>
  <c r="C71" i="8"/>
  <c r="E77" i="8"/>
  <c r="B240" i="8"/>
  <c r="H235" i="8"/>
  <c r="C7" i="8"/>
  <c r="E31" i="8"/>
  <c r="H37" i="8"/>
  <c r="C26" i="8"/>
  <c r="A35" i="8" s="1"/>
  <c r="C189" i="8"/>
  <c r="D189" i="8"/>
  <c r="E195" i="8"/>
  <c r="C230" i="8"/>
  <c r="I236" i="8" s="1"/>
  <c r="D230" i="8"/>
  <c r="H236" i="8" s="1"/>
  <c r="E236" i="8"/>
  <c r="C5" i="8"/>
  <c r="C31" i="8"/>
  <c r="H35" i="8"/>
  <c r="F31" i="8"/>
  <c r="I35" i="8"/>
  <c r="C8" i="8"/>
  <c r="J117" i="8"/>
  <c r="B121" i="8"/>
  <c r="C28" i="8"/>
  <c r="A37" i="8" s="1"/>
  <c r="B160" i="8"/>
  <c r="E28" i="8"/>
  <c r="C37" i="8" s="1"/>
  <c r="B200" i="8"/>
  <c r="D200" i="7"/>
  <c r="D184" i="7"/>
  <c r="B184" i="7"/>
  <c r="C184" i="7"/>
  <c r="F200" i="7"/>
  <c r="B200" i="7"/>
  <c r="F239" i="7"/>
  <c r="C223" i="7"/>
  <c r="B223" i="7"/>
  <c r="D223" i="7"/>
  <c r="F199" i="7"/>
  <c r="B183" i="7"/>
  <c r="D183" i="7"/>
  <c r="F16" i="7" s="1"/>
  <c r="C183" i="7"/>
  <c r="F15" i="7" s="1"/>
  <c r="B239" i="7"/>
  <c r="D199" i="7"/>
  <c r="B120" i="7"/>
  <c r="D121" i="7"/>
  <c r="B240" i="7"/>
  <c r="D224" i="7"/>
  <c r="G16" i="7" s="1"/>
  <c r="F240" i="7"/>
  <c r="B224" i="7"/>
  <c r="C224" i="7"/>
  <c r="D104" i="7"/>
  <c r="F120" i="7"/>
  <c r="B104" i="7"/>
  <c r="C104" i="7"/>
  <c r="B105" i="7"/>
  <c r="D105" i="7"/>
  <c r="C105" i="7"/>
  <c r="F121" i="7"/>
  <c r="B159" i="7"/>
  <c r="F160" i="7"/>
  <c r="B163" i="7" s="1"/>
  <c r="D159" i="7"/>
  <c r="D160" i="7"/>
  <c r="D143" i="7"/>
  <c r="C143" i="7"/>
  <c r="B143" i="7"/>
  <c r="D144" i="7"/>
  <c r="C144" i="7"/>
  <c r="B144" i="7"/>
  <c r="D65" i="7"/>
  <c r="C16" i="7" s="1"/>
  <c r="C66" i="7"/>
  <c r="C15" i="7" s="1"/>
  <c r="B65" i="7"/>
  <c r="B66" i="7"/>
  <c r="F82" i="7"/>
  <c r="B82" i="7"/>
  <c r="B81" i="7"/>
  <c r="D82" i="7"/>
  <c r="F81" i="7"/>
  <c r="D81" i="7"/>
  <c r="B69" i="6"/>
  <c r="K80" i="6" s="1"/>
  <c r="B68" i="6"/>
  <c r="K79" i="6" s="1"/>
  <c r="B223" i="6"/>
  <c r="F234" i="6" s="1"/>
  <c r="B222" i="6"/>
  <c r="D217" i="6" s="1"/>
  <c r="B183" i="6"/>
  <c r="D178" i="6" s="1"/>
  <c r="B184" i="6"/>
  <c r="F195" i="6" s="1"/>
  <c r="B144" i="6"/>
  <c r="C139" i="6" s="1"/>
  <c r="B145" i="6"/>
  <c r="B107" i="6"/>
  <c r="B102" i="6" s="1"/>
  <c r="B106" i="6"/>
  <c r="B117" i="6" s="1"/>
  <c r="M35" i="8" l="1"/>
  <c r="G6" i="8"/>
  <c r="J16" i="8"/>
  <c r="K36" i="8"/>
  <c r="M17" i="8"/>
  <c r="M27" i="8" s="1"/>
  <c r="H315" i="8"/>
  <c r="J315" i="8" s="1"/>
  <c r="I19" i="8"/>
  <c r="I29" i="8" s="1"/>
  <c r="B321" i="8"/>
  <c r="B323" i="8" s="1"/>
  <c r="H275" i="8"/>
  <c r="B281" i="8" s="1"/>
  <c r="B283" i="8" s="1"/>
  <c r="H19" i="8"/>
  <c r="H29" i="8" s="1"/>
  <c r="G19" i="8"/>
  <c r="G29" i="8" s="1"/>
  <c r="H116" i="8"/>
  <c r="B122" i="8" s="1"/>
  <c r="B124" i="8" s="1"/>
  <c r="J236" i="8"/>
  <c r="J196" i="8"/>
  <c r="I195" i="8"/>
  <c r="B202" i="8" s="1"/>
  <c r="F20" i="8"/>
  <c r="F30" i="8" s="1"/>
  <c r="E20" i="8"/>
  <c r="E30" i="8" s="1"/>
  <c r="I155" i="8"/>
  <c r="B162" i="8" s="1"/>
  <c r="B241" i="8"/>
  <c r="J235" i="8"/>
  <c r="I77" i="8"/>
  <c r="B84" i="8" s="1"/>
  <c r="C20" i="8"/>
  <c r="J116" i="8"/>
  <c r="C19" i="8"/>
  <c r="H77" i="8"/>
  <c r="B242" i="8"/>
  <c r="B243" i="8" s="1"/>
  <c r="F19" i="8"/>
  <c r="F29" i="8" s="1"/>
  <c r="H195" i="8"/>
  <c r="E29" i="8"/>
  <c r="H155" i="8"/>
  <c r="C39" i="8" a="1"/>
  <c r="C39" i="8" s="1"/>
  <c r="B43" i="8" a="1"/>
  <c r="B43" i="8" s="1"/>
  <c r="K37" i="8"/>
  <c r="M28" i="8"/>
  <c r="G20" i="8"/>
  <c r="G30" i="8" s="1"/>
  <c r="B193" i="7"/>
  <c r="G15" i="7"/>
  <c r="D15" i="7"/>
  <c r="B233" i="7"/>
  <c r="E239" i="7" s="1"/>
  <c r="B80" i="6"/>
  <c r="E199" i="7"/>
  <c r="D193" i="7"/>
  <c r="C193" i="7"/>
  <c r="D14" i="7"/>
  <c r="G120" i="7"/>
  <c r="C120" i="7"/>
  <c r="E15" i="7"/>
  <c r="D16" i="7"/>
  <c r="F19" i="7"/>
  <c r="B203" i="7"/>
  <c r="B124" i="7"/>
  <c r="D19" i="7"/>
  <c r="B75" i="7"/>
  <c r="C14" i="7"/>
  <c r="B234" i="7"/>
  <c r="B115" i="7"/>
  <c r="G121" i="7"/>
  <c r="C121" i="7"/>
  <c r="G200" i="7"/>
  <c r="C200" i="7"/>
  <c r="D189" i="7"/>
  <c r="G199" i="7"/>
  <c r="F14" i="7"/>
  <c r="C199" i="7"/>
  <c r="D188" i="7"/>
  <c r="C19" i="7"/>
  <c r="G14" i="7"/>
  <c r="C240" i="7"/>
  <c r="G240" i="7"/>
  <c r="C239" i="7"/>
  <c r="G239" i="7"/>
  <c r="B114" i="7"/>
  <c r="B194" i="7"/>
  <c r="B243" i="7"/>
  <c r="G19" i="7"/>
  <c r="E14" i="7"/>
  <c r="E16" i="7"/>
  <c r="E19" i="7"/>
  <c r="D229" i="7"/>
  <c r="D228" i="7"/>
  <c r="G159" i="7"/>
  <c r="C159" i="7"/>
  <c r="B153" i="7"/>
  <c r="E159" i="7" s="1"/>
  <c r="B154" i="7"/>
  <c r="E160" i="7" s="1"/>
  <c r="G160" i="7"/>
  <c r="C160" i="7"/>
  <c r="C75" i="7"/>
  <c r="D75" i="7"/>
  <c r="D148" i="7"/>
  <c r="G81" i="7"/>
  <c r="D70" i="7"/>
  <c r="C81" i="7"/>
  <c r="D109" i="7"/>
  <c r="D149" i="7"/>
  <c r="E81" i="7"/>
  <c r="D110" i="7"/>
  <c r="B85" i="7"/>
  <c r="D71" i="7"/>
  <c r="C82" i="7"/>
  <c r="G82" i="7"/>
  <c r="B76" i="7"/>
  <c r="B218" i="6"/>
  <c r="K233" i="6"/>
  <c r="D218" i="6"/>
  <c r="D234" i="6"/>
  <c r="F233" i="6"/>
  <c r="G18" i="6" s="1"/>
  <c r="D233" i="6"/>
  <c r="B217" i="6"/>
  <c r="K234" i="6"/>
  <c r="B234" i="6"/>
  <c r="C218" i="6"/>
  <c r="B233" i="6"/>
  <c r="C217" i="6"/>
  <c r="F194" i="6"/>
  <c r="F18" i="6" s="1"/>
  <c r="C178" i="6"/>
  <c r="K194" i="6"/>
  <c r="D194" i="6"/>
  <c r="B178" i="6"/>
  <c r="B194" i="6"/>
  <c r="B195" i="6"/>
  <c r="B179" i="6"/>
  <c r="C179" i="6"/>
  <c r="D179" i="6"/>
  <c r="F16" i="6" s="1"/>
  <c r="K195" i="6"/>
  <c r="D195" i="6"/>
  <c r="D139" i="6"/>
  <c r="B139" i="6"/>
  <c r="E14" i="6" s="1"/>
  <c r="F155" i="6"/>
  <c r="K155" i="6"/>
  <c r="D155" i="6"/>
  <c r="B155" i="6"/>
  <c r="C140" i="6"/>
  <c r="E15" i="6" s="1"/>
  <c r="D140" i="6"/>
  <c r="D156" i="6"/>
  <c r="F156" i="6"/>
  <c r="B140" i="6"/>
  <c r="K156" i="6"/>
  <c r="B156" i="6"/>
  <c r="B118" i="6"/>
  <c r="K118" i="6"/>
  <c r="D102" i="6"/>
  <c r="D118" i="6"/>
  <c r="C102" i="6"/>
  <c r="F118" i="6"/>
  <c r="C101" i="6"/>
  <c r="D101" i="6"/>
  <c r="F117" i="6"/>
  <c r="D18" i="6" s="1"/>
  <c r="B101" i="6"/>
  <c r="D14" i="6" s="1"/>
  <c r="K117" i="6"/>
  <c r="D117" i="6"/>
  <c r="D79" i="6"/>
  <c r="D63" i="6"/>
  <c r="B79" i="6"/>
  <c r="C63" i="6"/>
  <c r="B64" i="6"/>
  <c r="C64" i="6"/>
  <c r="D64" i="6"/>
  <c r="F80" i="6"/>
  <c r="D80" i="6"/>
  <c r="F79" i="6"/>
  <c r="J275" i="8" l="1"/>
  <c r="M19" i="8"/>
  <c r="C30" i="8"/>
  <c r="B83" i="8"/>
  <c r="B85" i="8" s="1"/>
  <c r="J77" i="8"/>
  <c r="B161" i="8"/>
  <c r="B163" i="8" s="1"/>
  <c r="J155" i="8"/>
  <c r="C29" i="8"/>
  <c r="B201" i="8"/>
  <c r="B203" i="8" s="1"/>
  <c r="J195" i="8"/>
  <c r="H15" i="7"/>
  <c r="J15" i="7" s="1"/>
  <c r="H16" i="7"/>
  <c r="J16" i="7" s="1"/>
  <c r="F15" i="6"/>
  <c r="D15" i="6"/>
  <c r="C15" i="6"/>
  <c r="D184" i="6"/>
  <c r="D16" i="6"/>
  <c r="C18" i="6"/>
  <c r="F31" i="6" s="1"/>
  <c r="C16" i="6"/>
  <c r="E18" i="6"/>
  <c r="C14" i="6"/>
  <c r="E16" i="6"/>
  <c r="F14" i="6"/>
  <c r="B125" i="7"/>
  <c r="I199" i="7"/>
  <c r="F18" i="7"/>
  <c r="D115" i="7"/>
  <c r="H121" i="7" s="1"/>
  <c r="C115" i="7"/>
  <c r="I121" i="7" s="1"/>
  <c r="E121" i="7"/>
  <c r="D194" i="7"/>
  <c r="H200" i="7" s="1"/>
  <c r="C194" i="7"/>
  <c r="I200" i="7" s="1"/>
  <c r="E200" i="7"/>
  <c r="H199" i="7"/>
  <c r="B205" i="7" s="1"/>
  <c r="F17" i="7"/>
  <c r="B204" i="7"/>
  <c r="J199" i="7"/>
  <c r="C114" i="7"/>
  <c r="D114" i="7"/>
  <c r="E120" i="7"/>
  <c r="I81" i="7"/>
  <c r="H81" i="7"/>
  <c r="C153" i="7"/>
  <c r="I159" i="7" s="1"/>
  <c r="G15" i="6"/>
  <c r="G14" i="6"/>
  <c r="D222" i="6"/>
  <c r="D223" i="6"/>
  <c r="G16" i="6"/>
  <c r="B244" i="7"/>
  <c r="C234" i="7"/>
  <c r="I240" i="7" s="1"/>
  <c r="D234" i="7"/>
  <c r="H240" i="7" s="1"/>
  <c r="E240" i="7"/>
  <c r="D233" i="7"/>
  <c r="C233" i="7"/>
  <c r="C154" i="7"/>
  <c r="I160" i="7" s="1"/>
  <c r="D183" i="6"/>
  <c r="D153" i="7"/>
  <c r="D154" i="7"/>
  <c r="H160" i="7" s="1"/>
  <c r="B164" i="7"/>
  <c r="C76" i="7"/>
  <c r="I82" i="7" s="1"/>
  <c r="D76" i="7"/>
  <c r="H82" i="7" s="1"/>
  <c r="B87" i="7" s="1"/>
  <c r="B86" i="7"/>
  <c r="E82" i="7"/>
  <c r="B198" i="6"/>
  <c r="B237" i="6"/>
  <c r="G233" i="6"/>
  <c r="B227" i="6"/>
  <c r="G234" i="6"/>
  <c r="B228" i="6"/>
  <c r="H234" i="6" s="1"/>
  <c r="C234" i="6"/>
  <c r="C233" i="6"/>
  <c r="G194" i="6"/>
  <c r="C194" i="6"/>
  <c r="B188" i="6"/>
  <c r="F17" i="6" s="1"/>
  <c r="D144" i="6"/>
  <c r="G155" i="6"/>
  <c r="G195" i="6"/>
  <c r="C195" i="6"/>
  <c r="C155" i="6"/>
  <c r="B149" i="6"/>
  <c r="B189" i="6"/>
  <c r="B159" i="6"/>
  <c r="D145" i="6"/>
  <c r="G156" i="6"/>
  <c r="C156" i="6"/>
  <c r="C118" i="6"/>
  <c r="B150" i="6"/>
  <c r="D107" i="6"/>
  <c r="B112" i="6"/>
  <c r="J118" i="6" s="1"/>
  <c r="G118" i="6"/>
  <c r="B121" i="6"/>
  <c r="B111" i="6"/>
  <c r="D17" i="6" s="1"/>
  <c r="C117" i="6"/>
  <c r="D106" i="6"/>
  <c r="G117" i="6"/>
  <c r="B74" i="6"/>
  <c r="D68" i="6"/>
  <c r="C79" i="6"/>
  <c r="G79" i="6"/>
  <c r="B73" i="6"/>
  <c r="B83" i="6"/>
  <c r="G80" i="6"/>
  <c r="D69" i="6"/>
  <c r="C80" i="6"/>
  <c r="J121" i="7" l="1"/>
  <c r="B206" i="7"/>
  <c r="B207" i="7"/>
  <c r="J200" i="7"/>
  <c r="E17" i="6"/>
  <c r="J79" i="6"/>
  <c r="C17" i="6"/>
  <c r="H80" i="6"/>
  <c r="J80" i="6"/>
  <c r="J81" i="7"/>
  <c r="I120" i="7"/>
  <c r="B127" i="7" s="1"/>
  <c r="D18" i="7"/>
  <c r="D28" i="7" s="1"/>
  <c r="J82" i="7"/>
  <c r="H120" i="7"/>
  <c r="D17" i="7"/>
  <c r="D27" i="7" s="1"/>
  <c r="C17" i="7"/>
  <c r="C18" i="7"/>
  <c r="C28" i="7" s="1"/>
  <c r="H239" i="7"/>
  <c r="B245" i="7" s="1"/>
  <c r="G17" i="7"/>
  <c r="I239" i="7"/>
  <c r="J239" i="7" s="1"/>
  <c r="G18" i="7"/>
  <c r="G28" i="7" s="1"/>
  <c r="B166" i="7"/>
  <c r="H159" i="7"/>
  <c r="E17" i="7"/>
  <c r="E27" i="7" s="1"/>
  <c r="E18" i="7"/>
  <c r="E28" i="7" s="1"/>
  <c r="J160" i="7"/>
  <c r="G17" i="6"/>
  <c r="B246" i="7"/>
  <c r="J240" i="7"/>
  <c r="E26" i="7"/>
  <c r="C35" i="7" s="1"/>
  <c r="D24" i="7"/>
  <c r="B33" i="7" s="1"/>
  <c r="B88" i="7"/>
  <c r="B89" i="7" s="1"/>
  <c r="C26" i="7"/>
  <c r="A35" i="7" s="1"/>
  <c r="C7" i="7"/>
  <c r="E24" i="7" s="1"/>
  <c r="C33" i="7" s="1"/>
  <c r="E29" i="7"/>
  <c r="F25" i="7"/>
  <c r="D34" i="7" s="1"/>
  <c r="F35" i="7"/>
  <c r="E25" i="7"/>
  <c r="C34" i="7" s="1"/>
  <c r="J117" i="6"/>
  <c r="C5" i="6"/>
  <c r="G24" i="7"/>
  <c r="E33" i="7" s="1"/>
  <c r="F27" i="7"/>
  <c r="G33" i="7"/>
  <c r="C8" i="7"/>
  <c r="F29" i="7"/>
  <c r="C9" i="7"/>
  <c r="G29" i="7"/>
  <c r="G34" i="7"/>
  <c r="D29" i="7"/>
  <c r="C6" i="7"/>
  <c r="F34" i="7"/>
  <c r="D26" i="7"/>
  <c r="B35" i="7" s="1"/>
  <c r="H233" i="6"/>
  <c r="I233" i="6" s="1"/>
  <c r="C25" i="7"/>
  <c r="A34" i="7" s="1"/>
  <c r="E194" i="6"/>
  <c r="F28" i="7"/>
  <c r="C24" i="7"/>
  <c r="A33" i="7" s="1"/>
  <c r="F24" i="7"/>
  <c r="D33" i="7" s="1"/>
  <c r="G25" i="7"/>
  <c r="E34" i="7" s="1"/>
  <c r="G26" i="7"/>
  <c r="E35" i="7" s="1"/>
  <c r="E155" i="6"/>
  <c r="C29" i="7"/>
  <c r="C27" i="7"/>
  <c r="F33" i="7"/>
  <c r="C5" i="7"/>
  <c r="D25" i="7"/>
  <c r="B34" i="7" s="1"/>
  <c r="F26" i="7"/>
  <c r="D35" i="7" s="1"/>
  <c r="J233" i="6"/>
  <c r="I234" i="6"/>
  <c r="B238" i="6"/>
  <c r="E233" i="6"/>
  <c r="J234" i="6"/>
  <c r="E234" i="6"/>
  <c r="J194" i="6"/>
  <c r="H194" i="6"/>
  <c r="I194" i="6" s="1"/>
  <c r="H155" i="6"/>
  <c r="I155" i="6" s="1"/>
  <c r="J155" i="6"/>
  <c r="H195" i="6"/>
  <c r="J195" i="6"/>
  <c r="E195" i="6"/>
  <c r="B199" i="6"/>
  <c r="J156" i="6"/>
  <c r="H156" i="6"/>
  <c r="E156" i="6"/>
  <c r="B160" i="6"/>
  <c r="H118" i="6"/>
  <c r="I118" i="6" s="1"/>
  <c r="E118" i="6"/>
  <c r="E117" i="6"/>
  <c r="H117" i="6"/>
  <c r="I117" i="6" s="1"/>
  <c r="B122" i="6"/>
  <c r="E80" i="6"/>
  <c r="I80" i="6"/>
  <c r="H79" i="6"/>
  <c r="E79" i="6"/>
  <c r="B84" i="6"/>
  <c r="F32" i="6"/>
  <c r="C35" i="6" s="1" a="1"/>
  <c r="C35" i="6" s="1"/>
  <c r="F33" i="6"/>
  <c r="G32" i="6"/>
  <c r="G31" i="6"/>
  <c r="B85" i="6" l="1"/>
  <c r="B126" i="7"/>
  <c r="J120" i="7"/>
  <c r="J17" i="7"/>
  <c r="B128" i="7"/>
  <c r="G27" i="7"/>
  <c r="B165" i="7"/>
  <c r="B167" i="7" s="1"/>
  <c r="J159" i="7"/>
  <c r="B247" i="7"/>
  <c r="B239" i="6"/>
  <c r="B240" i="6" s="1"/>
  <c r="C37" i="7" a="1"/>
  <c r="C37" i="7" s="1"/>
  <c r="B41" i="7" a="1"/>
  <c r="B41" i="7" s="1"/>
  <c r="B39" i="6" a="1"/>
  <c r="B39" i="6" s="1"/>
  <c r="F27" i="6"/>
  <c r="C8" i="6"/>
  <c r="D27" i="6"/>
  <c r="C6" i="6"/>
  <c r="G27" i="6"/>
  <c r="C9" i="6"/>
  <c r="E27" i="6"/>
  <c r="C7" i="6"/>
  <c r="B161" i="6"/>
  <c r="B162" i="6" s="1"/>
  <c r="B200" i="6"/>
  <c r="B201" i="6" s="1"/>
  <c r="I195" i="6"/>
  <c r="I156" i="6"/>
  <c r="B123" i="6"/>
  <c r="B124" i="6" s="1"/>
  <c r="I79" i="6"/>
  <c r="B86" i="6"/>
  <c r="G24" i="6"/>
  <c r="E32" i="6" s="1"/>
  <c r="D24" i="6"/>
  <c r="B32" i="6" s="1"/>
  <c r="E23" i="6"/>
  <c r="C31" i="6" s="1"/>
  <c r="E24" i="6"/>
  <c r="C32" i="6" s="1"/>
  <c r="D23" i="6"/>
  <c r="B31" i="6" s="1"/>
  <c r="F26" i="6"/>
  <c r="F25" i="6"/>
  <c r="D33" i="6" s="1"/>
  <c r="F23" i="6"/>
  <c r="D31" i="6" s="1"/>
  <c r="E25" i="6"/>
  <c r="C33" i="6" s="1"/>
  <c r="F24" i="6"/>
  <c r="D32" i="6" s="1"/>
  <c r="G25" i="6"/>
  <c r="E33" i="6" s="1"/>
  <c r="G23" i="6"/>
  <c r="E31" i="6" s="1"/>
  <c r="D25" i="6"/>
  <c r="B33" i="6" s="1"/>
  <c r="G26" i="6"/>
  <c r="E26" i="6"/>
  <c r="D26" i="6" l="1"/>
  <c r="H16" i="6" l="1"/>
  <c r="I16" i="6" s="1"/>
  <c r="H15" i="6"/>
  <c r="C23" i="6"/>
  <c r="A31" i="6" s="1"/>
  <c r="C45" i="6" l="1"/>
  <c r="C47" i="6"/>
  <c r="C24" i="6"/>
  <c r="A32" i="6" s="1"/>
  <c r="C26" i="6"/>
  <c r="C27" i="6"/>
  <c r="H14" i="6"/>
  <c r="C25" i="6"/>
  <c r="A33" i="6" s="1"/>
  <c r="I15" i="6"/>
  <c r="B45" i="6" l="1"/>
  <c r="I14" i="6"/>
  <c r="I19" i="7"/>
  <c r="H14" i="7" l="1"/>
  <c r="J14" i="7" l="1"/>
  <c r="L35" i="8"/>
  <c r="K21" i="8"/>
  <c r="M16" i="8"/>
  <c r="M26" i="8" s="1"/>
  <c r="K35" i="8" l="1"/>
  <c r="C43" i="8" l="1" a="1"/>
  <c r="C43" i="8" s="1"/>
  <c r="B39" i="8" a="1"/>
  <c r="B39" i="8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<sst xmlns="http://schemas.openxmlformats.org/spreadsheetml/2006/main" count="1168" uniqueCount="142">
  <si>
    <t>Production function</t>
  </si>
  <si>
    <t>A</t>
  </si>
  <si>
    <t>Alpha</t>
  </si>
  <si>
    <t>Beta</t>
  </si>
  <si>
    <t>Agent</t>
  </si>
  <si>
    <t>Returns to scale</t>
  </si>
  <si>
    <t>Input 1</t>
  </si>
  <si>
    <t>Input 2</t>
  </si>
  <si>
    <t>Input 3</t>
  </si>
  <si>
    <t>Final 1</t>
  </si>
  <si>
    <t>Final 2</t>
  </si>
  <si>
    <t>Optimal supply</t>
  </si>
  <si>
    <t>Input 2 price</t>
  </si>
  <si>
    <t>Input 3 price</t>
  </si>
  <si>
    <t>Gamma</t>
  </si>
  <si>
    <t>Input 1 price (output)</t>
  </si>
  <si>
    <t>f(1,2,3)=A*x_1^(Alpha)*x_2^(Beta)*x_3^(Gamma)</t>
  </si>
  <si>
    <t>P*n*q</t>
  </si>
  <si>
    <t>P'q</t>
  </si>
  <si>
    <t>Equations</t>
  </si>
  <si>
    <t>n*q</t>
  </si>
  <si>
    <t>P*q</t>
  </si>
  <si>
    <t>(1-n)*q</t>
  </si>
  <si>
    <t>Income</t>
  </si>
  <si>
    <t>Expend</t>
  </si>
  <si>
    <t>Final industries</t>
  </si>
  <si>
    <t>Expenses</t>
  </si>
  <si>
    <t>Inputs</t>
  </si>
  <si>
    <t xml:space="preserve">Input 1 price </t>
  </si>
  <si>
    <t>Input 2 price (output)</t>
  </si>
  <si>
    <t>Input 3 price (output)</t>
  </si>
  <si>
    <t>Value function</t>
  </si>
  <si>
    <t>q-q^s</t>
  </si>
  <si>
    <t>q^s</t>
  </si>
  <si>
    <t>Rents</t>
  </si>
  <si>
    <t>Ex+rent</t>
  </si>
  <si>
    <t>LHS</t>
  </si>
  <si>
    <t>RHS</t>
  </si>
  <si>
    <t>Final good 1 price</t>
  </si>
  <si>
    <t>Final good 2 price</t>
  </si>
  <si>
    <t>(4) LHS</t>
  </si>
  <si>
    <t>(6) LHS</t>
  </si>
  <si>
    <t>(7) LHS</t>
  </si>
  <si>
    <t>(3) LHS</t>
  </si>
  <si>
    <t>(3) RHS</t>
  </si>
  <si>
    <t>(4) RHS</t>
  </si>
  <si>
    <t>(6) RHS</t>
  </si>
  <si>
    <t>(6) sum RHS</t>
  </si>
  <si>
    <t>(7) RHS</t>
  </si>
  <si>
    <t>Input industries</t>
  </si>
  <si>
    <t>Quantity</t>
  </si>
  <si>
    <t>Price</t>
  </si>
  <si>
    <t>Expense</t>
  </si>
  <si>
    <t xml:space="preserve"> Eq. (8)</t>
  </si>
  <si>
    <t>Matrix A</t>
  </si>
  <si>
    <t>Matrix B</t>
  </si>
  <si>
    <t>Vector X</t>
  </si>
  <si>
    <t>Vector Y</t>
  </si>
  <si>
    <t>Eq. (11)</t>
  </si>
  <si>
    <t>Eq. (13)</t>
  </si>
  <si>
    <t>Eq. (12)</t>
  </si>
  <si>
    <t>Eq. (14)</t>
  </si>
  <si>
    <t>Taxes</t>
  </si>
  <si>
    <t>Rent tax</t>
  </si>
  <si>
    <t>Lump sum</t>
  </si>
  <si>
    <t>Amount</t>
  </si>
  <si>
    <t>Tax</t>
  </si>
  <si>
    <t>Private Rent</t>
  </si>
  <si>
    <t>Rent</t>
  </si>
  <si>
    <t>Firm</t>
  </si>
  <si>
    <t>1.1 General</t>
  </si>
  <si>
    <t>1.2 Input good 1</t>
  </si>
  <si>
    <t>1. Good</t>
  </si>
  <si>
    <t>2. Production function</t>
  </si>
  <si>
    <t>3. Optimal derived demand</t>
  </si>
  <si>
    <t>4. Optimal supply</t>
  </si>
  <si>
    <t>6. Equations</t>
  </si>
  <si>
    <t>7. Industry level</t>
  </si>
  <si>
    <t>2. New Table (NT)</t>
  </si>
  <si>
    <t>4. Leontief Inverse</t>
  </si>
  <si>
    <t>5. Final demand and rents</t>
  </si>
  <si>
    <t>5. Rents</t>
  </si>
  <si>
    <t>Gov.</t>
  </si>
  <si>
    <t>Direct cons.</t>
  </si>
  <si>
    <t>Private rent</t>
  </si>
  <si>
    <t>(16) LHS</t>
  </si>
  <si>
    <t>(16) RHS</t>
  </si>
  <si>
    <t>(16) sum RHS</t>
  </si>
  <si>
    <t>π</t>
  </si>
  <si>
    <t>P'q + π</t>
  </si>
  <si>
    <t>T</t>
  </si>
  <si>
    <t>Total rent</t>
  </si>
  <si>
    <t>P'q + T + π</t>
  </si>
  <si>
    <t>Private rents</t>
  </si>
  <si>
    <t>Gov. Expend.</t>
  </si>
  <si>
    <t xml:space="preserve"> Eq. (17)</t>
  </si>
  <si>
    <t>Ex+G+P.rents</t>
  </si>
  <si>
    <t>-</t>
  </si>
  <si>
    <t>2. New Table (NT) with government</t>
  </si>
  <si>
    <t>Vector G</t>
  </si>
  <si>
    <t>Vector D</t>
  </si>
  <si>
    <t>Eq. (21)</t>
  </si>
  <si>
    <t>Eq. (22)</t>
  </si>
  <si>
    <t>Eq. (19)</t>
  </si>
  <si>
    <t>Eq. (20)</t>
  </si>
  <si>
    <t>3. New Table of Coeficients (NTC)</t>
  </si>
  <si>
    <t>3. New Table of Coeficients (NTC) with government</t>
  </si>
  <si>
    <t>2.1 General</t>
  </si>
  <si>
    <t>2.2 Input good 1</t>
  </si>
  <si>
    <t>1.3 Input good 2</t>
  </si>
  <si>
    <t>1.4 Input good 3</t>
  </si>
  <si>
    <t>1.5 Final good 1</t>
  </si>
  <si>
    <t>1.6 Final good 2</t>
  </si>
  <si>
    <t>2.3 Input good 2</t>
  </si>
  <si>
    <t>2.4 Input good 3</t>
  </si>
  <si>
    <t>2.5 Final good 1</t>
  </si>
  <si>
    <t>2.6 Final good 2</t>
  </si>
  <si>
    <t>Example of the New Input-Output Table proposed for an economy with three input and two final goods. A guide to these exemplary calculations are provided in the file "Supporting Information Guide"</t>
  </si>
  <si>
    <t>Export 1</t>
  </si>
  <si>
    <t>Export 2</t>
  </si>
  <si>
    <t>Export industries</t>
  </si>
  <si>
    <t>3.1 General</t>
  </si>
  <si>
    <t>3.2 Input good 1</t>
  </si>
  <si>
    <t>3.3 Input good 2</t>
  </si>
  <si>
    <t>3.4 Input good 3</t>
  </si>
  <si>
    <t>3.5 Final good 1</t>
  </si>
  <si>
    <t>3.6 Final good 2</t>
  </si>
  <si>
    <t>3.7 Export good 1</t>
  </si>
  <si>
    <t>Export good 1 price</t>
  </si>
  <si>
    <t>Imp.</t>
  </si>
  <si>
    <t>Matrix C</t>
  </si>
  <si>
    <t>Vector Z</t>
  </si>
  <si>
    <t>Vector M</t>
  </si>
  <si>
    <t>3.8 Export good 2</t>
  </si>
  <si>
    <t>Export good 2 price</t>
  </si>
  <si>
    <t>Eq. (23)</t>
  </si>
  <si>
    <t>Eq. (24)</t>
  </si>
  <si>
    <t>Exports</t>
  </si>
  <si>
    <t>Imports</t>
  </si>
  <si>
    <t>Trade balance</t>
  </si>
  <si>
    <t>Example of the New Input-Output Table proposed for an economy with three input and two final goods, government, and foreign trade</t>
  </si>
  <si>
    <t>Example of the New Input-Output Table proposed for an economy with three input and two final goods and government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</si>
</sst>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61">
    <xf numFmtId="0" fontId="0" fillId="0" borderId="0" xfId="0"/>
    <xf numFmtId="0" fontId="0" fillId="2" borderId="17" xfId="0" applyFill="1" applyBorder="1"/>
    <xf numFmtId="0" fontId="0" fillId="2" borderId="18" xfId="0" applyFill="1" applyBorder="1"/>
    <xf numFmtId="0" fontId="0" fillId="2" borderId="0" xfId="0" applyFill="1" applyBorder="1"/>
    <xf numFmtId="0" fontId="0" fillId="2" borderId="20" xfId="0" applyFill="1" applyBorder="1"/>
    <xf numFmtId="0" fontId="0" fillId="2" borderId="0" xfId="0" applyFill="1"/>
    <xf numFmtId="0" fontId="0" fillId="2" borderId="19" xfId="0" applyFill="1" applyBorder="1"/>
    <xf numFmtId="0" fontId="1" fillId="2" borderId="29" xfId="0" applyFont="1" applyFill="1" applyBorder="1"/>
    <xf numFmtId="0" fontId="0" fillId="2" borderId="36" xfId="0" applyFill="1" applyBorder="1"/>
    <xf numFmtId="0" fontId="0" fillId="2" borderId="30" xfId="0" applyFill="1" applyBorder="1"/>
    <xf numFmtId="0" fontId="0" fillId="2" borderId="4" xfId="0" applyFill="1" applyBorder="1"/>
    <xf numFmtId="0" fontId="0" fillId="2" borderId="25" xfId="0" applyFill="1" applyBorder="1"/>
    <xf numFmtId="0" fontId="0" fillId="2" borderId="11" xfId="0" applyFill="1" applyBorder="1"/>
    <xf numFmtId="0" fontId="0" fillId="2" borderId="13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2" fontId="0" fillId="2" borderId="0" xfId="0" applyNumberFormat="1" applyFill="1" applyBorder="1"/>
    <xf numFmtId="2" fontId="0" fillId="2" borderId="20" xfId="0" applyNumberFormat="1" applyFill="1" applyBorder="1"/>
    <xf numFmtId="0" fontId="0" fillId="2" borderId="7" xfId="0" applyFill="1" applyBorder="1" applyAlignment="1">
      <alignment horizontal="center"/>
    </xf>
    <xf numFmtId="2" fontId="0" fillId="2" borderId="22" xfId="0" applyNumberFormat="1" applyFill="1" applyBorder="1"/>
    <xf numFmtId="2" fontId="0" fillId="2" borderId="23" xfId="0" applyNumberFormat="1" applyFill="1" applyBorder="1"/>
    <xf numFmtId="2" fontId="0" fillId="2" borderId="3" xfId="0" applyNumberFormat="1" applyFill="1" applyBorder="1" applyAlignment="1">
      <alignment horizontal="center"/>
    </xf>
    <xf numFmtId="2" fontId="0" fillId="2" borderId="0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2" fontId="0" fillId="2" borderId="7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2" fontId="0" fillId="2" borderId="13" xfId="0" applyNumberFormat="1" applyFill="1" applyBorder="1" applyAlignment="1">
      <alignment horizontal="center"/>
    </xf>
    <xf numFmtId="2" fontId="0" fillId="2" borderId="15" xfId="0" applyNumberFormat="1" applyFill="1" applyBorder="1" applyAlignment="1">
      <alignment horizontal="center"/>
    </xf>
    <xf numFmtId="2" fontId="0" fillId="2" borderId="14" xfId="0" applyNumberFormat="1" applyFill="1" applyBorder="1" applyAlignment="1">
      <alignment horizontal="center"/>
    </xf>
    <xf numFmtId="2" fontId="0" fillId="2" borderId="8" xfId="0" applyNumberFormat="1" applyFill="1" applyBorder="1" applyAlignment="1">
      <alignment horizontal="center"/>
    </xf>
    <xf numFmtId="2" fontId="0" fillId="2" borderId="28" xfId="0" applyNumberFormat="1" applyFill="1" applyBorder="1" applyAlignment="1">
      <alignment horizontal="center"/>
    </xf>
    <xf numFmtId="2" fontId="0" fillId="2" borderId="33" xfId="0" applyNumberFormat="1" applyFill="1" applyBorder="1" applyAlignment="1">
      <alignment horizontal="center"/>
    </xf>
    <xf numFmtId="2" fontId="0" fillId="2" borderId="22" xfId="0" applyNumberFormat="1" applyFill="1" applyBorder="1" applyAlignment="1">
      <alignment horizontal="center"/>
    </xf>
    <xf numFmtId="2" fontId="0" fillId="2" borderId="34" xfId="0" applyNumberFormat="1" applyFill="1" applyBorder="1" applyAlignment="1">
      <alignment horizontal="center"/>
    </xf>
    <xf numFmtId="2" fontId="0" fillId="2" borderId="35" xfId="0" applyNumberFormat="1" applyFill="1" applyBorder="1" applyAlignment="1">
      <alignment horizontal="center"/>
    </xf>
    <xf numFmtId="2" fontId="0" fillId="2" borderId="23" xfId="0" applyNumberFormat="1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22" xfId="0" applyFill="1" applyBorder="1"/>
    <xf numFmtId="0" fontId="0" fillId="2" borderId="21" xfId="0" applyFill="1" applyBorder="1"/>
    <xf numFmtId="0" fontId="0" fillId="2" borderId="19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23" xfId="0" applyFill="1" applyBorder="1"/>
    <xf numFmtId="2" fontId="1" fillId="2" borderId="19" xfId="0" applyNumberFormat="1" applyFont="1" applyFill="1" applyBorder="1" applyAlignment="1">
      <alignment horizontal="left"/>
    </xf>
    <xf numFmtId="2" fontId="1" fillId="2" borderId="0" xfId="0" applyNumberFormat="1" applyFont="1" applyFill="1" applyBorder="1" applyAlignment="1">
      <alignment horizontal="left"/>
    </xf>
    <xf numFmtId="2" fontId="0" fillId="2" borderId="19" xfId="0" applyNumberFormat="1" applyFill="1" applyBorder="1"/>
    <xf numFmtId="1" fontId="0" fillId="2" borderId="19" xfId="0" applyNumberFormat="1" applyFill="1" applyBorder="1"/>
    <xf numFmtId="2" fontId="0" fillId="2" borderId="21" xfId="0" applyNumberFormat="1" applyFill="1" applyBorder="1"/>
    <xf numFmtId="0" fontId="0" fillId="2" borderId="22" xfId="0" applyFill="1" applyBorder="1" applyAlignment="1">
      <alignment horizontal="center"/>
    </xf>
    <xf numFmtId="2" fontId="0" fillId="2" borderId="18" xfId="0" applyNumberFormat="1" applyFill="1" applyBorder="1"/>
    <xf numFmtId="2" fontId="1" fillId="2" borderId="29" xfId="0" applyNumberFormat="1" applyFont="1" applyFill="1" applyBorder="1"/>
    <xf numFmtId="2" fontId="0" fillId="2" borderId="36" xfId="0" applyNumberFormat="1" applyFill="1" applyBorder="1"/>
    <xf numFmtId="2" fontId="1" fillId="2" borderId="21" xfId="0" applyNumberFormat="1" applyFont="1" applyFill="1" applyBorder="1" applyAlignment="1">
      <alignment horizontal="left"/>
    </xf>
    <xf numFmtId="2" fontId="1" fillId="2" borderId="22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center"/>
    </xf>
    <xf numFmtId="1" fontId="0" fillId="2" borderId="19" xfId="0" applyNumberFormat="1" applyFill="1" applyBorder="1" applyAlignment="1">
      <alignment horizontal="center"/>
    </xf>
    <xf numFmtId="2" fontId="0" fillId="2" borderId="19" xfId="0" applyNumberFormat="1" applyFill="1" applyBorder="1" applyAlignment="1">
      <alignment horizontal="left"/>
    </xf>
    <xf numFmtId="1" fontId="0" fillId="2" borderId="19" xfId="0" applyNumberFormat="1" applyFill="1" applyBorder="1" applyAlignment="1">
      <alignment horizontal="left"/>
    </xf>
    <xf numFmtId="1" fontId="0" fillId="2" borderId="21" xfId="0" applyNumberFormat="1" applyFill="1" applyBorder="1" applyAlignment="1">
      <alignment horizontal="left"/>
    </xf>
    <xf numFmtId="2" fontId="2" fillId="2" borderId="36" xfId="0" applyNumberFormat="1" applyFont="1" applyFill="1" applyBorder="1"/>
    <xf numFmtId="2" fontId="0" fillId="2" borderId="30" xfId="0" applyNumberFormat="1" applyFill="1" applyBorder="1"/>
    <xf numFmtId="2" fontId="0" fillId="2" borderId="0" xfId="0" applyNumberFormat="1" applyFont="1" applyFill="1" applyBorder="1"/>
    <xf numFmtId="2" fontId="0" fillId="2" borderId="20" xfId="0" applyNumberFormat="1" applyFont="1" applyFill="1" applyBorder="1"/>
    <xf numFmtId="1" fontId="0" fillId="2" borderId="37" xfId="0" applyNumberFormat="1" applyFill="1" applyBorder="1" applyAlignment="1">
      <alignment horizontal="left"/>
    </xf>
    <xf numFmtId="1" fontId="0" fillId="2" borderId="38" xfId="0" applyNumberFormat="1" applyFill="1" applyBorder="1" applyAlignment="1">
      <alignment horizontal="left"/>
    </xf>
    <xf numFmtId="1" fontId="0" fillId="2" borderId="39" xfId="0" applyNumberFormat="1" applyFill="1" applyBorder="1" applyAlignment="1">
      <alignment horizontal="left"/>
    </xf>
    <xf numFmtId="2" fontId="0" fillId="2" borderId="1" xfId="0" applyNumberFormat="1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5" xfId="0" applyNumberFormat="1" applyFill="1" applyBorder="1" applyAlignment="1">
      <alignment horizontal="center"/>
    </xf>
    <xf numFmtId="2" fontId="0" fillId="2" borderId="24" xfId="0" applyNumberFormat="1" applyFill="1" applyBorder="1" applyAlignment="1">
      <alignment horizontal="center"/>
    </xf>
    <xf numFmtId="0" fontId="1" fillId="3" borderId="29" xfId="0" applyFont="1" applyFill="1" applyBorder="1"/>
    <xf numFmtId="0" fontId="0" fillId="3" borderId="36" xfId="0" applyFill="1" applyBorder="1"/>
    <xf numFmtId="0" fontId="0" fillId="3" borderId="30" xfId="0" applyFill="1" applyBorder="1"/>
    <xf numFmtId="0" fontId="1" fillId="3" borderId="16" xfId="0" applyFont="1" applyFill="1" applyBorder="1"/>
    <xf numFmtId="0" fontId="0" fillId="3" borderId="17" xfId="0" applyFill="1" applyBorder="1"/>
    <xf numFmtId="2" fontId="1" fillId="2" borderId="21" xfId="0" applyNumberFormat="1" applyFont="1" applyFill="1" applyBorder="1"/>
    <xf numFmtId="2" fontId="0" fillId="2" borderId="16" xfId="0" applyNumberFormat="1" applyFill="1" applyBorder="1"/>
    <xf numFmtId="2" fontId="0" fillId="2" borderId="18" xfId="0" applyNumberFormat="1" applyFont="1" applyFill="1" applyBorder="1"/>
    <xf numFmtId="0" fontId="0" fillId="3" borderId="18" xfId="0" applyFill="1" applyBorder="1"/>
    <xf numFmtId="0" fontId="0" fillId="2" borderId="36" xfId="0" applyFill="1" applyBorder="1" applyAlignment="1">
      <alignment horizontal="center"/>
    </xf>
    <xf numFmtId="2" fontId="0" fillId="2" borderId="30" xfId="0" applyNumberFormat="1" applyFill="1" applyBorder="1" applyAlignment="1">
      <alignment horizontal="center"/>
    </xf>
    <xf numFmtId="2" fontId="0" fillId="2" borderId="19" xfId="0" applyNumberFormat="1" applyFill="1" applyBorder="1" applyAlignment="1">
      <alignment horizontal="center"/>
    </xf>
    <xf numFmtId="2" fontId="0" fillId="2" borderId="21" xfId="0" applyNumberFormat="1" applyFill="1" applyBorder="1" applyAlignment="1">
      <alignment horizontal="center"/>
    </xf>
    <xf numFmtId="2" fontId="0" fillId="2" borderId="36" xfId="0" applyNumberFormat="1" applyFill="1" applyBorder="1" applyAlignment="1">
      <alignment horizontal="center"/>
    </xf>
    <xf numFmtId="2" fontId="0" fillId="2" borderId="40" xfId="0" applyNumberFormat="1" applyFill="1" applyBorder="1" applyAlignment="1">
      <alignment horizontal="center"/>
    </xf>
    <xf numFmtId="2" fontId="0" fillId="2" borderId="42" xfId="0" applyNumberFormat="1" applyFill="1" applyBorder="1" applyAlignment="1">
      <alignment horizontal="center"/>
    </xf>
    <xf numFmtId="2" fontId="0" fillId="2" borderId="6" xfId="0" applyNumberFormat="1" applyFill="1" applyBorder="1" applyAlignment="1">
      <alignment horizontal="center"/>
    </xf>
    <xf numFmtId="2" fontId="0" fillId="2" borderId="43" xfId="0" applyNumberFormat="1" applyFill="1" applyBorder="1" applyAlignment="1">
      <alignment horizontal="center"/>
    </xf>
    <xf numFmtId="0" fontId="1" fillId="2" borderId="29" xfId="0" applyFont="1" applyFill="1" applyBorder="1" applyAlignment="1">
      <alignment horizontal="left"/>
    </xf>
    <xf numFmtId="2" fontId="0" fillId="2" borderId="19" xfId="0" applyNumberFormat="1" applyFont="1" applyFill="1" applyBorder="1" applyAlignment="1">
      <alignment horizontal="left"/>
    </xf>
    <xf numFmtId="2" fontId="0" fillId="2" borderId="21" xfId="0" applyNumberFormat="1" applyFont="1" applyFill="1" applyBorder="1" applyAlignment="1">
      <alignment horizontal="left"/>
    </xf>
    <xf numFmtId="2" fontId="0" fillId="2" borderId="41" xfId="0" applyNumberFormat="1" applyFont="1" applyFill="1" applyBorder="1" applyAlignment="1">
      <alignment horizontal="left"/>
    </xf>
    <xf numFmtId="0" fontId="0" fillId="2" borderId="21" xfId="0" applyFill="1" applyBorder="1" applyAlignment="1">
      <alignment horizontal="center"/>
    </xf>
    <xf numFmtId="9" fontId="0" fillId="2" borderId="20" xfId="0" applyNumberFormat="1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2" fontId="0" fillId="2" borderId="0" xfId="0" applyNumberFormat="1" applyFont="1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2" fontId="0" fillId="2" borderId="18" xfId="0" applyNumberFormat="1" applyFill="1" applyBorder="1" applyAlignment="1">
      <alignment horizontal="center"/>
    </xf>
    <xf numFmtId="2" fontId="0" fillId="2" borderId="0" xfId="0" applyNumberFormat="1" applyFont="1" applyFill="1" applyBorder="1" applyAlignment="1">
      <alignment horizontal="left"/>
    </xf>
    <xf numFmtId="2" fontId="0" fillId="2" borderId="22" xfId="0" applyNumberFormat="1" applyFont="1" applyFill="1" applyBorder="1" applyAlignment="1">
      <alignment horizontal="left"/>
    </xf>
    <xf numFmtId="0" fontId="1" fillId="2" borderId="36" xfId="0" applyFont="1" applyFill="1" applyBorder="1" applyAlignment="1">
      <alignment horizontal="center"/>
    </xf>
    <xf numFmtId="0" fontId="1" fillId="2" borderId="30" xfId="0" applyFont="1" applyFill="1" applyBorder="1" applyAlignment="1">
      <alignment horizontal="center"/>
    </xf>
    <xf numFmtId="0" fontId="1" fillId="2" borderId="17" xfId="0" applyFont="1" applyFill="1" applyBorder="1"/>
    <xf numFmtId="2" fontId="0" fillId="2" borderId="17" xfId="0" applyNumberFormat="1" applyFill="1" applyBorder="1" applyAlignment="1">
      <alignment horizontal="center"/>
    </xf>
    <xf numFmtId="0" fontId="1" fillId="2" borderId="30" xfId="0" applyFont="1" applyFill="1" applyBorder="1"/>
    <xf numFmtId="1" fontId="0" fillId="2" borderId="18" xfId="0" applyNumberFormat="1" applyFill="1" applyBorder="1" applyAlignment="1">
      <alignment horizontal="center"/>
    </xf>
    <xf numFmtId="1" fontId="0" fillId="2" borderId="20" xfId="0" applyNumberFormat="1" applyFill="1" applyBorder="1" applyAlignment="1">
      <alignment horizontal="center"/>
    </xf>
    <xf numFmtId="1" fontId="0" fillId="2" borderId="23" xfId="0" applyNumberFormat="1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/>
    </xf>
    <xf numFmtId="2" fontId="0" fillId="2" borderId="17" xfId="0" applyNumberFormat="1" applyFill="1" applyBorder="1"/>
    <xf numFmtId="2" fontId="0" fillId="2" borderId="17" xfId="0" applyNumberFormat="1" applyFont="1" applyFill="1" applyBorder="1"/>
    <xf numFmtId="2" fontId="0" fillId="2" borderId="17" xfId="0" applyNumberFormat="1" applyFont="1" applyFill="1" applyBorder="1" applyAlignment="1">
      <alignment horizontal="center"/>
    </xf>
    <xf numFmtId="2" fontId="1" fillId="2" borderId="16" xfId="0" applyNumberFormat="1" applyFont="1" applyFill="1" applyBorder="1"/>
    <xf numFmtId="0" fontId="0" fillId="2" borderId="17" xfId="0" applyFill="1" applyBorder="1" applyAlignment="1">
      <alignment horizontal="center"/>
    </xf>
    <xf numFmtId="2" fontId="0" fillId="2" borderId="46" xfId="0" applyNumberFormat="1" applyFill="1" applyBorder="1" applyAlignment="1">
      <alignment horizontal="center"/>
    </xf>
    <xf numFmtId="2" fontId="0" fillId="2" borderId="47" xfId="0" applyNumberFormat="1" applyFill="1" applyBorder="1" applyAlignment="1">
      <alignment horizontal="center"/>
    </xf>
    <xf numFmtId="2" fontId="0" fillId="0" borderId="0" xfId="0" applyNumberFormat="1" applyAlignment="1">
      <alignment horizontal="center" vertical="center"/>
    </xf>
    <xf numFmtId="2" fontId="0" fillId="2" borderId="10" xfId="0" applyNumberFormat="1" applyFill="1" applyBorder="1" applyAlignment="1">
      <alignment horizontal="center"/>
    </xf>
    <xf numFmtId="2" fontId="0" fillId="2" borderId="25" xfId="0" applyNumberFormat="1" applyFont="1" applyFill="1" applyBorder="1" applyAlignment="1">
      <alignment horizontal="left"/>
    </xf>
    <xf numFmtId="2" fontId="0" fillId="2" borderId="26" xfId="0" applyNumberFormat="1" applyFill="1" applyBorder="1" applyAlignment="1">
      <alignment horizontal="center"/>
    </xf>
    <xf numFmtId="2" fontId="0" fillId="2" borderId="12" xfId="0" applyNumberFormat="1" applyFill="1" applyBorder="1" applyAlignment="1">
      <alignment horizontal="center"/>
    </xf>
    <xf numFmtId="2" fontId="0" fillId="2" borderId="48" xfId="0" applyNumberFormat="1" applyFill="1" applyBorder="1" applyAlignment="1">
      <alignment horizontal="center"/>
    </xf>
    <xf numFmtId="2" fontId="0" fillId="2" borderId="49" xfId="0" applyNumberFormat="1" applyFill="1" applyBorder="1" applyAlignment="1">
      <alignment horizontal="center"/>
    </xf>
    <xf numFmtId="2" fontId="0" fillId="2" borderId="50" xfId="0" applyNumberFormat="1" applyFill="1" applyBorder="1" applyAlignment="1">
      <alignment horizontal="center"/>
    </xf>
    <xf numFmtId="2" fontId="0" fillId="2" borderId="51" xfId="0" applyNumberFormat="1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6" xfId="0" applyFill="1" applyBorder="1"/>
    <xf numFmtId="0" fontId="0" fillId="2" borderId="30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1" fillId="2" borderId="52" xfId="0" applyFont="1" applyFill="1" applyBorder="1"/>
    <xf numFmtId="0" fontId="0" fillId="2" borderId="20" xfId="0" applyFill="1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2" fontId="0" fillId="2" borderId="37" xfId="0" applyNumberFormat="1" applyFill="1" applyBorder="1" applyAlignment="1">
      <alignment horizontal="left" vertical="center"/>
    </xf>
    <xf numFmtId="0" fontId="0" fillId="2" borderId="19" xfId="0" applyFill="1" applyBorder="1" applyAlignment="1">
      <alignment horizontal="center" vertical="center"/>
    </xf>
    <xf numFmtId="0" fontId="0" fillId="2" borderId="27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2" fontId="0" fillId="2" borderId="16" xfId="0" applyNumberFormat="1" applyFont="1" applyFill="1" applyBorder="1" applyAlignment="1">
      <alignment horizontal="left"/>
    </xf>
    <xf numFmtId="2" fontId="0" fillId="2" borderId="17" xfId="0" applyNumberFormat="1" applyFont="1" applyFill="1" applyBorder="1" applyAlignment="1">
      <alignment horizontal="left"/>
    </xf>
    <xf numFmtId="2" fontId="1" fillId="2" borderId="29" xfId="0" applyNumberFormat="1" applyFont="1" applyFill="1" applyBorder="1" applyAlignment="1">
      <alignment horizontal="left"/>
    </xf>
    <xf numFmtId="2" fontId="1" fillId="2" borderId="3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0" fillId="2" borderId="31" xfId="0" applyFill="1" applyBorder="1" applyAlignment="1">
      <alignment horizontal="center"/>
    </xf>
    <xf numFmtId="0" fontId="0" fillId="2" borderId="32" xfId="0" applyFill="1" applyBorder="1" applyAlignment="1">
      <alignment horizontal="center"/>
    </xf>
    <xf numFmtId="2" fontId="0" fillId="2" borderId="9" xfId="0" applyNumberFormat="1" applyFill="1" applyBorder="1" applyAlignment="1">
      <alignment horizontal="center"/>
    </xf>
    <xf numFmtId="2" fontId="0" fillId="2" borderId="11" xfId="0" applyNumberFormat="1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2" fontId="0" fillId="2" borderId="44" xfId="0" applyNumberFormat="1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45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49" xfId="0" applyFill="1" applyBorder="1" applyAlignment="1">
      <alignment horizontal="center" vertical="center"/>
    </xf>
    <xf numFmtId="0" fontId="0" fillId="2" borderId="53" xfId="0" applyFill="1" applyBorder="1" applyAlignment="1">
      <alignment horizontal="center" vertical="center"/>
    </xf>
    <xf numFmtId="0" fontId="0" fillId="2" borderId="54" xfId="0" applyFill="1" applyBorder="1" applyAlignment="1">
      <alignment horizontal="center" vertical="center" wrapText="1"/>
    </xf>
    <xf numFmtId="0" fontId="0" fillId="2" borderId="53" xfId="0" applyFill="1" applyBorder="1" applyAlignment="1">
      <alignment horizontal="center" vertical="center" wrapText="1"/>
    </xf>
  </cellXfs>
  <cellStyles count="1">
    <cellStyle name="Normal" xfId="0" builtinId="0"/>
  </cellStyles>
  <dxfs count="34"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F61725-C43D-4C77-B0DD-D9932B6B3B83}">
  <dimension ref="A1:T240"/>
  <sheetViews>
    <sheetView tabSelected="1" zoomScaleNormal="100" workbookViewId="0"/>
  </sheetViews>
  <sheetFormatPr baseColWidth="10" defaultColWidth="9.140625" defaultRowHeight="15" x14ac:dyDescent="0.25"/>
  <cols>
    <col min="1" max="1" width="14.7109375" style="5" customWidth="1"/>
    <col min="2" max="2" width="11.85546875" style="5" customWidth="1"/>
    <col min="3" max="3" width="11.42578125" style="5" customWidth="1"/>
    <col min="4" max="4" width="9.140625" style="5"/>
    <col min="5" max="5" width="9.7109375" style="5" customWidth="1"/>
    <col min="6" max="7" width="9.140625" style="5"/>
    <col min="8" max="9" width="10.7109375" style="5" bestFit="1" customWidth="1"/>
    <col min="10" max="17" width="9.140625" style="5"/>
    <col min="18" max="18" width="10.7109375" style="5" bestFit="1" customWidth="1"/>
    <col min="19" max="16384" width="9.140625" style="5"/>
  </cols>
  <sheetData>
    <row r="1" spans="1:20" x14ac:dyDescent="0.25">
      <c r="A1" s="5" t="s">
        <v>117</v>
      </c>
    </row>
    <row r="2" spans="1:20" ht="15.75" thickBot="1" x14ac:dyDescent="0.3"/>
    <row r="3" spans="1:20" ht="15.75" thickBot="1" x14ac:dyDescent="0.3">
      <c r="A3" s="72" t="s">
        <v>70</v>
      </c>
      <c r="B3" s="73"/>
      <c r="C3" s="73"/>
      <c r="D3" s="73"/>
      <c r="E3" s="73"/>
      <c r="F3" s="73"/>
      <c r="G3" s="73"/>
      <c r="H3" s="73"/>
      <c r="I3" s="73"/>
      <c r="J3" s="73"/>
      <c r="K3" s="77"/>
      <c r="L3" s="6"/>
      <c r="M3" s="3"/>
      <c r="N3" s="3"/>
      <c r="O3" s="3"/>
      <c r="P3" s="3"/>
      <c r="Q3" s="3"/>
      <c r="R3" s="3"/>
      <c r="S3" s="3"/>
    </row>
    <row r="4" spans="1:20" ht="15.75" thickBot="1" x14ac:dyDescent="0.3">
      <c r="A4" s="7" t="s">
        <v>72</v>
      </c>
      <c r="B4" s="99" t="s">
        <v>51</v>
      </c>
      <c r="C4" s="100" t="s">
        <v>50</v>
      </c>
      <c r="D4" s="1"/>
      <c r="E4" s="1"/>
      <c r="F4" s="1"/>
      <c r="G4" s="1"/>
      <c r="H4" s="1"/>
      <c r="I4" s="1"/>
      <c r="J4" s="1"/>
      <c r="K4" s="2"/>
      <c r="L4" s="6"/>
      <c r="M4" s="3"/>
      <c r="N4" s="3"/>
      <c r="O4" s="3"/>
      <c r="P4" s="3"/>
      <c r="Q4" s="3"/>
      <c r="R4" s="3"/>
      <c r="S4" s="3"/>
      <c r="T4" s="3"/>
    </row>
    <row r="5" spans="1:20" x14ac:dyDescent="0.25">
      <c r="A5" s="6" t="s">
        <v>6</v>
      </c>
      <c r="B5" s="40">
        <v>35</v>
      </c>
      <c r="C5" s="25">
        <f>C18/B5</f>
        <v>17.370067472977066</v>
      </c>
      <c r="D5" s="3"/>
      <c r="E5" s="3"/>
      <c r="F5" s="3"/>
      <c r="G5" s="3"/>
      <c r="H5" s="3"/>
      <c r="I5" s="3"/>
      <c r="J5" s="3"/>
      <c r="K5" s="4"/>
      <c r="L5" s="3"/>
      <c r="M5" s="3"/>
      <c r="N5" s="3"/>
      <c r="O5" s="3"/>
      <c r="P5" s="3"/>
      <c r="Q5" s="3"/>
      <c r="R5" s="3"/>
      <c r="S5" s="3"/>
      <c r="T5" s="3"/>
    </row>
    <row r="6" spans="1:20" x14ac:dyDescent="0.25">
      <c r="A6" s="6" t="s">
        <v>7</v>
      </c>
      <c r="B6" s="40">
        <v>16</v>
      </c>
      <c r="C6" s="25">
        <f>D18/B6</f>
        <v>29.271878443615233</v>
      </c>
      <c r="D6" s="3"/>
      <c r="E6" s="3"/>
      <c r="F6" s="3"/>
      <c r="G6" s="3"/>
      <c r="H6" s="3"/>
      <c r="I6" s="3"/>
      <c r="J6" s="3"/>
      <c r="K6" s="4"/>
      <c r="L6" s="3"/>
      <c r="M6" s="3"/>
      <c r="N6" s="3"/>
      <c r="O6" s="3"/>
      <c r="P6" s="3"/>
      <c r="Q6" s="3"/>
      <c r="R6" s="3"/>
      <c r="S6" s="3"/>
      <c r="T6" s="3"/>
    </row>
    <row r="7" spans="1:20" x14ac:dyDescent="0.25">
      <c r="A7" s="6" t="s">
        <v>8</v>
      </c>
      <c r="B7" s="40">
        <v>20</v>
      </c>
      <c r="C7" s="25">
        <f>E18/B7</f>
        <v>12.316369639370407</v>
      </c>
      <c r="D7" s="3"/>
      <c r="E7" s="3"/>
      <c r="F7" s="3"/>
      <c r="G7" s="3"/>
      <c r="H7" s="3"/>
      <c r="I7" s="3"/>
      <c r="J7" s="3"/>
      <c r="K7" s="4"/>
      <c r="L7" s="3"/>
      <c r="M7" s="3"/>
      <c r="N7" s="3"/>
      <c r="O7" s="3"/>
      <c r="P7" s="3"/>
      <c r="Q7" s="3"/>
      <c r="R7" s="3"/>
      <c r="S7" s="3"/>
      <c r="T7" s="3"/>
    </row>
    <row r="8" spans="1:20" x14ac:dyDescent="0.25">
      <c r="A8" s="6" t="s">
        <v>9</v>
      </c>
      <c r="B8" s="40">
        <v>27</v>
      </c>
      <c r="C8" s="25">
        <f>F18/B8</f>
        <v>1.144848004141783</v>
      </c>
      <c r="D8" s="3"/>
      <c r="E8" s="3"/>
      <c r="F8" s="3"/>
      <c r="G8" s="3"/>
      <c r="H8" s="3"/>
      <c r="I8" s="3"/>
      <c r="J8" s="3"/>
      <c r="K8" s="4"/>
      <c r="L8" s="3"/>
      <c r="M8" s="3"/>
      <c r="N8" s="3"/>
      <c r="O8" s="3"/>
      <c r="P8" s="3"/>
      <c r="Q8" s="3"/>
      <c r="R8" s="3"/>
      <c r="S8" s="3"/>
      <c r="T8" s="3"/>
    </row>
    <row r="9" spans="1:20" ht="15.75" thickBot="1" x14ac:dyDescent="0.3">
      <c r="A9" s="38" t="s">
        <v>10</v>
      </c>
      <c r="B9" s="47">
        <v>21</v>
      </c>
      <c r="C9" s="35">
        <f>G18/B9</f>
        <v>3.7002973161145292</v>
      </c>
      <c r="D9" s="3"/>
      <c r="E9" s="3"/>
      <c r="F9" s="3"/>
      <c r="G9" s="3"/>
      <c r="H9" s="3"/>
      <c r="I9" s="3"/>
      <c r="J9" s="3"/>
      <c r="K9" s="4"/>
      <c r="L9" s="3"/>
      <c r="M9" s="3"/>
      <c r="N9" s="3"/>
      <c r="O9" s="3"/>
      <c r="P9" s="3"/>
      <c r="Q9" s="3"/>
      <c r="R9" s="3"/>
      <c r="S9" s="3"/>
      <c r="T9" s="3"/>
    </row>
    <row r="10" spans="1:20" ht="15.75" thickBot="1" x14ac:dyDescent="0.3">
      <c r="A10" s="6"/>
      <c r="B10" s="3"/>
      <c r="C10" s="3"/>
      <c r="D10" s="3"/>
      <c r="E10" s="3"/>
      <c r="F10" s="3"/>
      <c r="G10" s="3"/>
      <c r="H10" s="3"/>
      <c r="I10" s="3"/>
      <c r="J10" s="3"/>
      <c r="K10" s="4"/>
      <c r="L10" s="3"/>
      <c r="M10" s="3"/>
      <c r="N10" s="3"/>
      <c r="O10" s="3"/>
      <c r="P10" s="3"/>
      <c r="Q10" s="3"/>
      <c r="R10" s="3"/>
      <c r="S10" s="3"/>
      <c r="T10" s="3"/>
    </row>
    <row r="11" spans="1:20" ht="15.75" thickBot="1" x14ac:dyDescent="0.3">
      <c r="A11" s="7" t="s">
        <v>78</v>
      </c>
      <c r="B11" s="8"/>
      <c r="C11" s="8"/>
      <c r="D11" s="8"/>
      <c r="E11" s="8"/>
      <c r="F11" s="8"/>
      <c r="G11" s="8"/>
      <c r="H11" s="8"/>
      <c r="I11" s="9"/>
      <c r="J11" s="3"/>
      <c r="K11" s="4"/>
    </row>
    <row r="12" spans="1:20" x14ac:dyDescent="0.25">
      <c r="A12" s="6"/>
      <c r="B12" s="10"/>
      <c r="C12" s="133" t="s">
        <v>49</v>
      </c>
      <c r="D12" s="135"/>
      <c r="E12" s="134"/>
      <c r="F12" s="133" t="s">
        <v>25</v>
      </c>
      <c r="G12" s="134"/>
      <c r="H12" s="131" t="s">
        <v>83</v>
      </c>
      <c r="I12" s="129" t="s">
        <v>26</v>
      </c>
      <c r="J12" s="3"/>
      <c r="K12" s="4"/>
    </row>
    <row r="13" spans="1:20" x14ac:dyDescent="0.25">
      <c r="A13" s="11"/>
      <c r="B13" s="12"/>
      <c r="C13" s="13">
        <v>1</v>
      </c>
      <c r="D13" s="14">
        <v>2</v>
      </c>
      <c r="E13" s="95">
        <v>3</v>
      </c>
      <c r="F13" s="13">
        <v>1</v>
      </c>
      <c r="G13" s="95">
        <v>2</v>
      </c>
      <c r="H13" s="132"/>
      <c r="I13" s="130"/>
      <c r="J13" s="3"/>
      <c r="K13" s="4"/>
    </row>
    <row r="14" spans="1:20" x14ac:dyDescent="0.25">
      <c r="A14" s="137" t="s">
        <v>27</v>
      </c>
      <c r="B14" s="15">
        <v>1</v>
      </c>
      <c r="C14" s="21">
        <f>D52*(B63+B64)</f>
        <v>212.64907930279446</v>
      </c>
      <c r="D14" s="22">
        <f>D90*(B101+B102)</f>
        <v>128.80215938649599</v>
      </c>
      <c r="E14" s="22">
        <f>D128*(B139+B140)</f>
        <v>102.35741737014665</v>
      </c>
      <c r="F14" s="21">
        <f>D166*(B178+B179)</f>
        <v>11.212103409373215</v>
      </c>
      <c r="G14" s="23">
        <f>D205*(B217+B218)</f>
        <v>22.258443854138431</v>
      </c>
      <c r="H14" s="24">
        <f>C18-SUM(C14:G14)</f>
        <v>130.67315823124852</v>
      </c>
      <c r="I14" s="25">
        <f>SUM(C14:H14)</f>
        <v>607.9523615541973</v>
      </c>
      <c r="J14" s="3"/>
      <c r="K14" s="4"/>
    </row>
    <row r="15" spans="1:20" x14ac:dyDescent="0.25">
      <c r="A15" s="137"/>
      <c r="B15" s="18">
        <v>2</v>
      </c>
      <c r="C15" s="21">
        <f>D53*(C63+C64)</f>
        <v>151.85384314737473</v>
      </c>
      <c r="D15" s="22">
        <f>D91*(C101+C102)</f>
        <v>222.47217040606481</v>
      </c>
      <c r="E15" s="22">
        <f>D129*(C139+C140)</f>
        <v>24.632739278740836</v>
      </c>
      <c r="F15" s="21">
        <f>D167*(C178+C179)</f>
        <v>5.0299241870075919</v>
      </c>
      <c r="G15" s="23">
        <f>D206*(C217+C218)</f>
        <v>16.331320655718358</v>
      </c>
      <c r="H15" s="24">
        <f>D18-SUM(C15:G15)</f>
        <v>48.030057422937432</v>
      </c>
      <c r="I15" s="25">
        <f>SUM(C15:H15)</f>
        <v>468.35005509784372</v>
      </c>
      <c r="J15" s="3"/>
      <c r="K15" s="4"/>
    </row>
    <row r="16" spans="1:20" x14ac:dyDescent="0.25">
      <c r="A16" s="137"/>
      <c r="B16" s="18">
        <v>3</v>
      </c>
      <c r="C16" s="21">
        <f>D54*(D63+D64)</f>
        <v>91.327101474304357</v>
      </c>
      <c r="D16" s="22">
        <f>D92*(D101+D102)</f>
        <v>58.537862652641543</v>
      </c>
      <c r="E16" s="22">
        <f>D130*(D139+D140)</f>
        <v>31.747539162221862</v>
      </c>
      <c r="F16" s="21">
        <f>D168*(D178+D179)</f>
        <v>6.5478547172569437</v>
      </c>
      <c r="G16" s="23">
        <f>D207*(D217+D218)</f>
        <v>31.082497455362056</v>
      </c>
      <c r="H16" s="24">
        <f>E18-SUM(C16:G16)</f>
        <v>27.084537325621397</v>
      </c>
      <c r="I16" s="25">
        <f>SUM(C16:H16)</f>
        <v>246.32739278740814</v>
      </c>
      <c r="J16" s="3"/>
      <c r="K16" s="4"/>
    </row>
    <row r="17" spans="1:20" x14ac:dyDescent="0.25">
      <c r="A17" s="138" t="s">
        <v>68</v>
      </c>
      <c r="B17" s="139"/>
      <c r="C17" s="26">
        <f>B73+B74</f>
        <v>152.1223376297238</v>
      </c>
      <c r="D17" s="27">
        <f>B111+B112</f>
        <v>58.53786265264138</v>
      </c>
      <c r="E17" s="28">
        <f>B149+B150</f>
        <v>87.589696976298796</v>
      </c>
      <c r="F17" s="26">
        <f>B188+B189</f>
        <v>8.1210137981903898</v>
      </c>
      <c r="G17" s="28">
        <f>B227+B228</f>
        <v>8.0339816731862683</v>
      </c>
      <c r="H17" s="29"/>
      <c r="I17" s="30"/>
      <c r="J17" s="3"/>
      <c r="K17" s="4"/>
    </row>
    <row r="18" spans="1:20" ht="15.75" thickBot="1" x14ac:dyDescent="0.3">
      <c r="A18" s="146" t="s">
        <v>23</v>
      </c>
      <c r="B18" s="147"/>
      <c r="C18" s="31">
        <f>F79+F80</f>
        <v>607.9523615541973</v>
      </c>
      <c r="D18" s="32">
        <f>F117+F118</f>
        <v>468.35005509784372</v>
      </c>
      <c r="E18" s="33">
        <f>F155+F156</f>
        <v>246.32739278740814</v>
      </c>
      <c r="F18" s="31">
        <f>F194+F195</f>
        <v>30.910896111828141</v>
      </c>
      <c r="G18" s="33">
        <f>F233+F234</f>
        <v>77.706243638405113</v>
      </c>
      <c r="H18" s="34"/>
      <c r="I18" s="35"/>
      <c r="J18" s="3"/>
      <c r="K18" s="4"/>
      <c r="T18" s="3"/>
    </row>
    <row r="19" spans="1:20" ht="15.75" thickBot="1" x14ac:dyDescent="0.3">
      <c r="A19" s="39"/>
      <c r="B19" s="40"/>
      <c r="C19" s="22"/>
      <c r="D19" s="22"/>
      <c r="E19" s="22"/>
      <c r="F19" s="22"/>
      <c r="G19" s="22"/>
      <c r="H19" s="22"/>
      <c r="I19" s="22"/>
      <c r="J19" s="3"/>
      <c r="K19" s="36"/>
      <c r="L19" s="40"/>
      <c r="M19" s="22"/>
      <c r="N19" s="22"/>
      <c r="O19" s="22"/>
      <c r="P19" s="22"/>
      <c r="Q19" s="22"/>
      <c r="R19" s="22"/>
      <c r="S19" s="22"/>
      <c r="T19" s="3"/>
    </row>
    <row r="20" spans="1:20" ht="15.75" thickBot="1" x14ac:dyDescent="0.3">
      <c r="A20" s="7" t="s">
        <v>105</v>
      </c>
      <c r="B20" s="8"/>
      <c r="C20" s="8"/>
      <c r="D20" s="8"/>
      <c r="E20" s="8"/>
      <c r="F20" s="8"/>
      <c r="G20" s="8"/>
      <c r="H20" s="8"/>
      <c r="I20" s="9"/>
      <c r="J20" s="3"/>
      <c r="K20" s="36"/>
      <c r="L20" s="40"/>
      <c r="M20" s="22"/>
      <c r="N20" s="22"/>
      <c r="O20" s="22"/>
      <c r="P20" s="22"/>
      <c r="Q20" s="22"/>
      <c r="R20" s="22"/>
      <c r="S20" s="22"/>
      <c r="T20" s="3"/>
    </row>
    <row r="21" spans="1:20" x14ac:dyDescent="0.25">
      <c r="A21" s="6"/>
      <c r="B21" s="10"/>
      <c r="C21" s="133" t="s">
        <v>49</v>
      </c>
      <c r="D21" s="135"/>
      <c r="E21" s="134"/>
      <c r="F21" s="133" t="s">
        <v>25</v>
      </c>
      <c r="G21" s="134"/>
      <c r="H21" s="131" t="s">
        <v>83</v>
      </c>
      <c r="I21" s="129" t="s">
        <v>26</v>
      </c>
      <c r="J21" s="3"/>
      <c r="K21" s="36"/>
      <c r="L21" s="40"/>
      <c r="M21" s="22"/>
      <c r="N21" s="22"/>
      <c r="O21" s="22"/>
      <c r="P21" s="22"/>
      <c r="Q21" s="22"/>
      <c r="R21" s="22"/>
      <c r="S21" s="22"/>
      <c r="T21" s="3"/>
    </row>
    <row r="22" spans="1:20" x14ac:dyDescent="0.25">
      <c r="A22" s="11"/>
      <c r="B22" s="12"/>
      <c r="C22" s="13">
        <v>1</v>
      </c>
      <c r="D22" s="14">
        <v>2</v>
      </c>
      <c r="E22" s="95">
        <v>3</v>
      </c>
      <c r="F22" s="13">
        <v>1</v>
      </c>
      <c r="G22" s="95">
        <v>2</v>
      </c>
      <c r="H22" s="132"/>
      <c r="I22" s="130"/>
      <c r="J22" s="3"/>
      <c r="K22" s="36"/>
      <c r="L22" s="40"/>
      <c r="M22" s="22"/>
      <c r="N22" s="22"/>
      <c r="O22" s="22"/>
      <c r="P22" s="22"/>
      <c r="Q22" s="22"/>
      <c r="R22" s="22"/>
      <c r="S22" s="22"/>
      <c r="T22" s="3"/>
    </row>
    <row r="23" spans="1:20" x14ac:dyDescent="0.25">
      <c r="A23" s="137" t="s">
        <v>27</v>
      </c>
      <c r="B23" s="15">
        <v>1</v>
      </c>
      <c r="C23" s="21">
        <f>C14/$C$18</f>
        <v>0.34977918131474744</v>
      </c>
      <c r="D23" s="22">
        <f>D14/$D$18</f>
        <v>0.27501258510493337</v>
      </c>
      <c r="E23" s="22">
        <f>E14/$E$18</f>
        <v>0.41553404277081679</v>
      </c>
      <c r="F23" s="21">
        <f>F14/$F$18</f>
        <v>0.36272333771271265</v>
      </c>
      <c r="G23" s="23">
        <f>G14/$G$18</f>
        <v>0.28644344150406903</v>
      </c>
      <c r="H23" s="24" t="s">
        <v>97</v>
      </c>
      <c r="I23" s="25" t="s">
        <v>97</v>
      </c>
      <c r="J23" s="3"/>
      <c r="K23" s="36"/>
      <c r="L23" s="40"/>
      <c r="M23" s="22"/>
      <c r="N23" s="22"/>
      <c r="O23" s="22"/>
      <c r="P23" s="22"/>
      <c r="Q23" s="22"/>
      <c r="R23" s="22"/>
      <c r="S23" s="22"/>
      <c r="T23" s="3"/>
    </row>
    <row r="24" spans="1:20" x14ac:dyDescent="0.25">
      <c r="A24" s="137"/>
      <c r="B24" s="18">
        <v>2</v>
      </c>
      <c r="C24" s="21">
        <f>C15/$C$18</f>
        <v>0.24977918131474744</v>
      </c>
      <c r="D24" s="22">
        <f>D15/$D$18</f>
        <v>0.47501258510493355</v>
      </c>
      <c r="E24" s="22">
        <f>E15/$E$18</f>
        <v>0.10000000000000009</v>
      </c>
      <c r="F24" s="21">
        <f>F15/$F$18</f>
        <v>0.1627233377127128</v>
      </c>
      <c r="G24" s="23">
        <f>G15/$G$18</f>
        <v>0.21016741887194834</v>
      </c>
      <c r="H24" s="24" t="s">
        <v>97</v>
      </c>
      <c r="I24" s="25" t="s">
        <v>97</v>
      </c>
      <c r="J24" s="3"/>
      <c r="K24" s="36"/>
      <c r="L24" s="40"/>
      <c r="M24" s="22"/>
      <c r="N24" s="22"/>
      <c r="O24" s="22"/>
      <c r="P24" s="22"/>
      <c r="Q24" s="22"/>
      <c r="R24" s="22"/>
      <c r="S24" s="22"/>
      <c r="T24" s="3"/>
    </row>
    <row r="25" spans="1:20" x14ac:dyDescent="0.25">
      <c r="A25" s="137"/>
      <c r="B25" s="18">
        <v>3</v>
      </c>
      <c r="C25" s="21">
        <f>C16/$C$18</f>
        <v>0.15022081868525286</v>
      </c>
      <c r="D25" s="22">
        <f>D16/$D$18</f>
        <v>0.12498741489506671</v>
      </c>
      <c r="E25" s="22">
        <f>E16/$E$18</f>
        <v>0.12888351069270418</v>
      </c>
      <c r="F25" s="21">
        <f>F16/$F$18</f>
        <v>0.21182998686186225</v>
      </c>
      <c r="G25" s="23">
        <f>G16/$G$18</f>
        <v>0.40000000000000013</v>
      </c>
      <c r="H25" s="24" t="s">
        <v>97</v>
      </c>
      <c r="I25" s="25" t="s">
        <v>97</v>
      </c>
      <c r="J25" s="3"/>
      <c r="K25" s="36"/>
      <c r="L25" s="40"/>
      <c r="M25" s="22"/>
      <c r="N25" s="22"/>
      <c r="O25" s="22"/>
      <c r="P25" s="22"/>
      <c r="Q25" s="22"/>
      <c r="R25" s="22"/>
      <c r="S25" s="22"/>
      <c r="T25" s="3"/>
    </row>
    <row r="26" spans="1:20" x14ac:dyDescent="0.25">
      <c r="A26" s="138" t="s">
        <v>68</v>
      </c>
      <c r="B26" s="139"/>
      <c r="C26" s="26">
        <f>C17/$C$18</f>
        <v>0.25022081868525237</v>
      </c>
      <c r="D26" s="27">
        <f>D17/$D$18</f>
        <v>0.12498741489506636</v>
      </c>
      <c r="E26" s="28">
        <f>E17/$E$18</f>
        <v>0.35558244653647891</v>
      </c>
      <c r="F26" s="26">
        <f>F17/$F$18</f>
        <v>0.26272333771271228</v>
      </c>
      <c r="G26" s="28">
        <f>G17/$G$18</f>
        <v>0.10338913962398251</v>
      </c>
      <c r="H26" s="29"/>
      <c r="I26" s="30"/>
      <c r="J26" s="3"/>
      <c r="K26" s="36"/>
      <c r="L26" s="40"/>
      <c r="M26" s="22"/>
      <c r="N26" s="22"/>
      <c r="O26" s="22"/>
      <c r="P26" s="22"/>
      <c r="Q26" s="22"/>
      <c r="R26" s="22"/>
      <c r="S26" s="22"/>
      <c r="T26" s="3"/>
    </row>
    <row r="27" spans="1:20" ht="15.75" thickBot="1" x14ac:dyDescent="0.3">
      <c r="A27" s="146" t="s">
        <v>23</v>
      </c>
      <c r="B27" s="147"/>
      <c r="C27" s="31">
        <f>C18/C18</f>
        <v>1</v>
      </c>
      <c r="D27" s="32">
        <f>D18/$D$18</f>
        <v>1</v>
      </c>
      <c r="E27" s="33">
        <f>E18/$E$18</f>
        <v>1</v>
      </c>
      <c r="F27" s="31">
        <f>F18/$F$18</f>
        <v>1</v>
      </c>
      <c r="G27" s="33">
        <f>G18/$G$18</f>
        <v>1</v>
      </c>
      <c r="H27" s="34"/>
      <c r="I27" s="35"/>
      <c r="J27" s="3"/>
      <c r="K27" s="36"/>
      <c r="L27" s="40"/>
      <c r="M27" s="22"/>
      <c r="N27" s="22"/>
      <c r="O27" s="22"/>
      <c r="P27" s="22"/>
      <c r="Q27" s="22"/>
      <c r="R27" s="22"/>
      <c r="S27" s="22"/>
      <c r="T27" s="3"/>
    </row>
    <row r="28" spans="1:20" ht="15.75" thickBot="1" x14ac:dyDescent="0.3">
      <c r="A28" s="39"/>
      <c r="B28" s="40"/>
      <c r="C28" s="22"/>
      <c r="D28" s="22"/>
      <c r="E28" s="22"/>
      <c r="F28" s="22"/>
      <c r="G28" s="22"/>
      <c r="H28" s="22"/>
      <c r="I28" s="22"/>
      <c r="J28" s="3"/>
      <c r="K28" s="36"/>
      <c r="L28" s="40"/>
      <c r="M28" s="22"/>
      <c r="N28" s="22"/>
      <c r="O28" s="22"/>
      <c r="P28" s="22"/>
      <c r="Q28" s="22"/>
      <c r="R28" s="22"/>
      <c r="S28" s="22"/>
      <c r="T28" s="3"/>
    </row>
    <row r="29" spans="1:20" ht="15.75" thickBot="1" x14ac:dyDescent="0.3">
      <c r="A29" s="87" t="s">
        <v>79</v>
      </c>
      <c r="B29" s="78"/>
      <c r="C29" s="82"/>
      <c r="D29" s="82"/>
      <c r="E29" s="82"/>
      <c r="F29" s="82"/>
      <c r="G29" s="82"/>
      <c r="H29" s="79"/>
      <c r="I29" s="22"/>
      <c r="J29" s="3"/>
      <c r="K29" s="36"/>
      <c r="L29" s="40"/>
      <c r="M29" s="22"/>
      <c r="N29" s="22"/>
      <c r="O29" s="22"/>
      <c r="P29" s="22"/>
      <c r="Q29" s="22"/>
      <c r="R29" s="22"/>
      <c r="S29" s="22"/>
      <c r="T29" s="3"/>
    </row>
    <row r="30" spans="1:20" x14ac:dyDescent="0.25">
      <c r="A30" s="150" t="s">
        <v>54</v>
      </c>
      <c r="B30" s="135"/>
      <c r="C30" s="134"/>
      <c r="D30" s="148" t="s">
        <v>55</v>
      </c>
      <c r="E30" s="149"/>
      <c r="F30" s="86" t="s">
        <v>56</v>
      </c>
      <c r="G30" s="22" t="s">
        <v>57</v>
      </c>
      <c r="H30" s="123" t="s">
        <v>100</v>
      </c>
      <c r="I30" s="22"/>
      <c r="J30" s="3"/>
      <c r="K30" s="36"/>
      <c r="L30" s="40"/>
      <c r="M30" s="22"/>
      <c r="N30" s="22"/>
      <c r="O30" s="22"/>
      <c r="P30" s="22"/>
      <c r="Q30" s="22"/>
      <c r="R30" s="22"/>
      <c r="S30" s="22"/>
      <c r="T30" s="3"/>
    </row>
    <row r="31" spans="1:20" x14ac:dyDescent="0.25">
      <c r="A31" s="80">
        <f t="shared" ref="A31:E33" si="0">C23</f>
        <v>0.34977918131474744</v>
      </c>
      <c r="B31" s="22">
        <f t="shared" si="0"/>
        <v>0.27501258510493337</v>
      </c>
      <c r="C31" s="66">
        <f t="shared" si="0"/>
        <v>0.41553404277081679</v>
      </c>
      <c r="D31" s="65">
        <f t="shared" si="0"/>
        <v>0.36272333771271265</v>
      </c>
      <c r="E31" s="66">
        <f t="shared" si="0"/>
        <v>0.28644344150406903</v>
      </c>
      <c r="F31" s="85">
        <f>C18</f>
        <v>607.9523615541973</v>
      </c>
      <c r="G31" s="66">
        <f>F18</f>
        <v>30.910896111828141</v>
      </c>
      <c r="H31" s="122">
        <f>H14</f>
        <v>130.67315823124852</v>
      </c>
      <c r="I31" s="22"/>
      <c r="J31" s="3"/>
      <c r="K31" s="36"/>
      <c r="L31" s="40"/>
      <c r="M31" s="22"/>
      <c r="N31" s="22"/>
      <c r="O31" s="22"/>
      <c r="P31" s="22"/>
      <c r="Q31" s="22"/>
      <c r="R31" s="22"/>
      <c r="S31" s="22"/>
      <c r="T31" s="3"/>
    </row>
    <row r="32" spans="1:20" x14ac:dyDescent="0.25">
      <c r="A32" s="80">
        <f t="shared" si="0"/>
        <v>0.24977918131474744</v>
      </c>
      <c r="B32" s="22">
        <f t="shared" si="0"/>
        <v>0.47501258510493355</v>
      </c>
      <c r="C32" s="23">
        <f t="shared" si="0"/>
        <v>0.10000000000000009</v>
      </c>
      <c r="D32" s="21">
        <f t="shared" si="0"/>
        <v>0.1627233377127128</v>
      </c>
      <c r="E32" s="23">
        <f t="shared" si="0"/>
        <v>0.21016741887194834</v>
      </c>
      <c r="F32" s="21">
        <f>D18</f>
        <v>468.35005509784372</v>
      </c>
      <c r="G32" s="24">
        <f>G18</f>
        <v>77.706243638405113</v>
      </c>
      <c r="H32" s="121">
        <f>H15</f>
        <v>48.030057422937432</v>
      </c>
      <c r="I32" s="22"/>
      <c r="J32" s="3"/>
      <c r="K32" s="36"/>
      <c r="L32" s="40"/>
      <c r="M32" s="22"/>
      <c r="N32" s="22"/>
      <c r="O32" s="22"/>
      <c r="P32" s="22"/>
      <c r="Q32" s="22"/>
      <c r="R32" s="22"/>
      <c r="S32" s="22"/>
      <c r="T32" s="3"/>
    </row>
    <row r="33" spans="1:20" ht="15.75" thickBot="1" x14ac:dyDescent="0.3">
      <c r="A33" s="81">
        <f t="shared" si="0"/>
        <v>0.15022081868525286</v>
      </c>
      <c r="B33" s="32">
        <f t="shared" si="0"/>
        <v>0.12498741489506671</v>
      </c>
      <c r="C33" s="33">
        <f t="shared" si="0"/>
        <v>0.12888351069270418</v>
      </c>
      <c r="D33" s="31">
        <f t="shared" si="0"/>
        <v>0.21182998686186225</v>
      </c>
      <c r="E33" s="33">
        <f t="shared" si="0"/>
        <v>0.40000000000000013</v>
      </c>
      <c r="F33" s="31">
        <f>E18</f>
        <v>246.32739278740814</v>
      </c>
      <c r="G33" s="34"/>
      <c r="H33" s="35">
        <f>H16</f>
        <v>27.084537325621397</v>
      </c>
      <c r="I33" s="22"/>
      <c r="J33" s="3"/>
      <c r="K33" s="36"/>
      <c r="L33" s="40"/>
      <c r="M33" s="22"/>
      <c r="N33" s="22"/>
      <c r="O33" s="22"/>
      <c r="P33" s="22"/>
      <c r="Q33" s="22"/>
      <c r="R33" s="22"/>
      <c r="S33" s="22"/>
      <c r="T33" s="3"/>
    </row>
    <row r="34" spans="1:20" x14ac:dyDescent="0.25">
      <c r="A34" s="117" t="s">
        <v>58</v>
      </c>
      <c r="B34" s="116" t="s">
        <v>36</v>
      </c>
      <c r="C34" s="118" t="s">
        <v>37</v>
      </c>
      <c r="D34" s="16"/>
      <c r="E34" s="16"/>
      <c r="F34" s="16"/>
      <c r="G34" s="16"/>
      <c r="H34" s="16"/>
      <c r="I34" s="16"/>
      <c r="J34" s="3"/>
      <c r="K34" s="36"/>
      <c r="L34" s="40"/>
      <c r="M34" s="16"/>
      <c r="N34" s="16"/>
      <c r="O34" s="16"/>
      <c r="P34" s="16"/>
      <c r="Q34" s="16"/>
      <c r="R34" s="16"/>
      <c r="S34" s="16"/>
      <c r="T34" s="3"/>
    </row>
    <row r="35" spans="1:20" x14ac:dyDescent="0.25">
      <c r="A35" s="88"/>
      <c r="B35" s="22" cm="1">
        <f t="array" ref="B35:B37">MMULT(A31:C33,F31:F33)+MMULT(D31:E33,G31:G32)+H31:H33</f>
        <v>607.9523615541973</v>
      </c>
      <c r="C35" s="25" cm="1">
        <f t="array" ref="C35:C37">F31:F33</f>
        <v>607.9523615541973</v>
      </c>
      <c r="D35" s="16"/>
      <c r="E35" s="16"/>
      <c r="F35" s="16"/>
      <c r="G35" s="16"/>
      <c r="H35" s="16"/>
      <c r="I35" s="16"/>
      <c r="J35" s="3"/>
      <c r="K35" s="36"/>
      <c r="L35" s="40"/>
      <c r="M35" s="16"/>
      <c r="N35" s="16"/>
      <c r="O35" s="16"/>
      <c r="P35" s="16"/>
      <c r="Q35" s="16"/>
      <c r="R35" s="16"/>
      <c r="S35" s="16"/>
      <c r="T35" s="3"/>
    </row>
    <row r="36" spans="1:20" x14ac:dyDescent="0.25">
      <c r="A36" s="88"/>
      <c r="B36" s="22">
        <v>468.35005509784378</v>
      </c>
      <c r="C36" s="25">
        <v>468.35005509784372</v>
      </c>
      <c r="D36" s="16"/>
      <c r="E36" s="16"/>
      <c r="F36" s="16"/>
      <c r="G36" s="16"/>
      <c r="H36" s="16"/>
      <c r="I36" s="16"/>
      <c r="J36" s="3"/>
      <c r="K36" s="36"/>
      <c r="L36" s="40"/>
      <c r="M36" s="16"/>
      <c r="N36" s="16"/>
      <c r="O36" s="16"/>
      <c r="P36" s="16"/>
      <c r="Q36" s="16"/>
      <c r="R36" s="16"/>
      <c r="S36" s="16"/>
      <c r="T36" s="3"/>
    </row>
    <row r="37" spans="1:20" ht="15.75" thickBot="1" x14ac:dyDescent="0.3">
      <c r="A37" s="89"/>
      <c r="B37" s="32">
        <v>246.3273927874082</v>
      </c>
      <c r="C37" s="35">
        <v>246.32739278740814</v>
      </c>
      <c r="D37" s="16"/>
      <c r="E37" s="16"/>
      <c r="F37" s="16"/>
      <c r="G37" s="16"/>
      <c r="H37" s="16"/>
      <c r="I37" s="16"/>
      <c r="J37" s="3"/>
      <c r="K37" s="36"/>
      <c r="L37" s="40"/>
      <c r="M37" s="16"/>
      <c r="N37" s="16"/>
      <c r="O37" s="16"/>
      <c r="P37" s="16"/>
      <c r="Q37" s="16"/>
      <c r="R37" s="16"/>
      <c r="S37" s="16"/>
      <c r="T37" s="3"/>
    </row>
    <row r="38" spans="1:20" x14ac:dyDescent="0.25">
      <c r="A38" s="90" t="s">
        <v>60</v>
      </c>
      <c r="B38" s="83" t="s">
        <v>36</v>
      </c>
      <c r="C38" s="84" t="s">
        <v>37</v>
      </c>
      <c r="D38" s="16"/>
      <c r="E38" s="16"/>
      <c r="F38" s="16"/>
      <c r="G38" s="16"/>
      <c r="H38" s="16"/>
      <c r="I38" s="16"/>
      <c r="J38" s="3"/>
      <c r="K38" s="36"/>
      <c r="L38" s="40"/>
      <c r="M38" s="16"/>
      <c r="N38" s="16"/>
      <c r="O38" s="16"/>
      <c r="P38" s="16"/>
      <c r="Q38" s="16"/>
      <c r="R38" s="16"/>
      <c r="S38" s="16"/>
      <c r="T38" s="3"/>
    </row>
    <row r="39" spans="1:20" x14ac:dyDescent="0.25">
      <c r="A39" s="88"/>
      <c r="B39" s="22" cm="1">
        <f t="array" ref="B39:B41">F31:F33</f>
        <v>607.9523615541973</v>
      </c>
      <c r="C39" s="25" cm="1">
        <f t="array" ref="C39:C41">MMULT(MINVERSE(_xlfn.MUNIT(3)-A31:C33),MMULT(D31:E33,G31:G32)+H31:H33)</f>
        <v>607.95236155419752</v>
      </c>
      <c r="D39" s="16"/>
      <c r="E39" s="16"/>
      <c r="F39" s="16"/>
      <c r="G39" s="16"/>
      <c r="H39" s="16"/>
      <c r="I39" s="16"/>
      <c r="J39" s="3"/>
      <c r="K39" s="36"/>
      <c r="L39" s="40"/>
      <c r="M39" s="16"/>
      <c r="N39" s="16"/>
      <c r="O39" s="16"/>
      <c r="P39" s="16"/>
      <c r="Q39" s="16"/>
      <c r="R39" s="16"/>
      <c r="S39" s="16"/>
      <c r="T39" s="3"/>
    </row>
    <row r="40" spans="1:20" x14ac:dyDescent="0.25">
      <c r="A40" s="88"/>
      <c r="B40" s="22">
        <v>468.35005509784372</v>
      </c>
      <c r="C40" s="25">
        <v>468.35005509784406</v>
      </c>
      <c r="D40" s="16"/>
      <c r="E40" s="16"/>
      <c r="F40" s="16"/>
      <c r="G40" s="16"/>
      <c r="H40" s="16"/>
      <c r="I40" s="16"/>
      <c r="J40" s="3"/>
      <c r="K40" s="36"/>
      <c r="L40" s="40"/>
      <c r="M40" s="16"/>
      <c r="N40" s="16"/>
      <c r="O40" s="16"/>
      <c r="P40" s="16"/>
      <c r="Q40" s="16"/>
      <c r="R40" s="16"/>
      <c r="S40" s="16"/>
      <c r="T40" s="3"/>
    </row>
    <row r="41" spans="1:20" ht="15.75" thickBot="1" x14ac:dyDescent="0.3">
      <c r="A41" s="91"/>
      <c r="B41" s="32">
        <v>246.32739278740814</v>
      </c>
      <c r="C41" s="35">
        <v>246.32739278740829</v>
      </c>
      <c r="D41" s="16"/>
      <c r="E41" s="16"/>
      <c r="F41" s="16"/>
      <c r="G41" s="16"/>
      <c r="H41" s="16"/>
      <c r="I41" s="16"/>
      <c r="J41" s="3"/>
      <c r="K41" s="36"/>
      <c r="L41" s="40"/>
      <c r="M41" s="16"/>
      <c r="N41" s="16"/>
      <c r="O41" s="16"/>
      <c r="P41" s="16"/>
      <c r="Q41" s="16"/>
      <c r="R41" s="16"/>
      <c r="S41" s="16"/>
      <c r="T41" s="3"/>
    </row>
    <row r="42" spans="1:20" ht="15.75" thickBot="1" x14ac:dyDescent="0.3">
      <c r="A42" s="39"/>
      <c r="B42" s="40"/>
      <c r="C42" s="16"/>
      <c r="D42" s="16"/>
      <c r="E42" s="16"/>
      <c r="F42" s="16"/>
      <c r="G42" s="16"/>
      <c r="H42" s="16"/>
      <c r="I42" s="16"/>
      <c r="J42" s="3"/>
      <c r="K42" s="36"/>
      <c r="L42" s="40"/>
      <c r="M42" s="16"/>
      <c r="N42" s="16"/>
      <c r="O42" s="16"/>
      <c r="P42" s="16"/>
      <c r="Q42" s="16"/>
      <c r="R42" s="16"/>
      <c r="S42" s="16"/>
      <c r="T42" s="3"/>
    </row>
    <row r="43" spans="1:20" ht="15.75" thickBot="1" x14ac:dyDescent="0.3">
      <c r="A43" s="7" t="s">
        <v>80</v>
      </c>
      <c r="B43" s="8"/>
      <c r="C43" s="9"/>
      <c r="D43" s="3"/>
      <c r="E43" s="3"/>
      <c r="F43" s="3"/>
      <c r="G43" s="3"/>
      <c r="H43" s="3"/>
      <c r="I43" s="3"/>
      <c r="J43" s="3"/>
      <c r="K43" s="4"/>
      <c r="L43" s="3"/>
      <c r="M43" s="3"/>
      <c r="N43" s="3"/>
      <c r="O43" s="3"/>
      <c r="P43" s="3"/>
      <c r="Q43" s="3"/>
      <c r="R43" s="3"/>
      <c r="S43" s="3"/>
      <c r="T43" s="3"/>
    </row>
    <row r="44" spans="1:20" x14ac:dyDescent="0.25">
      <c r="A44" s="6" t="s">
        <v>59</v>
      </c>
      <c r="B44" s="40" t="s">
        <v>36</v>
      </c>
      <c r="C44" s="36" t="s">
        <v>37</v>
      </c>
      <c r="D44" s="3"/>
      <c r="E44" s="3"/>
      <c r="F44" s="3"/>
      <c r="G44" s="3"/>
      <c r="H44" s="3"/>
      <c r="I44" s="3"/>
      <c r="J44" s="3"/>
      <c r="K44" s="4"/>
      <c r="L44" s="3"/>
      <c r="M44" s="3"/>
      <c r="N44" s="3"/>
      <c r="O44" s="3"/>
      <c r="P44" s="3"/>
      <c r="Q44" s="3"/>
      <c r="R44" s="3"/>
      <c r="S44" s="3"/>
      <c r="T44" s="3"/>
    </row>
    <row r="45" spans="1:20" x14ac:dyDescent="0.25">
      <c r="A45" s="6"/>
      <c r="B45" s="22">
        <f>F18+G18+H14+H15+H16</f>
        <v>314.40489273004061</v>
      </c>
      <c r="C45" s="25">
        <f>SUM(C17:G17)</f>
        <v>314.40489273004061</v>
      </c>
      <c r="D45" s="3"/>
      <c r="E45" s="3"/>
      <c r="F45" s="3"/>
      <c r="G45" s="3"/>
      <c r="H45" s="3"/>
      <c r="I45" s="3"/>
      <c r="J45" s="3"/>
      <c r="K45" s="4"/>
      <c r="L45" s="3"/>
      <c r="M45" s="3"/>
      <c r="N45" s="3"/>
      <c r="O45" s="3"/>
      <c r="P45" s="3"/>
      <c r="Q45" s="3"/>
      <c r="R45" s="3"/>
      <c r="S45" s="3"/>
      <c r="T45" s="3"/>
    </row>
    <row r="46" spans="1:20" x14ac:dyDescent="0.25">
      <c r="A46" s="6" t="s">
        <v>61</v>
      </c>
      <c r="B46" s="40" t="s">
        <v>36</v>
      </c>
      <c r="C46" s="36" t="s">
        <v>37</v>
      </c>
      <c r="D46" s="3"/>
      <c r="E46" s="3"/>
      <c r="F46" s="3"/>
      <c r="G46" s="3"/>
      <c r="H46" s="3"/>
      <c r="I46" s="3"/>
      <c r="J46" s="3"/>
      <c r="K46" s="4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thickBot="1" x14ac:dyDescent="0.3">
      <c r="A47" s="38"/>
      <c r="B47" s="32">
        <f>B8*D194+B8*D195+B9*D233+B9*D234+H14+H15+H16</f>
        <v>298.24989725866391</v>
      </c>
      <c r="C47" s="35">
        <f>C17+D17+E17</f>
        <v>298.24989725866396</v>
      </c>
      <c r="D47" s="37"/>
      <c r="E47" s="37"/>
      <c r="F47" s="37"/>
      <c r="G47" s="37"/>
      <c r="H47" s="37"/>
      <c r="I47" s="37"/>
      <c r="J47" s="37"/>
      <c r="K47" s="41"/>
      <c r="L47" s="3"/>
      <c r="M47" s="3"/>
      <c r="N47" s="3"/>
      <c r="O47" s="3"/>
      <c r="P47" s="3"/>
      <c r="Q47" s="3"/>
      <c r="R47" s="3"/>
      <c r="S47" s="3"/>
      <c r="T47" s="3"/>
    </row>
    <row r="48" spans="1:20" x14ac:dyDescent="0.25">
      <c r="L48" s="3"/>
      <c r="M48" s="3"/>
      <c r="N48" s="3"/>
      <c r="O48" s="3"/>
      <c r="P48" s="3"/>
      <c r="Q48" s="3"/>
      <c r="R48" s="3"/>
      <c r="S48" s="3"/>
      <c r="T48" s="3"/>
    </row>
    <row r="49" spans="1:20" ht="15.75" thickBot="1" x14ac:dyDescent="0.3">
      <c r="L49" s="3"/>
      <c r="M49" s="3"/>
      <c r="N49" s="3"/>
      <c r="O49" s="3"/>
      <c r="P49" s="3"/>
      <c r="Q49" s="3"/>
      <c r="R49" s="3"/>
      <c r="S49" s="3"/>
      <c r="T49" s="3"/>
    </row>
    <row r="50" spans="1:20" ht="15.75" thickBot="1" x14ac:dyDescent="0.3">
      <c r="A50" s="69" t="s">
        <v>71</v>
      </c>
      <c r="B50" s="70"/>
      <c r="C50" s="70"/>
      <c r="D50" s="70"/>
      <c r="E50" s="70"/>
      <c r="F50" s="70"/>
      <c r="G50" s="70"/>
      <c r="H50" s="70"/>
      <c r="I50" s="70"/>
      <c r="J50" s="70"/>
      <c r="K50" s="71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thickBot="1" x14ac:dyDescent="0.3">
      <c r="A51" s="7" t="s">
        <v>72</v>
      </c>
      <c r="B51" s="101"/>
      <c r="C51" s="101"/>
      <c r="D51" s="100" t="s">
        <v>51</v>
      </c>
      <c r="E51" s="3"/>
      <c r="F51" s="3"/>
      <c r="G51" s="3"/>
      <c r="H51" s="3"/>
      <c r="I51" s="3"/>
      <c r="J51" s="3"/>
      <c r="K51" s="4"/>
      <c r="L51" s="3"/>
      <c r="M51" s="3"/>
      <c r="N51" s="3"/>
      <c r="O51" s="3"/>
      <c r="P51" s="3"/>
      <c r="Q51" s="3"/>
      <c r="R51" s="3"/>
      <c r="S51" s="3"/>
      <c r="T51" s="3"/>
    </row>
    <row r="52" spans="1:20" x14ac:dyDescent="0.25">
      <c r="A52" s="140" t="s">
        <v>15</v>
      </c>
      <c r="B52" s="141"/>
      <c r="C52" s="141"/>
      <c r="D52" s="96">
        <f>'1. General'!B5</f>
        <v>35</v>
      </c>
      <c r="E52" s="16"/>
      <c r="F52" s="16"/>
      <c r="G52" s="16"/>
      <c r="H52" s="16"/>
      <c r="I52" s="16"/>
      <c r="J52" s="16"/>
      <c r="K52" s="4"/>
      <c r="L52" s="3"/>
      <c r="M52" s="3"/>
      <c r="N52" s="3"/>
      <c r="O52" s="3"/>
      <c r="P52" s="3"/>
      <c r="Q52" s="3"/>
      <c r="R52" s="3"/>
      <c r="S52" s="3"/>
      <c r="T52" s="3"/>
    </row>
    <row r="53" spans="1:20" x14ac:dyDescent="0.25">
      <c r="A53" s="88" t="s">
        <v>12</v>
      </c>
      <c r="B53" s="97"/>
      <c r="C53" s="97"/>
      <c r="D53" s="25">
        <f>'1. General'!B6</f>
        <v>16</v>
      </c>
      <c r="E53" s="16"/>
      <c r="F53" s="16"/>
      <c r="G53" s="16"/>
      <c r="H53" s="16"/>
      <c r="I53" s="16"/>
      <c r="J53" s="16"/>
      <c r="K53" s="4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thickBot="1" x14ac:dyDescent="0.3">
      <c r="A54" s="89" t="s">
        <v>13</v>
      </c>
      <c r="B54" s="98"/>
      <c r="C54" s="98"/>
      <c r="D54" s="35">
        <f>'1. General'!B7</f>
        <v>20</v>
      </c>
      <c r="E54" s="16"/>
      <c r="F54" s="16"/>
      <c r="G54" s="16"/>
      <c r="H54" s="16"/>
      <c r="I54" s="16"/>
      <c r="J54" s="16"/>
      <c r="K54" s="4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thickBot="1" x14ac:dyDescent="0.3">
      <c r="A55" s="42"/>
      <c r="B55" s="43"/>
      <c r="C55" s="43"/>
      <c r="D55" s="16"/>
      <c r="E55" s="16"/>
      <c r="F55" s="16"/>
      <c r="G55" s="16"/>
      <c r="H55" s="16"/>
      <c r="I55" s="16"/>
      <c r="J55" s="16"/>
      <c r="K55" s="4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thickBot="1" x14ac:dyDescent="0.3">
      <c r="A56" s="142" t="s">
        <v>73</v>
      </c>
      <c r="B56" s="143"/>
      <c r="C56" s="58" t="s">
        <v>16</v>
      </c>
      <c r="D56" s="50"/>
      <c r="E56" s="50"/>
      <c r="F56" s="50"/>
      <c r="G56" s="59"/>
      <c r="H56" s="16"/>
      <c r="I56" s="16"/>
      <c r="J56" s="16"/>
      <c r="K56" s="4"/>
      <c r="L56" s="3"/>
      <c r="M56" s="3"/>
      <c r="N56" s="3"/>
      <c r="O56" s="3"/>
      <c r="P56" s="3"/>
      <c r="Q56" s="3"/>
      <c r="R56" s="3"/>
      <c r="S56" s="3"/>
      <c r="T56" s="3"/>
    </row>
    <row r="57" spans="1:20" x14ac:dyDescent="0.25">
      <c r="A57" s="55" t="s">
        <v>69</v>
      </c>
      <c r="B57" s="22" t="s">
        <v>1</v>
      </c>
      <c r="C57" s="22" t="s">
        <v>2</v>
      </c>
      <c r="D57" s="22" t="s">
        <v>3</v>
      </c>
      <c r="E57" s="22" t="s">
        <v>14</v>
      </c>
      <c r="F57" s="43" t="s">
        <v>5</v>
      </c>
      <c r="G57" s="53"/>
      <c r="H57" s="16"/>
      <c r="I57" s="16"/>
      <c r="J57" s="16"/>
      <c r="K57" s="4"/>
      <c r="L57" s="3"/>
      <c r="M57" s="3"/>
      <c r="N57" s="3"/>
      <c r="O57" s="3"/>
      <c r="P57" s="3"/>
      <c r="Q57" s="3"/>
      <c r="R57" s="3"/>
      <c r="S57" s="3"/>
      <c r="T57" s="3"/>
    </row>
    <row r="58" spans="1:20" x14ac:dyDescent="0.25">
      <c r="A58" s="56">
        <v>1</v>
      </c>
      <c r="B58" s="22">
        <v>4</v>
      </c>
      <c r="C58" s="22">
        <v>0.3</v>
      </c>
      <c r="D58" s="22">
        <v>0.2</v>
      </c>
      <c r="E58" s="22">
        <v>0.2</v>
      </c>
      <c r="F58" s="22">
        <f>SUM(C58:E58)</f>
        <v>0.7</v>
      </c>
      <c r="G58" s="25"/>
      <c r="H58" s="16"/>
      <c r="I58" s="16"/>
      <c r="J58" s="16"/>
      <c r="K58" s="4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thickBot="1" x14ac:dyDescent="0.3">
      <c r="A59" s="57">
        <v>2</v>
      </c>
      <c r="B59" s="32">
        <v>3</v>
      </c>
      <c r="C59" s="32">
        <v>0.4</v>
      </c>
      <c r="D59" s="32">
        <v>0.3</v>
      </c>
      <c r="E59" s="32">
        <v>0.1</v>
      </c>
      <c r="F59" s="32">
        <f>SUM(C59:E59)</f>
        <v>0.79999999999999993</v>
      </c>
      <c r="G59" s="35"/>
      <c r="H59" s="16"/>
      <c r="I59" s="16"/>
      <c r="J59" s="16"/>
      <c r="K59" s="4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thickBot="1" x14ac:dyDescent="0.3">
      <c r="A60" s="45"/>
      <c r="B60" s="16"/>
      <c r="C60" s="16"/>
      <c r="D60" s="16"/>
      <c r="E60" s="16"/>
      <c r="F60" s="16"/>
      <c r="G60" s="16"/>
      <c r="H60" s="16"/>
      <c r="I60" s="16"/>
      <c r="J60" s="16"/>
      <c r="K60" s="4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thickBot="1" x14ac:dyDescent="0.3">
      <c r="A61" s="49" t="s">
        <v>74</v>
      </c>
      <c r="B61" s="50"/>
      <c r="C61" s="50"/>
      <c r="D61" s="59"/>
      <c r="E61" s="16"/>
      <c r="F61" s="16"/>
      <c r="G61" s="16"/>
      <c r="H61" s="16"/>
      <c r="I61" s="16"/>
      <c r="J61" s="16"/>
      <c r="K61" s="4"/>
      <c r="L61" s="3"/>
      <c r="M61" s="3"/>
      <c r="N61" s="3"/>
      <c r="O61" s="3"/>
      <c r="P61" s="3"/>
      <c r="Q61" s="3"/>
      <c r="R61" s="3"/>
      <c r="S61" s="3"/>
      <c r="T61" s="3"/>
    </row>
    <row r="62" spans="1:20" x14ac:dyDescent="0.25">
      <c r="A62" s="44" t="s">
        <v>69</v>
      </c>
      <c r="B62" s="22" t="s">
        <v>6</v>
      </c>
      <c r="C62" s="22" t="s">
        <v>7</v>
      </c>
      <c r="D62" s="25" t="s">
        <v>8</v>
      </c>
      <c r="E62" s="3"/>
      <c r="F62" s="16"/>
      <c r="G62" s="16"/>
      <c r="H62" s="16"/>
      <c r="I62" s="16"/>
      <c r="J62" s="16"/>
      <c r="K62" s="4"/>
      <c r="L62" s="3"/>
      <c r="M62" s="3"/>
      <c r="N62" s="3"/>
      <c r="O62" s="3"/>
      <c r="P62" s="3"/>
      <c r="Q62" s="3"/>
      <c r="R62" s="3"/>
      <c r="S62" s="3"/>
      <c r="T62" s="3"/>
    </row>
    <row r="63" spans="1:20" x14ac:dyDescent="0.25">
      <c r="A63" s="56">
        <v>1</v>
      </c>
      <c r="B63" s="22">
        <f>((B68/B58)*(C58/$D$52)^(D58+E58)*($D$53/D58)^D58*($D$54/E58)^E58)^(1/F58)</f>
        <v>2.6170170273329609</v>
      </c>
      <c r="C63" s="22">
        <f>((B68/B58)*(D58/$D$53)^(C58+E58)*($D$52/C58)^C58*($D$54/E58)^E58)^(1/F58)</f>
        <v>3.8164831648605699</v>
      </c>
      <c r="D63" s="25">
        <f>((B68/B58)*(E58/$D$54)^(C58+D58)*($D$52/C58)^C58*($D$53/D58)^D58)^(1/F58)</f>
        <v>3.0531865318884561</v>
      </c>
      <c r="E63" s="3"/>
      <c r="F63" s="16"/>
      <c r="G63" s="16"/>
      <c r="H63" s="16"/>
      <c r="I63" s="16"/>
      <c r="J63" s="16"/>
      <c r="K63" s="4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thickBot="1" x14ac:dyDescent="0.3">
      <c r="A64" s="57">
        <v>2</v>
      </c>
      <c r="B64" s="32">
        <f>(B69/B59*(C59/$D$52)^(D59+E59)*($D$53/D59)^D59*($D$54/E59)^E59)^(1/F59)</f>
        <v>3.4586709527468802</v>
      </c>
      <c r="C64" s="32">
        <f>(B69/B59*(D59/$D$53)^(C59+E59)*($D$52/C59)^C59*($D$54/E59)^E59)^(1/F59)</f>
        <v>5.6743820318503504</v>
      </c>
      <c r="D64" s="35">
        <f>((B69/B59)*(E59/$D$54)^(C59+D59)*($D$52/C59)^C59*($D$53/D59)^D59)^(1/F59)</f>
        <v>1.5131685418267617</v>
      </c>
      <c r="E64" s="3"/>
      <c r="F64" s="16"/>
      <c r="G64" s="16"/>
      <c r="H64" s="16"/>
      <c r="I64" s="16"/>
      <c r="J64" s="16"/>
      <c r="K64" s="4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thickBot="1" x14ac:dyDescent="0.3">
      <c r="A65" s="54"/>
      <c r="B65" s="22"/>
      <c r="C65" s="22"/>
      <c r="D65" s="22"/>
      <c r="E65" s="3"/>
      <c r="F65" s="16"/>
      <c r="G65" s="16"/>
      <c r="H65" s="16"/>
      <c r="I65" s="16"/>
      <c r="J65" s="16"/>
      <c r="K65" s="4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thickBot="1" x14ac:dyDescent="0.3">
      <c r="A66" s="111" t="s">
        <v>75</v>
      </c>
      <c r="B66" s="108"/>
      <c r="C66" s="108"/>
      <c r="D66" s="108"/>
      <c r="E66" s="48"/>
      <c r="F66" s="16"/>
      <c r="G66" s="16"/>
      <c r="H66" s="16"/>
      <c r="I66" s="16"/>
      <c r="J66" s="16"/>
      <c r="K66" s="4"/>
      <c r="L66" s="3"/>
      <c r="M66" s="3"/>
      <c r="N66" s="3"/>
      <c r="O66" s="3"/>
      <c r="P66" s="3"/>
      <c r="Q66" s="3"/>
      <c r="R66" s="3"/>
      <c r="S66" s="3"/>
      <c r="T66" s="3"/>
    </row>
    <row r="67" spans="1:20" x14ac:dyDescent="0.25">
      <c r="A67" s="75" t="s">
        <v>69</v>
      </c>
      <c r="B67" s="109" t="s">
        <v>11</v>
      </c>
      <c r="C67" s="109"/>
      <c r="D67" s="110" t="s">
        <v>0</v>
      </c>
      <c r="E67" s="76"/>
      <c r="F67" s="16"/>
      <c r="G67" s="16"/>
      <c r="H67" s="16"/>
      <c r="I67" s="16"/>
      <c r="J67" s="16"/>
      <c r="K67" s="4"/>
      <c r="L67" s="3"/>
      <c r="M67" s="3"/>
      <c r="N67" s="3"/>
      <c r="O67" s="3"/>
      <c r="P67" s="3"/>
      <c r="Q67" s="3"/>
      <c r="R67" s="3"/>
      <c r="S67" s="3"/>
      <c r="T67" s="3"/>
    </row>
    <row r="68" spans="1:20" x14ac:dyDescent="0.25">
      <c r="A68" s="56">
        <v>1</v>
      </c>
      <c r="B68" s="22">
        <f>(B58*C58^(C58)*D58^(D58)*E58^(E58)*$D$52^(D58+E58)*$D$53^(-D58)*$D$54^(-E58))^(1/(1-F58))</f>
        <v>8.7233900911098665</v>
      </c>
      <c r="C68" s="22"/>
      <c r="D68" s="22">
        <f>B58*(B63^C58)*(C63^D58)*(D63^E58)</f>
        <v>8.7233900911098665</v>
      </c>
      <c r="E68" s="17"/>
      <c r="F68" s="16"/>
      <c r="G68" s="16"/>
      <c r="H68" s="16"/>
      <c r="I68" s="16"/>
      <c r="J68" s="16"/>
      <c r="K68" s="4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thickBot="1" x14ac:dyDescent="0.3">
      <c r="A69" s="57">
        <v>2</v>
      </c>
      <c r="B69" s="32">
        <f>(B59*C59^(C59)*D59^(D59)*E59^(E59)*$D$52^(D59+E59)*$D$53^(-D59)*$D$54^(-E59))^(1/(1-F59))</f>
        <v>8.6466773818672014</v>
      </c>
      <c r="C69" s="32"/>
      <c r="D69" s="32">
        <f>B59*B64^C59*C64^D59*D64^E59</f>
        <v>8.6466773818671996</v>
      </c>
      <c r="E69" s="20"/>
      <c r="F69" s="16"/>
      <c r="G69" s="16"/>
      <c r="H69" s="16"/>
      <c r="I69" s="16"/>
      <c r="J69" s="16"/>
      <c r="K69" s="4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thickBot="1" x14ac:dyDescent="0.3">
      <c r="A70" s="56"/>
      <c r="B70" s="22"/>
      <c r="C70" s="22"/>
      <c r="D70" s="22"/>
      <c r="E70" s="16"/>
      <c r="F70" s="16"/>
      <c r="G70" s="16"/>
      <c r="H70" s="16"/>
      <c r="I70" s="16"/>
      <c r="J70" s="16"/>
      <c r="K70" s="4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thickBot="1" x14ac:dyDescent="0.3">
      <c r="A71" s="49" t="s">
        <v>81</v>
      </c>
      <c r="B71" s="59"/>
      <c r="C71" s="16"/>
      <c r="D71" s="16"/>
      <c r="E71" s="16"/>
      <c r="F71" s="16"/>
      <c r="G71" s="16"/>
      <c r="H71" s="16"/>
      <c r="I71" s="16"/>
      <c r="J71" s="16"/>
      <c r="K71" s="4"/>
      <c r="L71" s="3"/>
      <c r="M71" s="3"/>
      <c r="N71" s="3"/>
      <c r="O71" s="3"/>
      <c r="P71" s="3"/>
      <c r="Q71" s="3"/>
      <c r="R71" s="3"/>
      <c r="S71" s="3"/>
      <c r="T71" s="3"/>
    </row>
    <row r="72" spans="1:20" x14ac:dyDescent="0.25">
      <c r="A72" s="44" t="s">
        <v>69</v>
      </c>
      <c r="B72" s="17"/>
      <c r="C72" s="16"/>
      <c r="D72" s="16"/>
      <c r="E72" s="16"/>
      <c r="F72" s="16"/>
      <c r="G72" s="16"/>
      <c r="H72" s="16"/>
      <c r="I72" s="16"/>
      <c r="J72" s="16"/>
      <c r="K72" s="4"/>
      <c r="L72" s="3"/>
      <c r="M72" s="3"/>
      <c r="N72" s="3"/>
      <c r="O72" s="3"/>
      <c r="P72" s="3"/>
      <c r="Q72" s="3"/>
      <c r="R72" s="3"/>
      <c r="S72" s="3"/>
      <c r="T72" s="3"/>
    </row>
    <row r="73" spans="1:20" x14ac:dyDescent="0.25">
      <c r="A73" s="56">
        <v>1</v>
      </c>
      <c r="B73" s="25">
        <f>D52*B68-D52*B63-D53*C63-D54*D63</f>
        <v>91.595595956653412</v>
      </c>
      <c r="C73" s="16"/>
      <c r="D73" s="16"/>
      <c r="E73" s="16"/>
      <c r="F73" s="16"/>
      <c r="G73" s="16"/>
      <c r="H73" s="16"/>
      <c r="I73" s="16"/>
      <c r="J73" s="16"/>
      <c r="K73" s="4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thickBot="1" x14ac:dyDescent="0.3">
      <c r="A74" s="57">
        <v>2</v>
      </c>
      <c r="B74" s="35">
        <f>D52*B69-D52*B64-D53*C64-D54*D64</f>
        <v>60.526741673070404</v>
      </c>
      <c r="C74" s="16"/>
      <c r="D74" s="16"/>
      <c r="E74" s="16"/>
      <c r="F74" s="16"/>
      <c r="G74" s="16"/>
      <c r="H74" s="16"/>
      <c r="I74" s="16"/>
      <c r="J74" s="16"/>
      <c r="K74" s="4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thickBot="1" x14ac:dyDescent="0.3">
      <c r="A75" s="45"/>
      <c r="B75" s="16"/>
      <c r="C75" s="16"/>
      <c r="D75" s="16"/>
      <c r="E75" s="16"/>
      <c r="F75" s="16"/>
      <c r="G75" s="16"/>
      <c r="H75" s="16"/>
      <c r="I75" s="16"/>
      <c r="J75" s="16"/>
      <c r="K75" s="4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thickBot="1" x14ac:dyDescent="0.3">
      <c r="A76" s="49" t="s">
        <v>76</v>
      </c>
      <c r="B76" s="50"/>
      <c r="C76" s="50"/>
      <c r="D76" s="50"/>
      <c r="E76" s="50"/>
      <c r="F76" s="50"/>
      <c r="G76" s="50"/>
      <c r="H76" s="50"/>
      <c r="I76" s="50"/>
      <c r="J76" s="50"/>
      <c r="K76" s="9"/>
      <c r="L76" s="3"/>
      <c r="M76" s="3"/>
      <c r="N76" s="3"/>
      <c r="O76" s="3"/>
      <c r="P76" s="3"/>
      <c r="Q76" s="3"/>
      <c r="R76" s="3"/>
      <c r="S76" s="3"/>
      <c r="T76" s="3"/>
    </row>
    <row r="77" spans="1:20" x14ac:dyDescent="0.25">
      <c r="A77" s="136" t="s">
        <v>69</v>
      </c>
      <c r="B77" s="21" t="s">
        <v>43</v>
      </c>
      <c r="C77" s="23" t="s">
        <v>44</v>
      </c>
      <c r="D77" s="21" t="s">
        <v>40</v>
      </c>
      <c r="E77" s="23" t="s">
        <v>45</v>
      </c>
      <c r="F77" s="21" t="s">
        <v>41</v>
      </c>
      <c r="G77" s="22" t="s">
        <v>46</v>
      </c>
      <c r="H77" s="22" t="s">
        <v>46</v>
      </c>
      <c r="I77" s="23" t="s">
        <v>47</v>
      </c>
      <c r="J77" s="22" t="s">
        <v>42</v>
      </c>
      <c r="K77" s="25" t="s">
        <v>48</v>
      </c>
      <c r="L77" s="3"/>
      <c r="M77" s="3"/>
      <c r="N77" s="3"/>
      <c r="O77" s="3"/>
      <c r="P77" s="3"/>
      <c r="Q77" s="3"/>
      <c r="R77" s="3"/>
      <c r="S77" s="3"/>
      <c r="T77" s="3"/>
    </row>
    <row r="78" spans="1:20" x14ac:dyDescent="0.25">
      <c r="A78" s="136"/>
      <c r="B78" s="21" t="s">
        <v>17</v>
      </c>
      <c r="C78" s="23" t="s">
        <v>18</v>
      </c>
      <c r="D78" s="21" t="s">
        <v>20</v>
      </c>
      <c r="E78" s="23" t="s">
        <v>32</v>
      </c>
      <c r="F78" s="21" t="s">
        <v>21</v>
      </c>
      <c r="G78" s="22" t="s">
        <v>18</v>
      </c>
      <c r="H78" s="107" t="s">
        <v>88</v>
      </c>
      <c r="I78" s="23" t="s">
        <v>89</v>
      </c>
      <c r="J78" s="40" t="s">
        <v>33</v>
      </c>
      <c r="K78" s="25" t="s">
        <v>22</v>
      </c>
      <c r="L78" s="3"/>
      <c r="M78" s="3"/>
      <c r="N78" s="3"/>
      <c r="O78" s="3"/>
      <c r="P78" s="3"/>
      <c r="Q78" s="3"/>
      <c r="R78" s="3"/>
      <c r="S78" s="3"/>
      <c r="T78" s="3"/>
    </row>
    <row r="79" spans="1:20" x14ac:dyDescent="0.25">
      <c r="A79" s="62">
        <v>1</v>
      </c>
      <c r="B79" s="21">
        <f>D52*F58*B68</f>
        <v>213.72305723219174</v>
      </c>
      <c r="C79" s="23">
        <f>D52*B63+D53*C63+D54*D63</f>
        <v>213.72305723219188</v>
      </c>
      <c r="D79" s="21">
        <f>F58*B68</f>
        <v>6.106373063776906</v>
      </c>
      <c r="E79" s="23">
        <f>B68-B73/D52</f>
        <v>6.1063730637769122</v>
      </c>
      <c r="F79" s="21">
        <f>D52*B68</f>
        <v>305.3186531888453</v>
      </c>
      <c r="G79" s="22">
        <f>D52*B63+D53*C63+D54*D63</f>
        <v>213.72305723219188</v>
      </c>
      <c r="H79" s="22">
        <f>B73</f>
        <v>91.595595956653412</v>
      </c>
      <c r="I79" s="23">
        <f>G79+H79</f>
        <v>305.3186531888453</v>
      </c>
      <c r="J79" s="22">
        <f>B73/D52</f>
        <v>2.6170170273329547</v>
      </c>
      <c r="K79" s="25">
        <f>(1-F58)*B68</f>
        <v>2.6170170273329605</v>
      </c>
      <c r="L79" s="3"/>
      <c r="M79" s="3"/>
      <c r="N79" s="3"/>
      <c r="O79" s="3"/>
      <c r="P79" s="3"/>
      <c r="Q79" s="3"/>
      <c r="R79" s="3"/>
      <c r="S79" s="3"/>
      <c r="T79" s="3"/>
    </row>
    <row r="80" spans="1:20" ht="15.75" thickBot="1" x14ac:dyDescent="0.3">
      <c r="A80" s="63">
        <v>2</v>
      </c>
      <c r="B80" s="31">
        <f>D52*F59*B69</f>
        <v>242.10696669228162</v>
      </c>
      <c r="C80" s="33">
        <f>D52*B64+D53*C64+D54*D64</f>
        <v>242.10696669228165</v>
      </c>
      <c r="D80" s="31">
        <f>F59*B69</f>
        <v>6.9173419054937604</v>
      </c>
      <c r="E80" s="33">
        <f>B69-B74/D52</f>
        <v>6.9173419054937613</v>
      </c>
      <c r="F80" s="31">
        <f>D52*B69</f>
        <v>302.63370836535205</v>
      </c>
      <c r="G80" s="32">
        <f>D52*B64+D53*C64+D54*D64</f>
        <v>242.10696669228165</v>
      </c>
      <c r="H80" s="32">
        <f>B74</f>
        <v>60.526741673070404</v>
      </c>
      <c r="I80" s="33">
        <f>G80+H80</f>
        <v>302.63370836535205</v>
      </c>
      <c r="J80" s="32">
        <f>B74/D52</f>
        <v>1.7293354763734401</v>
      </c>
      <c r="K80" s="35">
        <f>(1-F59)*B69</f>
        <v>1.7293354763734408</v>
      </c>
      <c r="L80" s="3"/>
      <c r="M80" s="3"/>
      <c r="N80" s="3"/>
      <c r="O80" s="3"/>
      <c r="P80" s="3"/>
      <c r="Q80" s="3"/>
      <c r="R80" s="3"/>
      <c r="S80" s="3"/>
      <c r="T80" s="3"/>
    </row>
    <row r="81" spans="1:20" ht="15.75" thickBot="1" x14ac:dyDescent="0.3">
      <c r="A81" s="45"/>
      <c r="B81" s="16"/>
      <c r="C81" s="16"/>
      <c r="D81" s="16"/>
      <c r="E81" s="16"/>
      <c r="F81" s="16"/>
      <c r="G81" s="16"/>
      <c r="H81" s="16"/>
      <c r="I81" s="16"/>
      <c r="J81" s="16"/>
      <c r="K81" s="17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thickBot="1" x14ac:dyDescent="0.3">
      <c r="A82" s="49" t="s">
        <v>77</v>
      </c>
      <c r="B82" s="79" t="s">
        <v>53</v>
      </c>
      <c r="C82" s="16"/>
      <c r="D82" s="16"/>
      <c r="E82" s="16"/>
      <c r="F82" s="16"/>
      <c r="G82" s="16"/>
      <c r="H82" s="16"/>
      <c r="I82" s="16"/>
      <c r="J82" s="16"/>
      <c r="K82" s="4"/>
      <c r="L82" s="3"/>
      <c r="M82" s="3"/>
      <c r="N82" s="3"/>
      <c r="O82" s="3"/>
      <c r="P82" s="3"/>
      <c r="Q82" s="3"/>
      <c r="R82" s="3"/>
      <c r="S82" s="3"/>
      <c r="T82" s="3"/>
    </row>
    <row r="83" spans="1:20" x14ac:dyDescent="0.25">
      <c r="A83" s="44" t="s">
        <v>23</v>
      </c>
      <c r="B83" s="25">
        <f>F79+F80</f>
        <v>607.9523615541973</v>
      </c>
      <c r="C83" s="16"/>
      <c r="D83" s="16"/>
      <c r="E83" s="16"/>
      <c r="F83" s="16"/>
      <c r="G83" s="16"/>
      <c r="H83" s="16"/>
      <c r="I83" s="16"/>
      <c r="J83" s="16"/>
      <c r="K83" s="4"/>
      <c r="L83" s="3"/>
      <c r="M83" s="3"/>
      <c r="N83" s="3"/>
      <c r="O83" s="3"/>
      <c r="P83" s="3"/>
      <c r="Q83" s="3"/>
      <c r="R83" s="3"/>
      <c r="S83" s="3"/>
      <c r="T83" s="3"/>
    </row>
    <row r="84" spans="1:20" x14ac:dyDescent="0.25">
      <c r="A84" s="44" t="s">
        <v>52</v>
      </c>
      <c r="B84" s="25">
        <f>G79+G80</f>
        <v>455.83002392447349</v>
      </c>
      <c r="C84" s="3"/>
      <c r="D84" s="16"/>
      <c r="E84" s="16"/>
      <c r="F84" s="16"/>
      <c r="G84" s="16"/>
      <c r="H84" s="16"/>
      <c r="I84" s="16"/>
      <c r="J84" s="16"/>
      <c r="K84" s="4"/>
      <c r="L84" s="3"/>
      <c r="M84" s="3"/>
      <c r="N84" s="3"/>
      <c r="O84" s="3"/>
      <c r="P84" s="3"/>
      <c r="Q84" s="3"/>
      <c r="R84" s="3"/>
      <c r="S84" s="3"/>
      <c r="T84" s="3"/>
    </row>
    <row r="85" spans="1:20" x14ac:dyDescent="0.25">
      <c r="A85" s="44" t="s">
        <v>34</v>
      </c>
      <c r="B85" s="25">
        <f>H79+H80</f>
        <v>152.1223376297238</v>
      </c>
      <c r="C85" s="16"/>
      <c r="D85" s="16"/>
      <c r="E85" s="16"/>
      <c r="F85" s="16"/>
      <c r="G85" s="16"/>
      <c r="H85" s="16"/>
      <c r="I85" s="16"/>
      <c r="J85" s="16"/>
      <c r="K85" s="4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thickBot="1" x14ac:dyDescent="0.3">
      <c r="A86" s="46" t="s">
        <v>35</v>
      </c>
      <c r="B86" s="35">
        <f>B84+B85</f>
        <v>607.9523615541973</v>
      </c>
      <c r="C86" s="37"/>
      <c r="D86" s="37"/>
      <c r="E86" s="37"/>
      <c r="F86" s="37"/>
      <c r="G86" s="37"/>
      <c r="H86" s="37"/>
      <c r="I86" s="37"/>
      <c r="J86" s="37"/>
      <c r="K86" s="41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thickBot="1" x14ac:dyDescent="0.3">
      <c r="T87" s="3"/>
    </row>
    <row r="88" spans="1:20" ht="15.75" thickBot="1" x14ac:dyDescent="0.3">
      <c r="A88" s="69" t="s">
        <v>109</v>
      </c>
      <c r="B88" s="70"/>
      <c r="C88" s="70"/>
      <c r="D88" s="70"/>
      <c r="E88" s="70"/>
      <c r="F88" s="70"/>
      <c r="G88" s="70"/>
      <c r="H88" s="70"/>
      <c r="I88" s="70"/>
      <c r="J88" s="70"/>
      <c r="K88" s="71"/>
      <c r="T88" s="3"/>
    </row>
    <row r="89" spans="1:20" ht="15.75" thickBot="1" x14ac:dyDescent="0.3">
      <c r="A89" s="7" t="s">
        <v>72</v>
      </c>
      <c r="B89" s="101"/>
      <c r="C89" s="101"/>
      <c r="D89" s="100" t="s">
        <v>51</v>
      </c>
      <c r="E89" s="3"/>
      <c r="F89" s="3"/>
      <c r="G89" s="3"/>
      <c r="H89" s="3"/>
      <c r="I89" s="3"/>
      <c r="J89" s="3"/>
      <c r="K89" s="4"/>
      <c r="T89" s="3"/>
    </row>
    <row r="90" spans="1:20" x14ac:dyDescent="0.25">
      <c r="A90" s="144" t="s">
        <v>28</v>
      </c>
      <c r="B90" s="145"/>
      <c r="C90" s="145"/>
      <c r="D90" s="48">
        <f>'1. General'!B5</f>
        <v>35</v>
      </c>
      <c r="E90" s="16"/>
      <c r="F90" s="16"/>
      <c r="G90" s="16"/>
      <c r="H90" s="16"/>
      <c r="I90" s="16"/>
      <c r="J90" s="16"/>
      <c r="K90" s="4"/>
      <c r="T90" s="3"/>
    </row>
    <row r="91" spans="1:20" x14ac:dyDescent="0.25">
      <c r="A91" s="42" t="s">
        <v>29</v>
      </c>
      <c r="B91" s="43"/>
      <c r="C91" s="43"/>
      <c r="D91" s="17">
        <f>'1. General'!B6</f>
        <v>16</v>
      </c>
      <c r="E91" s="16"/>
      <c r="F91" s="16"/>
      <c r="G91" s="16"/>
      <c r="H91" s="16"/>
      <c r="I91" s="16"/>
      <c r="J91" s="16"/>
      <c r="K91" s="4"/>
      <c r="T91" s="3"/>
    </row>
    <row r="92" spans="1:20" ht="15.75" thickBot="1" x14ac:dyDescent="0.3">
      <c r="A92" s="51" t="s">
        <v>13</v>
      </c>
      <c r="B92" s="52"/>
      <c r="C92" s="52"/>
      <c r="D92" s="20">
        <f>'1. General'!B7</f>
        <v>20</v>
      </c>
      <c r="E92" s="16"/>
      <c r="F92" s="16"/>
      <c r="G92" s="16"/>
      <c r="H92" s="16"/>
      <c r="I92" s="16"/>
      <c r="J92" s="16"/>
      <c r="K92" s="4"/>
      <c r="T92" s="3"/>
    </row>
    <row r="93" spans="1:20" ht="15.75" thickBot="1" x14ac:dyDescent="0.3">
      <c r="A93" s="42"/>
      <c r="B93" s="43"/>
      <c r="C93" s="43"/>
      <c r="D93" s="16"/>
      <c r="E93" s="16"/>
      <c r="F93" s="16"/>
      <c r="G93" s="16"/>
      <c r="H93" s="16"/>
      <c r="I93" s="16"/>
      <c r="J93" s="16"/>
      <c r="K93" s="4"/>
      <c r="T93" s="3"/>
    </row>
    <row r="94" spans="1:20" ht="15.75" thickBot="1" x14ac:dyDescent="0.3">
      <c r="A94" s="142" t="s">
        <v>73</v>
      </c>
      <c r="B94" s="143"/>
      <c r="C94" s="58" t="s">
        <v>16</v>
      </c>
      <c r="D94" s="50"/>
      <c r="E94" s="50"/>
      <c r="F94" s="50"/>
      <c r="G94" s="59"/>
      <c r="H94" s="16"/>
      <c r="I94" s="16"/>
      <c r="J94" s="16"/>
      <c r="K94" s="4"/>
      <c r="T94" s="3"/>
    </row>
    <row r="95" spans="1:20" x14ac:dyDescent="0.25">
      <c r="A95" s="55" t="s">
        <v>69</v>
      </c>
      <c r="B95" s="22" t="s">
        <v>1</v>
      </c>
      <c r="C95" s="22" t="s">
        <v>2</v>
      </c>
      <c r="D95" s="22" t="s">
        <v>3</v>
      </c>
      <c r="E95" s="22" t="s">
        <v>14</v>
      </c>
      <c r="F95" s="43" t="s">
        <v>5</v>
      </c>
      <c r="G95" s="53"/>
      <c r="H95" s="16"/>
      <c r="I95" s="16"/>
      <c r="J95" s="16"/>
      <c r="K95" s="4"/>
      <c r="T95" s="3"/>
    </row>
    <row r="96" spans="1:20" x14ac:dyDescent="0.25">
      <c r="A96" s="56">
        <v>1</v>
      </c>
      <c r="B96" s="22">
        <v>5</v>
      </c>
      <c r="C96" s="22">
        <v>0.2</v>
      </c>
      <c r="D96" s="22">
        <v>0.4</v>
      </c>
      <c r="E96" s="22">
        <v>0.2</v>
      </c>
      <c r="F96" s="22">
        <f>SUM(C96:E96)</f>
        <v>0.8</v>
      </c>
      <c r="G96" s="25"/>
      <c r="H96" s="16"/>
      <c r="I96" s="16"/>
      <c r="J96" s="16"/>
      <c r="K96" s="4"/>
      <c r="T96" s="3"/>
    </row>
    <row r="97" spans="1:20" ht="15.75" thickBot="1" x14ac:dyDescent="0.3">
      <c r="A97" s="57">
        <v>2</v>
      </c>
      <c r="B97" s="32">
        <v>4.5</v>
      </c>
      <c r="C97" s="32">
        <v>0.3</v>
      </c>
      <c r="D97" s="32">
        <v>0.5</v>
      </c>
      <c r="E97" s="32">
        <v>0.1</v>
      </c>
      <c r="F97" s="32">
        <f>SUM(C97:E97)</f>
        <v>0.9</v>
      </c>
      <c r="G97" s="35"/>
      <c r="H97" s="16"/>
      <c r="I97" s="16"/>
      <c r="J97" s="16"/>
      <c r="K97" s="4"/>
      <c r="T97" s="3"/>
    </row>
    <row r="98" spans="1:20" ht="15.75" thickBot="1" x14ac:dyDescent="0.3">
      <c r="A98" s="45"/>
      <c r="B98" s="16"/>
      <c r="C98" s="16"/>
      <c r="D98" s="16"/>
      <c r="E98" s="16"/>
      <c r="F98" s="16"/>
      <c r="G98" s="16"/>
      <c r="H98" s="16"/>
      <c r="I98" s="16"/>
      <c r="J98" s="16"/>
      <c r="K98" s="4"/>
      <c r="T98" s="3"/>
    </row>
    <row r="99" spans="1:20" ht="15.75" thickBot="1" x14ac:dyDescent="0.3">
      <c r="A99" s="49" t="s">
        <v>74</v>
      </c>
      <c r="B99" s="50"/>
      <c r="C99" s="50"/>
      <c r="D99" s="59"/>
      <c r="E99" s="16"/>
      <c r="F99" s="16"/>
      <c r="G99" s="16"/>
      <c r="H99" s="16"/>
      <c r="I99" s="16"/>
      <c r="J99" s="16"/>
      <c r="K99" s="4"/>
      <c r="T99" s="3"/>
    </row>
    <row r="100" spans="1:20" x14ac:dyDescent="0.25">
      <c r="A100" s="44" t="s">
        <v>69</v>
      </c>
      <c r="B100" s="22" t="s">
        <v>6</v>
      </c>
      <c r="C100" s="22" t="s">
        <v>7</v>
      </c>
      <c r="D100" s="25" t="s">
        <v>8</v>
      </c>
      <c r="E100" s="3"/>
      <c r="F100" s="16"/>
      <c r="G100" s="16"/>
      <c r="H100" s="16"/>
      <c r="I100" s="16"/>
      <c r="J100" s="16"/>
      <c r="K100" s="4"/>
      <c r="T100" s="3"/>
    </row>
    <row r="101" spans="1:20" x14ac:dyDescent="0.25">
      <c r="A101" s="56">
        <v>1</v>
      </c>
      <c r="B101" s="22">
        <f>((B106/B96)*(C96/$D$90)^(D96+E96)*($D$91/D96)^D96*($D$92/E96)^E96)^(1/F96)</f>
        <v>0.66873469387755036</v>
      </c>
      <c r="C101" s="22">
        <f>((B106/B96)*(D96/$D$91)^(C96+E96)*($D$90/C96)^C96*($D$92/E96)^E96)^(1/F96)</f>
        <v>2.9257142857142857</v>
      </c>
      <c r="D101" s="25">
        <f>((B106/B96)*(E96/$D$92)^(C96+D96)*($D$90/C96)^C96*($D$91/D96)^D96)^(1/F96)</f>
        <v>1.1702857142857139</v>
      </c>
      <c r="E101" s="3"/>
      <c r="F101" s="16"/>
      <c r="G101" s="16"/>
      <c r="H101" s="16"/>
      <c r="I101" s="16"/>
      <c r="J101" s="16"/>
      <c r="K101" s="4"/>
      <c r="T101" s="3"/>
    </row>
    <row r="102" spans="1:20" ht="15.75" thickBot="1" x14ac:dyDescent="0.3">
      <c r="A102" s="57">
        <v>2</v>
      </c>
      <c r="B102" s="32">
        <f>(B107/B97*(C97/$D$90)^(D97+E97)*($D$91/D97)^D97*($D$92/E97)^E97)^(1/F97)</f>
        <v>3.0113270028794781</v>
      </c>
      <c r="C102" s="32">
        <f>(B107/B97*(D97/$D$91)^(C97+E97)*($D$90/C97)^C97*($D$92/E97)^E97)^(1/F97)</f>
        <v>10.978796364664765</v>
      </c>
      <c r="D102" s="35">
        <f>((B107/B97)*(E97/$D$92)^(C97+D97)*($D$90/C97)^C97*($D$91/D97)^D97)^(1/F97)</f>
        <v>1.7566074183463631</v>
      </c>
      <c r="E102" s="3"/>
      <c r="F102" s="16"/>
      <c r="G102" s="16"/>
      <c r="H102" s="16"/>
      <c r="I102" s="16"/>
      <c r="J102" s="16"/>
      <c r="K102" s="4"/>
      <c r="T102" s="3"/>
    </row>
    <row r="103" spans="1:20" ht="15.75" thickBot="1" x14ac:dyDescent="0.3">
      <c r="A103" s="54"/>
      <c r="B103" s="22"/>
      <c r="C103" s="22"/>
      <c r="D103" s="22"/>
      <c r="E103" s="3"/>
      <c r="F103" s="16"/>
      <c r="G103" s="16"/>
      <c r="H103" s="16"/>
      <c r="I103" s="16"/>
      <c r="J103" s="16"/>
      <c r="K103" s="4"/>
      <c r="T103" s="3"/>
    </row>
    <row r="104" spans="1:20" ht="15.75" thickBot="1" x14ac:dyDescent="0.3">
      <c r="A104" s="49" t="s">
        <v>75</v>
      </c>
      <c r="B104" s="50"/>
      <c r="C104" s="50"/>
      <c r="D104" s="50"/>
      <c r="E104" s="59"/>
      <c r="F104" s="16"/>
      <c r="G104" s="16"/>
      <c r="H104" s="16"/>
      <c r="I104" s="16"/>
      <c r="J104" s="16"/>
      <c r="K104" s="4"/>
      <c r="T104" s="3"/>
    </row>
    <row r="105" spans="1:20" x14ac:dyDescent="0.25">
      <c r="A105" s="44" t="s">
        <v>69</v>
      </c>
      <c r="B105" s="60" t="s">
        <v>11</v>
      </c>
      <c r="C105" s="60"/>
      <c r="D105" s="110" t="s">
        <v>0</v>
      </c>
      <c r="E105" s="61"/>
      <c r="F105" s="16"/>
      <c r="G105" s="16"/>
      <c r="H105" s="16"/>
      <c r="I105" s="16"/>
      <c r="J105" s="16"/>
      <c r="K105" s="4"/>
      <c r="T105" s="3"/>
    </row>
    <row r="106" spans="1:20" x14ac:dyDescent="0.25">
      <c r="A106" s="56">
        <v>1</v>
      </c>
      <c r="B106" s="22">
        <f>(D91*B96^(1/F96)*C96^(C96/F96)*D96^(D96/F96)*E96^(E96/F96)*$D$90^(-C96/F96)*$D$91^(-D96/F96)*$D$92^(-E96/F96))^(F96/(1-F96))</f>
        <v>7.3142857142857105</v>
      </c>
      <c r="C106" s="22"/>
      <c r="D106" s="22">
        <f>B96*(B101^C96)*(C101^D96)*(D101^E96)</f>
        <v>7.3142857142857132</v>
      </c>
      <c r="E106" s="17"/>
      <c r="F106" s="16"/>
      <c r="G106" s="16"/>
      <c r="H106" s="16"/>
      <c r="I106" s="16"/>
      <c r="J106" s="16"/>
      <c r="K106" s="4"/>
      <c r="T106" s="3"/>
    </row>
    <row r="107" spans="1:20" ht="15.75" thickBot="1" x14ac:dyDescent="0.3">
      <c r="A107" s="57">
        <v>2</v>
      </c>
      <c r="B107" s="32">
        <f>(D91*B97^(1/F97)*C97^(C97/(F97))*D97^(D97/(F97))*E97^(E97/(F97))*$D$90^(-C97/(F97))*$D$91^(-D97/(F97))*$D$92^(-E97/(F97)))^(F97/(1-F97))</f>
        <v>21.957592729329523</v>
      </c>
      <c r="C107" s="32"/>
      <c r="D107" s="32">
        <f>B97*B102^C97*C102^D97*D102^E97</f>
        <v>21.957592729329519</v>
      </c>
      <c r="E107" s="20"/>
      <c r="F107" s="16"/>
      <c r="G107" s="16"/>
      <c r="H107" s="16"/>
      <c r="I107" s="16"/>
      <c r="J107" s="16"/>
      <c r="K107" s="4"/>
      <c r="T107" s="3"/>
    </row>
    <row r="108" spans="1:20" ht="15.75" thickBot="1" x14ac:dyDescent="0.3">
      <c r="A108" s="56"/>
      <c r="B108" s="22"/>
      <c r="C108" s="22"/>
      <c r="D108" s="22"/>
      <c r="E108" s="16"/>
      <c r="F108" s="16"/>
      <c r="G108" s="16"/>
      <c r="H108" s="16"/>
      <c r="I108" s="16"/>
      <c r="J108" s="16"/>
      <c r="K108" s="4"/>
      <c r="T108" s="3"/>
    </row>
    <row r="109" spans="1:20" ht="15.75" thickBot="1" x14ac:dyDescent="0.3">
      <c r="A109" s="49" t="s">
        <v>81</v>
      </c>
      <c r="B109" s="59"/>
      <c r="C109" s="16"/>
      <c r="D109" s="16"/>
      <c r="E109" s="16"/>
      <c r="F109" s="16"/>
      <c r="G109" s="16"/>
      <c r="H109" s="16"/>
      <c r="I109" s="16"/>
      <c r="J109" s="16"/>
      <c r="K109" s="4"/>
      <c r="T109" s="3"/>
    </row>
    <row r="110" spans="1:20" x14ac:dyDescent="0.25">
      <c r="A110" s="44" t="s">
        <v>69</v>
      </c>
      <c r="B110" s="17"/>
      <c r="C110" s="16"/>
      <c r="D110" s="16"/>
      <c r="E110" s="16"/>
      <c r="F110" s="16"/>
      <c r="G110" s="16"/>
      <c r="H110" s="16"/>
      <c r="I110" s="16"/>
      <c r="J110" s="16"/>
      <c r="K110" s="4"/>
      <c r="T110" s="3"/>
    </row>
    <row r="111" spans="1:20" x14ac:dyDescent="0.25">
      <c r="A111" s="56">
        <v>1</v>
      </c>
      <c r="B111" s="25">
        <f>D91*B106-D90*B101-D91*C101-D92*D101</f>
        <v>23.40571428571425</v>
      </c>
      <c r="C111" s="16"/>
      <c r="D111" s="16"/>
      <c r="E111" s="16"/>
      <c r="F111" s="16"/>
      <c r="G111" s="16"/>
      <c r="H111" s="16"/>
      <c r="I111" s="16"/>
      <c r="J111" s="16"/>
      <c r="K111" s="4"/>
      <c r="T111" s="3"/>
    </row>
    <row r="112" spans="1:20" ht="15.75" thickBot="1" x14ac:dyDescent="0.3">
      <c r="A112" s="57">
        <v>2</v>
      </c>
      <c r="B112" s="35">
        <f>D91*B107-D90*B102-D91*C102-D92*D102</f>
        <v>35.132148366927133</v>
      </c>
      <c r="C112" s="16"/>
      <c r="D112" s="16"/>
      <c r="E112" s="16"/>
      <c r="F112" s="16"/>
      <c r="G112" s="16"/>
      <c r="H112" s="16"/>
      <c r="I112" s="16"/>
      <c r="J112" s="16"/>
      <c r="K112" s="4"/>
      <c r="T112" s="3"/>
    </row>
    <row r="113" spans="1:20" ht="15.75" thickBot="1" x14ac:dyDescent="0.3">
      <c r="A113" s="45"/>
      <c r="B113" s="16"/>
      <c r="C113" s="16"/>
      <c r="D113" s="16"/>
      <c r="E113" s="16"/>
      <c r="F113" s="16"/>
      <c r="G113" s="16"/>
      <c r="H113" s="16"/>
      <c r="I113" s="16"/>
      <c r="J113" s="16"/>
      <c r="K113" s="4"/>
      <c r="T113" s="3"/>
    </row>
    <row r="114" spans="1:20" ht="15.75" thickBot="1" x14ac:dyDescent="0.3">
      <c r="A114" s="49" t="s">
        <v>76</v>
      </c>
      <c r="B114" s="50"/>
      <c r="C114" s="50"/>
      <c r="D114" s="50"/>
      <c r="E114" s="50"/>
      <c r="F114" s="50"/>
      <c r="G114" s="50"/>
      <c r="H114" s="50"/>
      <c r="I114" s="50"/>
      <c r="J114" s="50"/>
      <c r="K114" s="9"/>
      <c r="O114" s="3"/>
      <c r="T114" s="3"/>
    </row>
    <row r="115" spans="1:20" x14ac:dyDescent="0.25">
      <c r="A115" s="136" t="s">
        <v>69</v>
      </c>
      <c r="B115" s="21" t="s">
        <v>43</v>
      </c>
      <c r="C115" s="23" t="s">
        <v>44</v>
      </c>
      <c r="D115" s="21" t="s">
        <v>40</v>
      </c>
      <c r="E115" s="23" t="s">
        <v>45</v>
      </c>
      <c r="F115" s="21" t="s">
        <v>41</v>
      </c>
      <c r="G115" s="22" t="s">
        <v>46</v>
      </c>
      <c r="H115" s="22" t="s">
        <v>46</v>
      </c>
      <c r="I115" s="23" t="s">
        <v>47</v>
      </c>
      <c r="J115" s="22" t="s">
        <v>42</v>
      </c>
      <c r="K115" s="25" t="s">
        <v>48</v>
      </c>
      <c r="T115" s="3"/>
    </row>
    <row r="116" spans="1:20" x14ac:dyDescent="0.25">
      <c r="A116" s="136"/>
      <c r="B116" s="21" t="s">
        <v>17</v>
      </c>
      <c r="C116" s="23" t="s">
        <v>18</v>
      </c>
      <c r="D116" s="21" t="s">
        <v>20</v>
      </c>
      <c r="E116" s="23" t="s">
        <v>32</v>
      </c>
      <c r="F116" s="21" t="s">
        <v>21</v>
      </c>
      <c r="G116" s="22" t="s">
        <v>18</v>
      </c>
      <c r="H116" s="107" t="s">
        <v>88</v>
      </c>
      <c r="I116" s="23" t="s">
        <v>89</v>
      </c>
      <c r="J116" s="40" t="s">
        <v>33</v>
      </c>
      <c r="K116" s="25" t="s">
        <v>22</v>
      </c>
      <c r="T116" s="3"/>
    </row>
    <row r="117" spans="1:20" x14ac:dyDescent="0.25">
      <c r="A117" s="64">
        <v>1</v>
      </c>
      <c r="B117" s="65">
        <f>D91*F96*B106</f>
        <v>93.6228571428571</v>
      </c>
      <c r="C117" s="66">
        <f>D90*B101+D91*C101+D92*D101</f>
        <v>93.622857142857114</v>
      </c>
      <c r="D117" s="65">
        <f>F96*B106</f>
        <v>5.8514285714285688</v>
      </c>
      <c r="E117" s="66">
        <f>B106-B111/D91</f>
        <v>5.8514285714285696</v>
      </c>
      <c r="F117" s="65">
        <f>D91*B106</f>
        <v>117.02857142857137</v>
      </c>
      <c r="G117" s="67">
        <f>D90*B101+D91*C101+D92*D101</f>
        <v>93.622857142857114</v>
      </c>
      <c r="H117" s="67">
        <f>B111</f>
        <v>23.40571428571425</v>
      </c>
      <c r="I117" s="66">
        <f>G117+H117</f>
        <v>117.02857142857137</v>
      </c>
      <c r="J117" s="67">
        <f>B111/D91</f>
        <v>1.4628571428571406</v>
      </c>
      <c r="K117" s="68">
        <f>(1-F96)*B106</f>
        <v>1.4628571428571417</v>
      </c>
      <c r="T117" s="3"/>
    </row>
    <row r="118" spans="1:20" ht="15.75" thickBot="1" x14ac:dyDescent="0.3">
      <c r="A118" s="63">
        <v>2</v>
      </c>
      <c r="B118" s="31">
        <f>D91*F97*B107</f>
        <v>316.18933530234511</v>
      </c>
      <c r="C118" s="33">
        <f>D90*B102+D91*C102+D92*D102</f>
        <v>316.18933530234523</v>
      </c>
      <c r="D118" s="31">
        <f>F97*B107</f>
        <v>19.76183345639657</v>
      </c>
      <c r="E118" s="33">
        <f>B107-B112/D91</f>
        <v>19.761833456396577</v>
      </c>
      <c r="F118" s="31">
        <f>D91*B107</f>
        <v>351.32148366927237</v>
      </c>
      <c r="G118" s="32">
        <f>D90*B102+D91*C102+D92*D102</f>
        <v>316.18933530234523</v>
      </c>
      <c r="H118" s="32">
        <f>B112</f>
        <v>35.132148366927133</v>
      </c>
      <c r="I118" s="33">
        <f>G118+H118</f>
        <v>351.32148366927237</v>
      </c>
      <c r="J118" s="32">
        <f>B112/D91</f>
        <v>2.1957592729329458</v>
      </c>
      <c r="K118" s="35">
        <f>(1-F97)*B107</f>
        <v>2.195759272932952</v>
      </c>
      <c r="T118" s="3"/>
    </row>
    <row r="119" spans="1:20" ht="15.75" thickBot="1" x14ac:dyDescent="0.3">
      <c r="A119" s="45"/>
      <c r="B119" s="16"/>
      <c r="C119" s="16"/>
      <c r="D119" s="16"/>
      <c r="E119" s="16"/>
      <c r="F119" s="16"/>
      <c r="G119" s="16"/>
      <c r="H119" s="16"/>
      <c r="I119" s="16"/>
      <c r="J119" s="16"/>
      <c r="K119" s="17"/>
      <c r="T119" s="3"/>
    </row>
    <row r="120" spans="1:20" ht="15.75" thickBot="1" x14ac:dyDescent="0.3">
      <c r="A120" s="49" t="s">
        <v>77</v>
      </c>
      <c r="B120" s="79" t="s">
        <v>53</v>
      </c>
      <c r="C120" s="16"/>
      <c r="D120" s="16"/>
      <c r="E120" s="16"/>
      <c r="F120" s="16"/>
      <c r="G120" s="16"/>
      <c r="H120" s="16"/>
      <c r="I120" s="16"/>
      <c r="J120" s="16"/>
      <c r="K120" s="4"/>
      <c r="T120" s="3"/>
    </row>
    <row r="121" spans="1:20" x14ac:dyDescent="0.25">
      <c r="A121" s="44" t="s">
        <v>23</v>
      </c>
      <c r="B121" s="25">
        <f>F117+F118</f>
        <v>468.35005509784372</v>
      </c>
      <c r="C121" s="16"/>
      <c r="D121" s="16"/>
      <c r="E121" s="16"/>
      <c r="F121" s="16"/>
      <c r="G121" s="16"/>
      <c r="H121" s="16"/>
      <c r="I121" s="16"/>
      <c r="J121" s="16"/>
      <c r="K121" s="4"/>
      <c r="T121" s="3"/>
    </row>
    <row r="122" spans="1:20" x14ac:dyDescent="0.25">
      <c r="A122" s="44" t="s">
        <v>24</v>
      </c>
      <c r="B122" s="25">
        <f>G117+G118</f>
        <v>409.81219244520236</v>
      </c>
      <c r="C122" s="3"/>
      <c r="D122" s="16"/>
      <c r="E122" s="16"/>
      <c r="F122" s="16"/>
      <c r="G122" s="16"/>
      <c r="H122" s="16"/>
      <c r="I122" s="16"/>
      <c r="J122" s="16"/>
      <c r="K122" s="4"/>
      <c r="T122" s="3"/>
    </row>
    <row r="123" spans="1:20" x14ac:dyDescent="0.25">
      <c r="A123" s="44" t="s">
        <v>34</v>
      </c>
      <c r="B123" s="25">
        <f>H117+H118</f>
        <v>58.53786265264138</v>
      </c>
      <c r="C123" s="16"/>
      <c r="D123" s="16"/>
      <c r="E123" s="16"/>
      <c r="F123" s="16"/>
      <c r="G123" s="16"/>
      <c r="H123" s="16"/>
      <c r="I123" s="16"/>
      <c r="J123" s="16"/>
      <c r="K123" s="4"/>
      <c r="T123" s="3"/>
    </row>
    <row r="124" spans="1:20" ht="15.75" thickBot="1" x14ac:dyDescent="0.3">
      <c r="A124" s="46" t="s">
        <v>35</v>
      </c>
      <c r="B124" s="35">
        <f>B122+B123</f>
        <v>468.35005509784372</v>
      </c>
      <c r="C124" s="37"/>
      <c r="D124" s="37"/>
      <c r="E124" s="37"/>
      <c r="F124" s="37"/>
      <c r="G124" s="37"/>
      <c r="H124" s="37"/>
      <c r="I124" s="37"/>
      <c r="J124" s="37"/>
      <c r="K124" s="41"/>
    </row>
    <row r="125" spans="1:20" ht="15.75" thickBot="1" x14ac:dyDescent="0.3"/>
    <row r="126" spans="1:20" ht="15.75" thickBot="1" x14ac:dyDescent="0.3">
      <c r="A126" s="69" t="s">
        <v>110</v>
      </c>
      <c r="B126" s="70"/>
      <c r="C126" s="70"/>
      <c r="D126" s="70"/>
      <c r="E126" s="70"/>
      <c r="F126" s="70"/>
      <c r="G126" s="70"/>
      <c r="H126" s="70"/>
      <c r="I126" s="70"/>
      <c r="J126" s="70"/>
      <c r="K126" s="71"/>
    </row>
    <row r="127" spans="1:20" ht="15.75" thickBot="1" x14ac:dyDescent="0.3">
      <c r="A127" s="7" t="s">
        <v>72</v>
      </c>
      <c r="B127" s="101"/>
      <c r="C127" s="101"/>
      <c r="D127" s="100" t="s">
        <v>51</v>
      </c>
      <c r="E127" s="3"/>
      <c r="F127" s="3"/>
      <c r="G127" s="3"/>
      <c r="H127" s="3"/>
      <c r="I127" s="3"/>
      <c r="J127" s="3"/>
      <c r="K127" s="4"/>
    </row>
    <row r="128" spans="1:20" x14ac:dyDescent="0.25">
      <c r="A128" s="144" t="s">
        <v>28</v>
      </c>
      <c r="B128" s="145"/>
      <c r="C128" s="145"/>
      <c r="D128" s="48">
        <f>'1. General'!B5</f>
        <v>35</v>
      </c>
      <c r="E128" s="16"/>
      <c r="F128" s="16"/>
      <c r="G128" s="16"/>
      <c r="H128" s="16"/>
      <c r="I128" s="16"/>
      <c r="J128" s="16"/>
      <c r="K128" s="4"/>
    </row>
    <row r="129" spans="1:11" x14ac:dyDescent="0.25">
      <c r="A129" s="42" t="s">
        <v>12</v>
      </c>
      <c r="B129" s="43"/>
      <c r="C129" s="43"/>
      <c r="D129" s="17">
        <f>'1. General'!B6</f>
        <v>16</v>
      </c>
      <c r="E129" s="16"/>
      <c r="F129" s="16"/>
      <c r="G129" s="16"/>
      <c r="H129" s="16"/>
      <c r="I129" s="16"/>
      <c r="J129" s="16"/>
      <c r="K129" s="4"/>
    </row>
    <row r="130" spans="1:11" ht="15.75" thickBot="1" x14ac:dyDescent="0.3">
      <c r="A130" s="51" t="s">
        <v>30</v>
      </c>
      <c r="B130" s="52"/>
      <c r="C130" s="52"/>
      <c r="D130" s="20">
        <f>'1. General'!B7</f>
        <v>20</v>
      </c>
      <c r="E130" s="16"/>
      <c r="F130" s="16"/>
      <c r="G130" s="16"/>
      <c r="H130" s="16"/>
      <c r="I130" s="16"/>
      <c r="J130" s="16"/>
      <c r="K130" s="4"/>
    </row>
    <row r="131" spans="1:11" ht="15.75" thickBot="1" x14ac:dyDescent="0.3">
      <c r="A131" s="42"/>
      <c r="B131" s="43"/>
      <c r="C131" s="43"/>
      <c r="D131" s="16"/>
      <c r="E131" s="16"/>
      <c r="F131" s="16"/>
      <c r="G131" s="16"/>
      <c r="H131" s="16"/>
      <c r="I131" s="16"/>
      <c r="J131" s="16"/>
      <c r="K131" s="4"/>
    </row>
    <row r="132" spans="1:11" ht="15.75" thickBot="1" x14ac:dyDescent="0.3">
      <c r="A132" s="142" t="s">
        <v>73</v>
      </c>
      <c r="B132" s="143"/>
      <c r="C132" s="58" t="s">
        <v>16</v>
      </c>
      <c r="D132" s="50"/>
      <c r="E132" s="50"/>
      <c r="F132" s="50"/>
      <c r="G132" s="59"/>
      <c r="H132" s="16"/>
      <c r="I132" s="16"/>
      <c r="J132" s="16"/>
      <c r="K132" s="4"/>
    </row>
    <row r="133" spans="1:11" x14ac:dyDescent="0.25">
      <c r="A133" s="55" t="s">
        <v>69</v>
      </c>
      <c r="B133" s="22" t="s">
        <v>1</v>
      </c>
      <c r="C133" s="22" t="s">
        <v>2</v>
      </c>
      <c r="D133" s="22" t="s">
        <v>3</v>
      </c>
      <c r="E133" s="22" t="s">
        <v>14</v>
      </c>
      <c r="F133" s="43" t="s">
        <v>5</v>
      </c>
      <c r="G133" s="53"/>
      <c r="H133" s="16"/>
      <c r="I133" s="16"/>
      <c r="J133" s="16"/>
      <c r="K133" s="4"/>
    </row>
    <row r="134" spans="1:11" x14ac:dyDescent="0.25">
      <c r="A134" s="56">
        <v>1</v>
      </c>
      <c r="B134" s="22">
        <v>6</v>
      </c>
      <c r="C134" s="22">
        <v>0.3</v>
      </c>
      <c r="D134" s="22">
        <v>0.1</v>
      </c>
      <c r="E134" s="22">
        <v>0.1</v>
      </c>
      <c r="F134" s="22">
        <f>SUM(C134:E134)</f>
        <v>0.5</v>
      </c>
      <c r="G134" s="25"/>
      <c r="H134" s="16"/>
      <c r="I134" s="16"/>
      <c r="J134" s="16"/>
      <c r="K134" s="4"/>
    </row>
    <row r="135" spans="1:11" ht="15.75" thickBot="1" x14ac:dyDescent="0.3">
      <c r="A135" s="57">
        <v>2</v>
      </c>
      <c r="B135" s="32">
        <v>5</v>
      </c>
      <c r="C135" s="32">
        <v>0.5</v>
      </c>
      <c r="D135" s="32">
        <v>0.1</v>
      </c>
      <c r="E135" s="32">
        <v>0.15</v>
      </c>
      <c r="F135" s="32">
        <f>SUM(C135:E135)</f>
        <v>0.75</v>
      </c>
      <c r="G135" s="35"/>
      <c r="H135" s="16"/>
      <c r="I135" s="16"/>
      <c r="J135" s="16"/>
      <c r="K135" s="4"/>
    </row>
    <row r="136" spans="1:11" ht="15.75" thickBot="1" x14ac:dyDescent="0.3">
      <c r="A136" s="45"/>
      <c r="B136" s="16"/>
      <c r="C136" s="16"/>
      <c r="D136" s="16"/>
      <c r="E136" s="16"/>
      <c r="F136" s="16"/>
      <c r="G136" s="16"/>
      <c r="H136" s="16"/>
      <c r="I136" s="16"/>
      <c r="J136" s="16"/>
      <c r="K136" s="4"/>
    </row>
    <row r="137" spans="1:11" ht="15.75" thickBot="1" x14ac:dyDescent="0.3">
      <c r="A137" s="49" t="s">
        <v>74</v>
      </c>
      <c r="B137" s="50"/>
      <c r="C137" s="50"/>
      <c r="D137" s="59"/>
      <c r="E137" s="16"/>
      <c r="F137" s="16"/>
      <c r="G137" s="16"/>
      <c r="H137" s="16"/>
      <c r="I137" s="16"/>
      <c r="J137" s="16"/>
      <c r="K137" s="4"/>
    </row>
    <row r="138" spans="1:11" x14ac:dyDescent="0.25">
      <c r="A138" s="44" t="s">
        <v>69</v>
      </c>
      <c r="B138" s="22" t="s">
        <v>6</v>
      </c>
      <c r="C138" s="22" t="s">
        <v>7</v>
      </c>
      <c r="D138" s="25" t="s">
        <v>8</v>
      </c>
      <c r="E138" s="3"/>
      <c r="F138" s="16"/>
      <c r="G138" s="16"/>
      <c r="H138" s="16"/>
      <c r="I138" s="16"/>
      <c r="J138" s="16"/>
      <c r="K138" s="4"/>
    </row>
    <row r="139" spans="1:11" x14ac:dyDescent="0.25">
      <c r="A139" s="56">
        <v>1</v>
      </c>
      <c r="B139" s="22">
        <f>((B144/B134)*(C134/$D$128)^(D134+E134)*($D$129/D134)^D134*($D$130/E134)^E134)^(1/F134)</f>
        <v>0.89169767243817566</v>
      </c>
      <c r="C139" s="22">
        <f>((B144/B134)*(D134/$D$129)^(C134+E134)*($D$128/C134)^C134*($D$130/E134)^E134)^(1/F134)</f>
        <v>0.65019621948617057</v>
      </c>
      <c r="D139" s="25">
        <f>((B144/B134)*(E134/$D$130)^(C134+D134)*($D$128/C134)^C134*($D$129/D134)^D134)^(1/F134)</f>
        <v>0.52015697558893625</v>
      </c>
      <c r="E139" s="3"/>
      <c r="F139" s="16"/>
      <c r="G139" s="16"/>
      <c r="H139" s="16"/>
      <c r="I139" s="16"/>
      <c r="J139" s="16"/>
      <c r="K139" s="4"/>
    </row>
    <row r="140" spans="1:11" ht="15.75" thickBot="1" x14ac:dyDescent="0.3">
      <c r="A140" s="57">
        <v>2</v>
      </c>
      <c r="B140" s="32">
        <f>(B145/B135*(C135/$D$128)^(D135+E135)*($D$129/D135)^D135*($D$130/E135)^E135)^(1/F135)</f>
        <v>2.0327999667088714</v>
      </c>
      <c r="C140" s="32">
        <f>(B145/B135*(D135/$D$129)^(C135+E135)*($D$128/C135)^C135*($D$130/E135)^E135)^(1/F135)</f>
        <v>0.88934998543513166</v>
      </c>
      <c r="D140" s="35">
        <f>((B145/B135)*(E135/$D$130)^(C135+D135)*($D$128/C135)^C135*($D$129/D135)^D135)^(1/F135)</f>
        <v>1.0672199825221569</v>
      </c>
      <c r="E140" s="3"/>
      <c r="F140" s="16"/>
      <c r="G140" s="16"/>
      <c r="H140" s="16"/>
      <c r="I140" s="16"/>
      <c r="J140" s="16"/>
      <c r="K140" s="4"/>
    </row>
    <row r="141" spans="1:11" ht="15.75" thickBot="1" x14ac:dyDescent="0.3">
      <c r="A141" s="54"/>
      <c r="B141" s="22"/>
      <c r="C141" s="22"/>
      <c r="D141" s="22"/>
      <c r="E141" s="3"/>
      <c r="F141" s="16"/>
      <c r="G141" s="16"/>
      <c r="H141" s="16"/>
      <c r="I141" s="16"/>
      <c r="J141" s="16"/>
      <c r="K141" s="4"/>
    </row>
    <row r="142" spans="1:11" ht="15.75" thickBot="1" x14ac:dyDescent="0.3">
      <c r="A142" s="49" t="s">
        <v>75</v>
      </c>
      <c r="B142" s="50"/>
      <c r="C142" s="50"/>
      <c r="D142" s="50"/>
      <c r="E142" s="59"/>
      <c r="F142" s="16"/>
      <c r="G142" s="16"/>
      <c r="H142" s="16"/>
      <c r="I142" s="16"/>
      <c r="J142" s="16"/>
      <c r="K142" s="4"/>
    </row>
    <row r="143" spans="1:11" x14ac:dyDescent="0.25">
      <c r="A143" s="44" t="s">
        <v>69</v>
      </c>
      <c r="B143" s="60" t="s">
        <v>11</v>
      </c>
      <c r="C143" s="60"/>
      <c r="D143" s="110" t="s">
        <v>0</v>
      </c>
      <c r="E143" s="61"/>
      <c r="F143" s="16"/>
      <c r="G143" s="16"/>
      <c r="H143" s="16"/>
      <c r="I143" s="16"/>
      <c r="J143" s="16"/>
      <c r="K143" s="4"/>
    </row>
    <row r="144" spans="1:11" x14ac:dyDescent="0.25">
      <c r="A144" s="56">
        <v>1</v>
      </c>
      <c r="B144" s="22">
        <f>(D130*B134^(1/F134)*C134^(C134/F134)*D134^(D134/F134)*E134^(E134/F134)*$D$128^(-C134/F134)*$D$129^(-D134/F134)*$D$130^(-E134/F134))^(F134/(1-F134))</f>
        <v>5.2015697558893592</v>
      </c>
      <c r="C144" s="22"/>
      <c r="D144" s="22">
        <f>B134*(B139^C134)*(C139^D134)*(D139^E134)</f>
        <v>5.2015697558893592</v>
      </c>
      <c r="E144" s="17"/>
      <c r="F144" s="16"/>
      <c r="G144" s="16"/>
      <c r="H144" s="16"/>
      <c r="I144" s="16"/>
      <c r="J144" s="16"/>
      <c r="K144" s="4"/>
    </row>
    <row r="145" spans="1:11" ht="15.75" thickBot="1" x14ac:dyDescent="0.3">
      <c r="A145" s="57">
        <v>2</v>
      </c>
      <c r="B145" s="32">
        <f>(D130*B135^(1/F135)*C135^(C135/(F135))*D135^(D135/(F135))*E135^(E135/(F135))*$D$128^(-C135/(F135))*$D$129^(-D135/(F135))*$D$130^(-E135/(F135)))^(F135/(1-F135))</f>
        <v>7.114799883481048</v>
      </c>
      <c r="C145" s="32"/>
      <c r="D145" s="32">
        <f>B135*B140^C135*C140^D135*D140^E135</f>
        <v>7.1147998834810489</v>
      </c>
      <c r="E145" s="20"/>
      <c r="F145" s="16"/>
      <c r="G145" s="16"/>
      <c r="H145" s="16"/>
      <c r="I145" s="16"/>
      <c r="J145" s="16"/>
      <c r="K145" s="4"/>
    </row>
    <row r="146" spans="1:11" ht="15.75" thickBot="1" x14ac:dyDescent="0.3">
      <c r="A146" s="56"/>
      <c r="B146" s="22"/>
      <c r="C146" s="22"/>
      <c r="D146" s="22"/>
      <c r="E146" s="16"/>
      <c r="F146" s="16"/>
      <c r="G146" s="16"/>
      <c r="H146" s="16"/>
      <c r="I146" s="16"/>
      <c r="J146" s="16"/>
      <c r="K146" s="4"/>
    </row>
    <row r="147" spans="1:11" ht="15.75" thickBot="1" x14ac:dyDescent="0.3">
      <c r="A147" s="49" t="s">
        <v>81</v>
      </c>
      <c r="B147" s="59"/>
      <c r="C147" s="16"/>
      <c r="D147" s="16"/>
      <c r="E147" s="16"/>
      <c r="F147" s="16"/>
      <c r="G147" s="16"/>
      <c r="H147" s="16"/>
      <c r="I147" s="16"/>
      <c r="J147" s="16"/>
      <c r="K147" s="4"/>
    </row>
    <row r="148" spans="1:11" x14ac:dyDescent="0.25">
      <c r="A148" s="44" t="s">
        <v>69</v>
      </c>
      <c r="B148" s="17"/>
      <c r="C148" s="16"/>
      <c r="D148" s="16"/>
      <c r="E148" s="16"/>
      <c r="F148" s="16"/>
      <c r="G148" s="16"/>
      <c r="H148" s="16"/>
      <c r="I148" s="16"/>
      <c r="J148" s="16"/>
      <c r="K148" s="4"/>
    </row>
    <row r="149" spans="1:11" x14ac:dyDescent="0.25">
      <c r="A149" s="56">
        <v>1</v>
      </c>
      <c r="B149" s="25">
        <f>D130*B144-D128*B139-D129*C139-D130*D139</f>
        <v>52.015697558893585</v>
      </c>
      <c r="C149" s="16"/>
      <c r="D149" s="16"/>
      <c r="E149" s="16"/>
      <c r="F149" s="16"/>
      <c r="G149" s="16"/>
      <c r="H149" s="16"/>
      <c r="I149" s="16"/>
      <c r="J149" s="16"/>
      <c r="K149" s="4"/>
    </row>
    <row r="150" spans="1:11" ht="15.75" thickBot="1" x14ac:dyDescent="0.3">
      <c r="A150" s="57">
        <v>2</v>
      </c>
      <c r="B150" s="35">
        <f>D130*B145-D128*B140-D129*C140-D130*D140</f>
        <v>35.573999417405219</v>
      </c>
      <c r="C150" s="16"/>
      <c r="D150" s="16"/>
      <c r="E150" s="16"/>
      <c r="F150" s="16"/>
      <c r="G150" s="16"/>
      <c r="H150" s="16"/>
      <c r="I150" s="16"/>
      <c r="J150" s="16"/>
      <c r="K150" s="4"/>
    </row>
    <row r="151" spans="1:11" ht="15.75" thickBot="1" x14ac:dyDescent="0.3">
      <c r="A151" s="45"/>
      <c r="B151" s="16"/>
      <c r="C151" s="16"/>
      <c r="D151" s="16"/>
      <c r="E151" s="16"/>
      <c r="F151" s="16"/>
      <c r="G151" s="16"/>
      <c r="H151" s="16"/>
      <c r="I151" s="16"/>
      <c r="J151" s="16"/>
      <c r="K151" s="4"/>
    </row>
    <row r="152" spans="1:11" ht="15.75" thickBot="1" x14ac:dyDescent="0.3">
      <c r="A152" s="49" t="s">
        <v>76</v>
      </c>
      <c r="B152" s="50"/>
      <c r="C152" s="50"/>
      <c r="D152" s="50"/>
      <c r="E152" s="50"/>
      <c r="F152" s="50"/>
      <c r="G152" s="50"/>
      <c r="H152" s="50"/>
      <c r="I152" s="50"/>
      <c r="J152" s="50"/>
      <c r="K152" s="9"/>
    </row>
    <row r="153" spans="1:11" x14ac:dyDescent="0.25">
      <c r="A153" s="136" t="s">
        <v>69</v>
      </c>
      <c r="B153" s="21" t="s">
        <v>43</v>
      </c>
      <c r="C153" s="23" t="s">
        <v>44</v>
      </c>
      <c r="D153" s="21" t="s">
        <v>40</v>
      </c>
      <c r="E153" s="23" t="s">
        <v>45</v>
      </c>
      <c r="F153" s="21" t="s">
        <v>41</v>
      </c>
      <c r="G153" s="22" t="s">
        <v>46</v>
      </c>
      <c r="H153" s="22" t="s">
        <v>46</v>
      </c>
      <c r="I153" s="23" t="s">
        <v>47</v>
      </c>
      <c r="J153" s="22" t="s">
        <v>42</v>
      </c>
      <c r="K153" s="25" t="s">
        <v>48</v>
      </c>
    </row>
    <row r="154" spans="1:11" x14ac:dyDescent="0.25">
      <c r="A154" s="136"/>
      <c r="B154" s="21" t="s">
        <v>17</v>
      </c>
      <c r="C154" s="23" t="s">
        <v>18</v>
      </c>
      <c r="D154" s="21" t="s">
        <v>20</v>
      </c>
      <c r="E154" s="23" t="s">
        <v>32</v>
      </c>
      <c r="F154" s="21" t="s">
        <v>21</v>
      </c>
      <c r="G154" s="22" t="s">
        <v>18</v>
      </c>
      <c r="H154" s="22" t="s">
        <v>88</v>
      </c>
      <c r="I154" s="23" t="s">
        <v>89</v>
      </c>
      <c r="J154" s="40" t="s">
        <v>33</v>
      </c>
      <c r="K154" s="25" t="s">
        <v>22</v>
      </c>
    </row>
    <row r="155" spans="1:11" x14ac:dyDescent="0.25">
      <c r="A155" s="64">
        <v>1</v>
      </c>
      <c r="B155" s="65">
        <f>D130*F134*B144</f>
        <v>52.015697558893592</v>
      </c>
      <c r="C155" s="66">
        <f>D128*B139+D129*C139+D130*D139</f>
        <v>52.015697558893599</v>
      </c>
      <c r="D155" s="65">
        <f>F134*B144</f>
        <v>2.6007848779446796</v>
      </c>
      <c r="E155" s="66">
        <f>B144-B149/D130</f>
        <v>2.6007848779446801</v>
      </c>
      <c r="F155" s="65">
        <f>D130*B144</f>
        <v>104.03139511778718</v>
      </c>
      <c r="G155" s="67">
        <f>D128*B139+D129*C139+D130*D139</f>
        <v>52.015697558893599</v>
      </c>
      <c r="H155" s="67">
        <f>B149</f>
        <v>52.015697558893585</v>
      </c>
      <c r="I155" s="66">
        <f>G155+H155</f>
        <v>104.03139511778718</v>
      </c>
      <c r="J155" s="67">
        <f>B149/D130</f>
        <v>2.6007848779446792</v>
      </c>
      <c r="K155" s="68">
        <f>(1-F134)*B144</f>
        <v>2.6007848779446796</v>
      </c>
    </row>
    <row r="156" spans="1:11" ht="15.75" thickBot="1" x14ac:dyDescent="0.3">
      <c r="A156" s="63">
        <v>2</v>
      </c>
      <c r="B156" s="31">
        <f>D130*F135*B145</f>
        <v>106.72199825221571</v>
      </c>
      <c r="C156" s="33">
        <f>D128*B140+D129*C140+D130*D140</f>
        <v>106.72199825221574</v>
      </c>
      <c r="D156" s="31">
        <f>F135*B145</f>
        <v>5.336099912610786</v>
      </c>
      <c r="E156" s="33">
        <f>B145-B150/D130</f>
        <v>5.3360999126107869</v>
      </c>
      <c r="F156" s="31">
        <f>D130*B145</f>
        <v>142.29599766962096</v>
      </c>
      <c r="G156" s="32">
        <f>D128*B140+D129*C140+D130*D140</f>
        <v>106.72199825221574</v>
      </c>
      <c r="H156" s="32">
        <f>B150</f>
        <v>35.573999417405219</v>
      </c>
      <c r="I156" s="33">
        <f>G156+H156</f>
        <v>142.29599766962096</v>
      </c>
      <c r="J156" s="32">
        <f>B150/D130</f>
        <v>1.7786999708702609</v>
      </c>
      <c r="K156" s="35">
        <f>(1-F135)*B145</f>
        <v>1.778699970870262</v>
      </c>
    </row>
    <row r="157" spans="1:11" ht="15.75" thickBot="1" x14ac:dyDescent="0.3">
      <c r="A157" s="45"/>
      <c r="B157" s="16"/>
      <c r="C157" s="16"/>
      <c r="D157" s="16"/>
      <c r="E157" s="16"/>
      <c r="F157" s="16"/>
      <c r="G157" s="16"/>
      <c r="H157" s="16"/>
      <c r="I157" s="16"/>
      <c r="J157" s="16"/>
      <c r="K157" s="17"/>
    </row>
    <row r="158" spans="1:11" ht="15.75" thickBot="1" x14ac:dyDescent="0.3">
      <c r="A158" s="49" t="s">
        <v>77</v>
      </c>
      <c r="B158" s="79" t="s">
        <v>53</v>
      </c>
      <c r="C158" s="16"/>
      <c r="D158" s="16"/>
      <c r="E158" s="16"/>
      <c r="F158" s="16"/>
      <c r="G158" s="16"/>
      <c r="H158" s="16"/>
      <c r="I158" s="16"/>
      <c r="J158" s="16"/>
      <c r="K158" s="4"/>
    </row>
    <row r="159" spans="1:11" x14ac:dyDescent="0.25">
      <c r="A159" s="44" t="s">
        <v>23</v>
      </c>
      <c r="B159" s="25">
        <f>F155+F156</f>
        <v>246.32739278740814</v>
      </c>
      <c r="C159" s="16"/>
      <c r="D159" s="16"/>
      <c r="E159" s="16"/>
      <c r="F159" s="16"/>
      <c r="G159" s="16"/>
      <c r="H159" s="16"/>
      <c r="I159" s="16"/>
      <c r="J159" s="16"/>
      <c r="K159" s="4"/>
    </row>
    <row r="160" spans="1:11" x14ac:dyDescent="0.25">
      <c r="A160" s="44" t="s">
        <v>24</v>
      </c>
      <c r="B160" s="25">
        <f>G155+G156</f>
        <v>158.73769581110935</v>
      </c>
      <c r="C160" s="3"/>
      <c r="D160" s="16"/>
      <c r="E160" s="16"/>
      <c r="F160" s="16"/>
      <c r="G160" s="16"/>
      <c r="H160" s="16"/>
      <c r="I160" s="16"/>
      <c r="J160" s="16"/>
      <c r="K160" s="4"/>
    </row>
    <row r="161" spans="1:11" x14ac:dyDescent="0.25">
      <c r="A161" s="44" t="s">
        <v>34</v>
      </c>
      <c r="B161" s="25">
        <f>H155+H156</f>
        <v>87.589696976298796</v>
      </c>
      <c r="C161" s="16"/>
      <c r="D161" s="16"/>
      <c r="E161" s="16"/>
      <c r="F161" s="16"/>
      <c r="G161" s="16"/>
      <c r="H161" s="16"/>
      <c r="I161" s="16"/>
      <c r="J161" s="16"/>
      <c r="K161" s="4"/>
    </row>
    <row r="162" spans="1:11" ht="15.75" thickBot="1" x14ac:dyDescent="0.3">
      <c r="A162" s="46" t="s">
        <v>35</v>
      </c>
      <c r="B162" s="35">
        <f>B160+B161</f>
        <v>246.32739278740814</v>
      </c>
      <c r="C162" s="37"/>
      <c r="D162" s="37"/>
      <c r="E162" s="37"/>
      <c r="F162" s="37"/>
      <c r="G162" s="37"/>
      <c r="H162" s="37"/>
      <c r="I162" s="37"/>
      <c r="J162" s="37"/>
      <c r="K162" s="41"/>
    </row>
    <row r="163" spans="1:11" ht="15.75" thickBot="1" x14ac:dyDescent="0.3"/>
    <row r="164" spans="1:11" ht="15.75" thickBot="1" x14ac:dyDescent="0.3">
      <c r="A164" s="72" t="s">
        <v>111</v>
      </c>
      <c r="B164" s="73"/>
      <c r="C164" s="73"/>
      <c r="D164" s="73"/>
      <c r="E164" s="70"/>
      <c r="F164" s="70"/>
      <c r="G164" s="70"/>
      <c r="H164" s="70"/>
      <c r="I164" s="70"/>
      <c r="J164" s="70"/>
      <c r="K164" s="71"/>
    </row>
    <row r="165" spans="1:11" ht="15.75" thickBot="1" x14ac:dyDescent="0.3">
      <c r="A165" s="7" t="s">
        <v>72</v>
      </c>
      <c r="B165" s="101"/>
      <c r="C165" s="101"/>
      <c r="D165" s="100" t="s">
        <v>51</v>
      </c>
      <c r="E165" s="3"/>
      <c r="F165" s="3"/>
      <c r="G165" s="3"/>
      <c r="H165" s="3"/>
      <c r="I165" s="3"/>
      <c r="J165" s="3"/>
      <c r="K165" s="4"/>
    </row>
    <row r="166" spans="1:11" x14ac:dyDescent="0.25">
      <c r="A166" s="144" t="s">
        <v>28</v>
      </c>
      <c r="B166" s="145"/>
      <c r="C166" s="145"/>
      <c r="D166" s="48">
        <f>'1. General'!B5</f>
        <v>35</v>
      </c>
      <c r="E166" s="16"/>
      <c r="F166" s="16"/>
      <c r="G166" s="16"/>
      <c r="I166" s="16"/>
      <c r="J166" s="16"/>
      <c r="K166" s="4"/>
    </row>
    <row r="167" spans="1:11" x14ac:dyDescent="0.25">
      <c r="A167" s="42" t="s">
        <v>12</v>
      </c>
      <c r="B167" s="43"/>
      <c r="C167" s="43"/>
      <c r="D167" s="17">
        <f>'1. General'!B6</f>
        <v>16</v>
      </c>
      <c r="E167" s="16"/>
      <c r="F167" s="16"/>
      <c r="G167" s="16"/>
      <c r="H167" s="16"/>
      <c r="I167" s="16"/>
      <c r="J167" s="16"/>
      <c r="K167" s="4"/>
    </row>
    <row r="168" spans="1:11" x14ac:dyDescent="0.25">
      <c r="A168" s="42" t="s">
        <v>13</v>
      </c>
      <c r="B168" s="43"/>
      <c r="C168" s="43"/>
      <c r="D168" s="17">
        <f>'1. General'!B7</f>
        <v>20</v>
      </c>
      <c r="E168" s="16"/>
      <c r="F168" s="16"/>
      <c r="G168" s="16"/>
      <c r="H168" s="16"/>
      <c r="I168" s="16"/>
      <c r="J168" s="16"/>
      <c r="K168" s="4"/>
    </row>
    <row r="169" spans="1:11" ht="15.75" thickBot="1" x14ac:dyDescent="0.3">
      <c r="A169" s="74" t="s">
        <v>38</v>
      </c>
      <c r="B169" s="19"/>
      <c r="C169" s="37"/>
      <c r="D169" s="20">
        <f>'1. General'!B8</f>
        <v>27</v>
      </c>
      <c r="E169" s="16"/>
      <c r="F169" s="16"/>
      <c r="G169" s="16"/>
      <c r="H169" s="16"/>
      <c r="I169" s="16"/>
      <c r="J169" s="16"/>
      <c r="K169" s="4"/>
    </row>
    <row r="170" spans="1:11" ht="15.75" thickBot="1" x14ac:dyDescent="0.3">
      <c r="A170" s="42"/>
      <c r="B170" s="43"/>
      <c r="C170" s="43"/>
      <c r="D170" s="16"/>
      <c r="E170" s="16"/>
      <c r="F170" s="16"/>
      <c r="G170" s="16"/>
      <c r="H170" s="16"/>
      <c r="I170" s="16"/>
      <c r="J170" s="16"/>
      <c r="K170" s="4"/>
    </row>
    <row r="171" spans="1:11" ht="15.75" thickBot="1" x14ac:dyDescent="0.3">
      <c r="A171" s="142" t="s">
        <v>73</v>
      </c>
      <c r="B171" s="143"/>
      <c r="C171" s="58" t="s">
        <v>16</v>
      </c>
      <c r="D171" s="50"/>
      <c r="E171" s="50"/>
      <c r="F171" s="50"/>
      <c r="G171" s="59"/>
      <c r="H171" s="16"/>
      <c r="I171" s="16"/>
      <c r="J171" s="16"/>
      <c r="K171" s="4"/>
    </row>
    <row r="172" spans="1:11" x14ac:dyDescent="0.25">
      <c r="A172" s="55" t="s">
        <v>69</v>
      </c>
      <c r="B172" s="22" t="s">
        <v>1</v>
      </c>
      <c r="C172" s="22" t="s">
        <v>2</v>
      </c>
      <c r="D172" s="22" t="s">
        <v>3</v>
      </c>
      <c r="E172" s="22" t="s">
        <v>14</v>
      </c>
      <c r="F172" s="43" t="s">
        <v>5</v>
      </c>
      <c r="G172" s="53"/>
      <c r="H172" s="16"/>
      <c r="I172" s="16"/>
      <c r="J172" s="16"/>
      <c r="K172" s="4"/>
    </row>
    <row r="173" spans="1:11" x14ac:dyDescent="0.25">
      <c r="A173" s="56">
        <v>1</v>
      </c>
      <c r="B173" s="22">
        <v>2.2000000000000002</v>
      </c>
      <c r="C173" s="22">
        <v>0.4</v>
      </c>
      <c r="D173" s="22">
        <v>0.2</v>
      </c>
      <c r="E173" s="22">
        <v>0.1</v>
      </c>
      <c r="F173" s="22">
        <f>SUM(C173:E173)</f>
        <v>0.70000000000000007</v>
      </c>
      <c r="G173" s="25"/>
      <c r="H173" s="16"/>
      <c r="I173" s="16"/>
      <c r="J173" s="16"/>
      <c r="K173" s="4"/>
    </row>
    <row r="174" spans="1:11" ht="15.75" thickBot="1" x14ac:dyDescent="0.3">
      <c r="A174" s="57">
        <v>2</v>
      </c>
      <c r="B174" s="32">
        <v>2</v>
      </c>
      <c r="C174" s="32">
        <v>0.3</v>
      </c>
      <c r="D174" s="32">
        <v>0.1</v>
      </c>
      <c r="E174" s="32">
        <v>0.4</v>
      </c>
      <c r="F174" s="32">
        <f>SUM(C174:E174)</f>
        <v>0.8</v>
      </c>
      <c r="G174" s="35"/>
      <c r="H174" s="16"/>
      <c r="I174" s="16"/>
      <c r="J174" s="16"/>
      <c r="K174" s="4"/>
    </row>
    <row r="175" spans="1:11" ht="15.75" thickBot="1" x14ac:dyDescent="0.3">
      <c r="A175" s="45"/>
      <c r="B175" s="16"/>
      <c r="C175" s="16"/>
      <c r="D175" s="16"/>
      <c r="E175" s="16"/>
      <c r="F175" s="16"/>
      <c r="G175" s="16"/>
      <c r="H175" s="16"/>
      <c r="I175" s="16"/>
      <c r="J175" s="16"/>
      <c r="K175" s="4"/>
    </row>
    <row r="176" spans="1:11" ht="15.75" thickBot="1" x14ac:dyDescent="0.3">
      <c r="A176" s="49" t="s">
        <v>74</v>
      </c>
      <c r="B176" s="50"/>
      <c r="C176" s="50"/>
      <c r="D176" s="59"/>
      <c r="E176" s="16"/>
      <c r="F176" s="16"/>
      <c r="G176" s="16"/>
      <c r="H176" s="16"/>
      <c r="I176" s="16"/>
      <c r="J176" s="16"/>
      <c r="K176" s="4"/>
    </row>
    <row r="177" spans="1:11" x14ac:dyDescent="0.25">
      <c r="A177" s="44" t="s">
        <v>69</v>
      </c>
      <c r="B177" s="22" t="s">
        <v>6</v>
      </c>
      <c r="C177" s="22" t="s">
        <v>7</v>
      </c>
      <c r="D177" s="25" t="s">
        <v>8</v>
      </c>
      <c r="E177" s="3"/>
      <c r="F177" s="16"/>
      <c r="G177" s="16"/>
      <c r="H177" s="16"/>
      <c r="I177" s="16"/>
      <c r="J177" s="16"/>
      <c r="K177" s="4"/>
    </row>
    <row r="178" spans="1:11" x14ac:dyDescent="0.25">
      <c r="A178" s="56">
        <v>1</v>
      </c>
      <c r="B178" s="22">
        <f>((B183/B173)*(C173/$D$166)^(D173+E173)*($D$167/D173)^D173*($D$168/E173)^E173)^(1/F173)</f>
        <v>0.22158109437997392</v>
      </c>
      <c r="C178" s="22">
        <f>((B183/B173)*(D173/$D$167)^(C173+E173)*($D$166/C173)^C173*($D$168/E173)^E173)^(1/F173)</f>
        <v>0.24235432197809675</v>
      </c>
      <c r="D178" s="25">
        <f>((B183/B173)*(E173/$D$168)^(C173+D173)*($D$166/C173)^C173*($D$167/D173)^D173)^(1/F173)</f>
        <v>9.6941728791238649E-2</v>
      </c>
      <c r="E178" s="16"/>
      <c r="F178" s="16"/>
      <c r="G178" s="16"/>
      <c r="H178" s="16"/>
      <c r="I178" s="16"/>
      <c r="J178" s="16"/>
      <c r="K178" s="4"/>
    </row>
    <row r="179" spans="1:11" ht="15.75" thickBot="1" x14ac:dyDescent="0.3">
      <c r="A179" s="57">
        <v>2</v>
      </c>
      <c r="B179" s="32">
        <f>(B184/B174*(C174/$D$166)^(D174+E174)*($D$167/D174)^D174*($D$168/E174)^E174)^(1/F174)</f>
        <v>9.8764717316403669E-2</v>
      </c>
      <c r="C179" s="32">
        <f>(B184/B174*(D174/$D$167)^(C174+E174)*($D$166/C174)^C174*($D$168/E174)^E174)^(1/F174)</f>
        <v>7.2015939709877741E-2</v>
      </c>
      <c r="D179" s="35">
        <f>((B184/B174)*(E174/$D$168)^(C174+D174)*($D$166/C174)^C174*($D$167/D174)^D174)^(1/F174)</f>
        <v>0.23045100707160851</v>
      </c>
      <c r="E179" s="16"/>
      <c r="F179" s="16"/>
      <c r="G179" s="16"/>
      <c r="H179" s="16"/>
      <c r="I179" s="16"/>
      <c r="J179" s="16"/>
      <c r="K179" s="4"/>
    </row>
    <row r="180" spans="1:11" ht="15.75" thickBot="1" x14ac:dyDescent="0.3">
      <c r="A180" s="54"/>
      <c r="B180" s="22"/>
      <c r="C180" s="22"/>
      <c r="D180" s="22"/>
      <c r="E180" s="3"/>
      <c r="F180" s="16"/>
      <c r="G180" s="16"/>
      <c r="H180" s="16"/>
      <c r="I180" s="16"/>
      <c r="J180" s="16"/>
      <c r="K180" s="4"/>
    </row>
    <row r="181" spans="1:11" ht="15.75" thickBot="1" x14ac:dyDescent="0.3">
      <c r="A181" s="49" t="s">
        <v>75</v>
      </c>
      <c r="B181" s="50"/>
      <c r="C181" s="50"/>
      <c r="D181" s="50"/>
      <c r="E181" s="59"/>
      <c r="F181" s="16"/>
      <c r="G181" s="16"/>
      <c r="H181" s="16"/>
      <c r="I181" s="16"/>
      <c r="J181" s="16"/>
      <c r="K181" s="4"/>
    </row>
    <row r="182" spans="1:11" x14ac:dyDescent="0.25">
      <c r="A182" s="44" t="s">
        <v>69</v>
      </c>
      <c r="B182" s="60" t="s">
        <v>11</v>
      </c>
      <c r="C182" s="60"/>
      <c r="D182" s="94" t="s">
        <v>0</v>
      </c>
      <c r="E182" s="61"/>
      <c r="F182" s="16"/>
      <c r="G182" s="16"/>
      <c r="H182" s="16"/>
      <c r="I182" s="16"/>
      <c r="J182" s="16"/>
      <c r="K182" s="4"/>
    </row>
    <row r="183" spans="1:11" x14ac:dyDescent="0.25">
      <c r="A183" s="56">
        <v>1</v>
      </c>
      <c r="B183" s="22">
        <f>(D169*B173^(1/F173)*C173^(C173/F173)*D173^(D173/F173)*E173^(E173/F173)*$D$166^(-C173/F173)*$D$167^(-D173/F173)*$D$168^(-E173/F173))^(F173/(1-F173))</f>
        <v>0.71808687993510079</v>
      </c>
      <c r="C183" s="22"/>
      <c r="D183" s="22">
        <f>B173*(B178^C173)*(C178^D173)*(D178^E173)</f>
        <v>0.71808687993510067</v>
      </c>
      <c r="E183" s="17"/>
      <c r="F183" s="16"/>
      <c r="G183" s="16"/>
      <c r="H183" s="16"/>
      <c r="I183" s="16"/>
      <c r="J183" s="16"/>
      <c r="K183" s="4"/>
    </row>
    <row r="184" spans="1:11" ht="15.75" thickBot="1" x14ac:dyDescent="0.3">
      <c r="A184" s="57">
        <v>2</v>
      </c>
      <c r="B184" s="32">
        <f>(D169*B174^(1/F174)*C174^(C174/(F174))*D174^(D174/(F174))*E174^(E174/(F174))*$D$166^(-C174/(F174))*$D$167^(-D174/(F174))*$D$168^(-E174/(F174)))^(F174/(1-F174))</f>
        <v>0.42676112420668222</v>
      </c>
      <c r="C184" s="32"/>
      <c r="D184" s="32">
        <f>B174*B179^C174*C179^D174*D179^E174</f>
        <v>0.42676112420668222</v>
      </c>
      <c r="E184" s="20"/>
      <c r="F184" s="16"/>
      <c r="G184" s="16"/>
      <c r="H184" s="16"/>
      <c r="I184" s="16"/>
      <c r="J184" s="16"/>
      <c r="K184" s="4"/>
    </row>
    <row r="185" spans="1:11" ht="15.75" thickBot="1" x14ac:dyDescent="0.3">
      <c r="C185" s="22"/>
      <c r="D185" s="22"/>
      <c r="E185" s="16"/>
      <c r="F185" s="16"/>
      <c r="G185" s="16"/>
      <c r="H185" s="16"/>
      <c r="I185" s="16"/>
      <c r="J185" s="16"/>
      <c r="K185" s="4"/>
    </row>
    <row r="186" spans="1:11" ht="15.75" thickBot="1" x14ac:dyDescent="0.3">
      <c r="A186" s="49" t="s">
        <v>81</v>
      </c>
      <c r="B186" s="59"/>
      <c r="C186" s="16"/>
      <c r="D186" s="16"/>
      <c r="E186" s="16"/>
      <c r="F186" s="16"/>
      <c r="G186" s="16"/>
      <c r="H186" s="16"/>
      <c r="I186" s="16"/>
      <c r="J186" s="16"/>
      <c r="K186" s="4"/>
    </row>
    <row r="187" spans="1:11" x14ac:dyDescent="0.25">
      <c r="A187" s="44" t="s">
        <v>69</v>
      </c>
      <c r="B187" s="17"/>
      <c r="C187" s="16"/>
      <c r="D187" s="16"/>
      <c r="E187" s="16"/>
      <c r="F187" s="16"/>
      <c r="G187" s="16"/>
      <c r="H187" s="16"/>
      <c r="I187" s="16"/>
      <c r="J187" s="16"/>
      <c r="K187" s="4"/>
    </row>
    <row r="188" spans="1:11" x14ac:dyDescent="0.25">
      <c r="A188" s="56">
        <v>1</v>
      </c>
      <c r="B188" s="25">
        <f>D169*B183-D166*B178-D167*C178-D168*D178</f>
        <v>5.8165037274743119</v>
      </c>
      <c r="C188" s="16"/>
      <c r="D188" s="16"/>
      <c r="E188" s="16"/>
      <c r="F188" s="16"/>
      <c r="G188" s="16"/>
      <c r="H188" s="16"/>
      <c r="I188" s="16"/>
      <c r="J188" s="16"/>
      <c r="K188" s="4"/>
    </row>
    <row r="189" spans="1:11" ht="15.75" thickBot="1" x14ac:dyDescent="0.3">
      <c r="A189" s="57">
        <v>2</v>
      </c>
      <c r="B189" s="35">
        <f>D169*B184-D166*B179-D167*C179-D168*D179</f>
        <v>2.3045100707160788</v>
      </c>
      <c r="C189" s="16"/>
      <c r="D189" s="16"/>
      <c r="E189" s="16"/>
      <c r="F189" s="16"/>
      <c r="G189" s="16"/>
      <c r="H189" s="16"/>
      <c r="I189" s="16"/>
      <c r="J189" s="16"/>
      <c r="K189" s="4"/>
    </row>
    <row r="190" spans="1:11" ht="15.75" thickBot="1" x14ac:dyDescent="0.3">
      <c r="A190" s="45"/>
      <c r="B190" s="16"/>
      <c r="C190" s="16"/>
      <c r="D190" s="16"/>
      <c r="E190" s="16"/>
      <c r="F190" s="16"/>
      <c r="G190" s="16"/>
      <c r="H190" s="16"/>
      <c r="I190" s="16"/>
      <c r="J190" s="16"/>
      <c r="K190" s="4"/>
    </row>
    <row r="191" spans="1:11" ht="15.75" thickBot="1" x14ac:dyDescent="0.3">
      <c r="A191" s="49" t="s">
        <v>76</v>
      </c>
      <c r="B191" s="50"/>
      <c r="C191" s="50"/>
      <c r="D191" s="50"/>
      <c r="E191" s="50"/>
      <c r="F191" s="50"/>
      <c r="G191" s="50"/>
      <c r="H191" s="50"/>
      <c r="I191" s="50"/>
      <c r="J191" s="50"/>
      <c r="K191" s="9"/>
    </row>
    <row r="192" spans="1:11" x14ac:dyDescent="0.25">
      <c r="A192" s="136"/>
      <c r="B192" s="21" t="s">
        <v>43</v>
      </c>
      <c r="C192" s="23" t="s">
        <v>44</v>
      </c>
      <c r="D192" s="21" t="s">
        <v>40</v>
      </c>
      <c r="E192" s="23" t="s">
        <v>45</v>
      </c>
      <c r="F192" s="21" t="s">
        <v>41</v>
      </c>
      <c r="G192" s="22" t="s">
        <v>46</v>
      </c>
      <c r="H192" s="22" t="s">
        <v>46</v>
      </c>
      <c r="I192" s="23" t="s">
        <v>47</v>
      </c>
      <c r="J192" s="22" t="s">
        <v>42</v>
      </c>
      <c r="K192" s="25" t="s">
        <v>48</v>
      </c>
    </row>
    <row r="193" spans="1:11" x14ac:dyDescent="0.25">
      <c r="A193" s="136" t="s">
        <v>4</v>
      </c>
      <c r="B193" s="21" t="s">
        <v>17</v>
      </c>
      <c r="C193" s="23" t="s">
        <v>18</v>
      </c>
      <c r="D193" s="21" t="s">
        <v>20</v>
      </c>
      <c r="E193" s="23" t="s">
        <v>32</v>
      </c>
      <c r="F193" s="21" t="s">
        <v>21</v>
      </c>
      <c r="G193" s="22" t="s">
        <v>18</v>
      </c>
      <c r="H193" s="22" t="s">
        <v>88</v>
      </c>
      <c r="I193" s="23" t="s">
        <v>89</v>
      </c>
      <c r="J193" s="40" t="s">
        <v>33</v>
      </c>
      <c r="K193" s="25" t="s">
        <v>22</v>
      </c>
    </row>
    <row r="194" spans="1:11" x14ac:dyDescent="0.25">
      <c r="A194" s="64">
        <v>1</v>
      </c>
      <c r="B194" s="65">
        <f>D169*F173*B183</f>
        <v>13.571842030773407</v>
      </c>
      <c r="C194" s="66">
        <f>D166*B178+D167*C178+D168*D178</f>
        <v>13.571842030773409</v>
      </c>
      <c r="D194" s="65">
        <f>F173*B183</f>
        <v>0.50266081595457057</v>
      </c>
      <c r="E194" s="66">
        <f>B183-B188/D169</f>
        <v>0.50266081595457068</v>
      </c>
      <c r="F194" s="65">
        <f>D169*B183</f>
        <v>19.38834575824772</v>
      </c>
      <c r="G194" s="67">
        <f>D166*B178+D167*C178+D168*D178</f>
        <v>13.571842030773409</v>
      </c>
      <c r="H194" s="67">
        <f>B188</f>
        <v>5.8165037274743119</v>
      </c>
      <c r="I194" s="66">
        <f>G194+H194</f>
        <v>19.38834575824772</v>
      </c>
      <c r="J194" s="67">
        <f>B188/D169</f>
        <v>0.21542606398053007</v>
      </c>
      <c r="K194" s="68">
        <f>(1-F173)*B183</f>
        <v>0.21542606398053019</v>
      </c>
    </row>
    <row r="195" spans="1:11" ht="15.75" thickBot="1" x14ac:dyDescent="0.3">
      <c r="A195" s="63">
        <v>2</v>
      </c>
      <c r="B195" s="31">
        <f>D169*F174*B184</f>
        <v>9.2180402828643366</v>
      </c>
      <c r="C195" s="33">
        <f>D166*B179+D167*C179+D168*D179</f>
        <v>9.218040282864342</v>
      </c>
      <c r="D195" s="31">
        <f>F174*B184</f>
        <v>0.3414088993653458</v>
      </c>
      <c r="E195" s="33">
        <f>B184-B189/D169</f>
        <v>0.34140889936534596</v>
      </c>
      <c r="F195" s="31">
        <f>D169*B184</f>
        <v>11.522550353580421</v>
      </c>
      <c r="G195" s="32">
        <f>D166*B179+D167*C179+D168*D179</f>
        <v>9.218040282864342</v>
      </c>
      <c r="H195" s="32">
        <f>B189</f>
        <v>2.3045100707160788</v>
      </c>
      <c r="I195" s="33">
        <f>G195+H195</f>
        <v>11.522550353580421</v>
      </c>
      <c r="J195" s="32">
        <f>B189/D169</f>
        <v>8.5352224841336255E-2</v>
      </c>
      <c r="K195" s="35">
        <f>(1-F174)*B184</f>
        <v>8.5352224841336422E-2</v>
      </c>
    </row>
    <row r="196" spans="1:11" ht="15.75" thickBot="1" x14ac:dyDescent="0.3">
      <c r="A196" s="45"/>
      <c r="B196" s="16"/>
      <c r="C196" s="16"/>
      <c r="D196" s="16"/>
      <c r="E196" s="16"/>
      <c r="F196" s="16"/>
      <c r="G196" s="16"/>
      <c r="H196" s="16"/>
      <c r="I196" s="16"/>
      <c r="J196" s="16"/>
      <c r="K196" s="17"/>
    </row>
    <row r="197" spans="1:11" ht="15.75" thickBot="1" x14ac:dyDescent="0.3">
      <c r="A197" s="49" t="s">
        <v>77</v>
      </c>
      <c r="B197" s="79" t="s">
        <v>53</v>
      </c>
      <c r="C197" s="16"/>
      <c r="D197" s="16"/>
      <c r="E197" s="16"/>
      <c r="F197" s="16"/>
      <c r="G197" s="16"/>
      <c r="H197" s="16"/>
      <c r="I197" s="16"/>
      <c r="J197" s="16"/>
      <c r="K197" s="4"/>
    </row>
    <row r="198" spans="1:11" x14ac:dyDescent="0.25">
      <c r="A198" s="44" t="s">
        <v>23</v>
      </c>
      <c r="B198" s="25">
        <f>F194+F195</f>
        <v>30.910896111828141</v>
      </c>
      <c r="C198" s="16"/>
      <c r="D198" s="16"/>
      <c r="E198" s="16"/>
      <c r="F198" s="16"/>
      <c r="G198" s="16"/>
      <c r="H198" s="16"/>
      <c r="I198" s="16"/>
      <c r="J198" s="16"/>
      <c r="K198" s="4"/>
    </row>
    <row r="199" spans="1:11" x14ac:dyDescent="0.25">
      <c r="A199" s="44" t="s">
        <v>24</v>
      </c>
      <c r="B199" s="25">
        <f>G194+G195</f>
        <v>22.789882313637751</v>
      </c>
      <c r="C199" s="3"/>
      <c r="D199" s="16"/>
      <c r="E199" s="16"/>
      <c r="F199" s="16"/>
      <c r="G199" s="16"/>
      <c r="H199" s="16"/>
      <c r="I199" s="16"/>
      <c r="J199" s="16"/>
      <c r="K199" s="4"/>
    </row>
    <row r="200" spans="1:11" x14ac:dyDescent="0.25">
      <c r="A200" s="44" t="s">
        <v>34</v>
      </c>
      <c r="B200" s="25">
        <f>H194+H195</f>
        <v>8.1210137981903898</v>
      </c>
      <c r="C200" s="16"/>
      <c r="D200" s="16"/>
      <c r="E200" s="16"/>
      <c r="F200" s="16"/>
      <c r="G200" s="16"/>
      <c r="H200" s="16"/>
      <c r="I200" s="16"/>
      <c r="J200" s="16"/>
      <c r="K200" s="4"/>
    </row>
    <row r="201" spans="1:11" ht="15.75" thickBot="1" x14ac:dyDescent="0.3">
      <c r="A201" s="46" t="s">
        <v>35</v>
      </c>
      <c r="B201" s="35">
        <f>B199+B200</f>
        <v>30.910896111828141</v>
      </c>
      <c r="C201" s="37"/>
      <c r="D201" s="37"/>
      <c r="E201" s="37"/>
      <c r="F201" s="37"/>
      <c r="G201" s="37"/>
      <c r="H201" s="37"/>
      <c r="I201" s="37"/>
      <c r="J201" s="37"/>
      <c r="K201" s="41"/>
    </row>
    <row r="202" spans="1:11" ht="15.75" thickBot="1" x14ac:dyDescent="0.3"/>
    <row r="203" spans="1:11" ht="15.75" thickBot="1" x14ac:dyDescent="0.3">
      <c r="A203" s="72" t="s">
        <v>112</v>
      </c>
      <c r="B203" s="73"/>
      <c r="C203" s="73"/>
      <c r="D203" s="73"/>
      <c r="E203" s="70"/>
      <c r="F203" s="70"/>
      <c r="G203" s="70"/>
      <c r="H203" s="70"/>
      <c r="I203" s="70"/>
      <c r="J203" s="70"/>
      <c r="K203" s="71"/>
    </row>
    <row r="204" spans="1:11" ht="15.75" thickBot="1" x14ac:dyDescent="0.3">
      <c r="A204" s="7" t="s">
        <v>72</v>
      </c>
      <c r="B204" s="101"/>
      <c r="C204" s="101"/>
      <c r="D204" s="100" t="s">
        <v>51</v>
      </c>
      <c r="E204" s="3"/>
      <c r="F204" s="3"/>
      <c r="G204" s="3"/>
      <c r="H204" s="3"/>
      <c r="I204" s="3"/>
      <c r="J204" s="3"/>
      <c r="K204" s="4"/>
    </row>
    <row r="205" spans="1:11" x14ac:dyDescent="0.25">
      <c r="A205" s="144" t="s">
        <v>28</v>
      </c>
      <c r="B205" s="145"/>
      <c r="C205" s="145"/>
      <c r="D205" s="48">
        <f>'1. General'!B5</f>
        <v>35</v>
      </c>
      <c r="E205" s="16"/>
      <c r="I205" s="16"/>
      <c r="J205" s="16"/>
      <c r="K205" s="4"/>
    </row>
    <row r="206" spans="1:11" x14ac:dyDescent="0.25">
      <c r="A206" s="42" t="s">
        <v>12</v>
      </c>
      <c r="B206" s="43"/>
      <c r="C206" s="43"/>
      <c r="D206" s="17">
        <f>'1. General'!B6</f>
        <v>16</v>
      </c>
      <c r="E206" s="16"/>
      <c r="F206" s="16"/>
      <c r="G206" s="16"/>
      <c r="H206" s="16"/>
      <c r="I206" s="16"/>
      <c r="J206" s="16"/>
      <c r="K206" s="4"/>
    </row>
    <row r="207" spans="1:11" x14ac:dyDescent="0.25">
      <c r="A207" s="42" t="s">
        <v>13</v>
      </c>
      <c r="B207" s="43"/>
      <c r="C207" s="43"/>
      <c r="D207" s="17">
        <f>'1. General'!B7</f>
        <v>20</v>
      </c>
      <c r="E207" s="16"/>
      <c r="F207" s="16"/>
      <c r="G207" s="16"/>
      <c r="H207" s="16"/>
      <c r="I207" s="16"/>
      <c r="J207" s="16"/>
      <c r="K207" s="4"/>
    </row>
    <row r="208" spans="1:11" ht="15.75" thickBot="1" x14ac:dyDescent="0.3">
      <c r="A208" s="74" t="s">
        <v>39</v>
      </c>
      <c r="B208" s="19"/>
      <c r="C208" s="37"/>
      <c r="D208" s="20">
        <f>'1. General'!B9</f>
        <v>21</v>
      </c>
      <c r="E208" s="16"/>
      <c r="F208" s="16"/>
      <c r="G208" s="16"/>
      <c r="H208" s="16"/>
      <c r="I208" s="16"/>
      <c r="J208" s="16"/>
      <c r="K208" s="4"/>
    </row>
    <row r="209" spans="1:11" ht="15.75" thickBot="1" x14ac:dyDescent="0.3">
      <c r="A209" s="42"/>
      <c r="B209" s="43"/>
      <c r="C209" s="43"/>
      <c r="D209" s="16"/>
      <c r="E209" s="16"/>
      <c r="F209" s="16"/>
      <c r="G209" s="16"/>
      <c r="H209" s="16"/>
      <c r="I209" s="16"/>
      <c r="J209" s="16"/>
      <c r="K209" s="4"/>
    </row>
    <row r="210" spans="1:11" ht="15.75" thickBot="1" x14ac:dyDescent="0.3">
      <c r="A210" s="142" t="s">
        <v>73</v>
      </c>
      <c r="B210" s="143"/>
      <c r="C210" s="58" t="s">
        <v>16</v>
      </c>
      <c r="D210" s="50"/>
      <c r="E210" s="50"/>
      <c r="F210" s="50"/>
      <c r="G210" s="59"/>
      <c r="H210" s="16"/>
      <c r="I210" s="16"/>
      <c r="J210" s="16"/>
      <c r="K210" s="4"/>
    </row>
    <row r="211" spans="1:11" x14ac:dyDescent="0.25">
      <c r="A211" s="55" t="s">
        <v>69</v>
      </c>
      <c r="B211" s="22" t="s">
        <v>1</v>
      </c>
      <c r="C211" s="22" t="s">
        <v>2</v>
      </c>
      <c r="D211" s="22" t="s">
        <v>3</v>
      </c>
      <c r="E211" s="22" t="s">
        <v>14</v>
      </c>
      <c r="F211" s="43" t="s">
        <v>5</v>
      </c>
      <c r="G211" s="53"/>
      <c r="H211" s="16"/>
      <c r="I211" s="16"/>
      <c r="J211" s="16"/>
      <c r="K211" s="4"/>
    </row>
    <row r="212" spans="1:11" x14ac:dyDescent="0.25">
      <c r="A212" s="56">
        <v>1</v>
      </c>
      <c r="B212" s="22">
        <v>3.5</v>
      </c>
      <c r="C212" s="22">
        <v>0.3</v>
      </c>
      <c r="D212" s="22">
        <v>0.2</v>
      </c>
      <c r="E212" s="22">
        <v>0.4</v>
      </c>
      <c r="F212" s="22">
        <f>SUM(C212:E212)</f>
        <v>0.9</v>
      </c>
      <c r="G212" s="25"/>
      <c r="H212" s="16"/>
      <c r="I212" s="16"/>
      <c r="J212" s="16"/>
      <c r="K212" s="4"/>
    </row>
    <row r="213" spans="1:11" ht="15.75" thickBot="1" x14ac:dyDescent="0.3">
      <c r="A213" s="57">
        <v>2</v>
      </c>
      <c r="B213" s="32">
        <v>2</v>
      </c>
      <c r="C213" s="32">
        <v>0.1</v>
      </c>
      <c r="D213" s="32">
        <v>0.35</v>
      </c>
      <c r="E213" s="32">
        <v>0.4</v>
      </c>
      <c r="F213" s="32">
        <f>SUM(C213:E213)</f>
        <v>0.85</v>
      </c>
      <c r="G213" s="35"/>
      <c r="H213" s="16"/>
      <c r="I213" s="16"/>
      <c r="J213" s="16"/>
      <c r="K213" s="4"/>
    </row>
    <row r="214" spans="1:11" ht="15.75" thickBot="1" x14ac:dyDescent="0.3">
      <c r="A214" s="45"/>
      <c r="B214" s="16"/>
      <c r="C214" s="16"/>
      <c r="D214" s="16"/>
      <c r="E214" s="16"/>
      <c r="F214" s="16"/>
      <c r="G214" s="16"/>
      <c r="H214" s="16"/>
      <c r="I214" s="16"/>
      <c r="J214" s="16"/>
      <c r="K214" s="4"/>
    </row>
    <row r="215" spans="1:11" ht="15.75" thickBot="1" x14ac:dyDescent="0.3">
      <c r="A215" s="49" t="s">
        <v>74</v>
      </c>
      <c r="B215" s="50"/>
      <c r="C215" s="50"/>
      <c r="D215" s="59"/>
      <c r="E215" s="16"/>
      <c r="F215" s="16"/>
      <c r="G215" s="16"/>
      <c r="H215" s="16"/>
      <c r="I215" s="16"/>
      <c r="J215" s="16"/>
      <c r="K215" s="4"/>
    </row>
    <row r="216" spans="1:11" x14ac:dyDescent="0.25">
      <c r="A216" s="44" t="s">
        <v>69</v>
      </c>
      <c r="B216" s="22" t="s">
        <v>6</v>
      </c>
      <c r="C216" s="22" t="s">
        <v>7</v>
      </c>
      <c r="D216" s="25" t="s">
        <v>8</v>
      </c>
      <c r="E216" s="3"/>
      <c r="F216" s="16"/>
      <c r="G216" s="16"/>
      <c r="H216" s="16"/>
      <c r="I216" s="16"/>
      <c r="J216" s="16"/>
      <c r="K216" s="4"/>
    </row>
    <row r="217" spans="1:11" x14ac:dyDescent="0.25">
      <c r="A217" s="56">
        <v>1</v>
      </c>
      <c r="B217" s="22">
        <f>((B222/B212)*(C212/$D$205)^(D212+E212)*($D$206/D212)^D212*($D$207/E212)^E212)^(1/F212)</f>
        <v>0.62090654958419667</v>
      </c>
      <c r="C217" s="22">
        <f>((B222/B212)*(D212/$D$206)^(C212+E212)*($D$205/C212)^C212*($D$207/E212)^E212)^(1/F212)</f>
        <v>0.9054887181436212</v>
      </c>
      <c r="D217" s="25">
        <f>((B222/B212)*(E212/$D$207)^(C212+D212)*($D$205/C212)^C212*($D$206/D212)^D212)^(1/F212)</f>
        <v>1.4487819490297931</v>
      </c>
      <c r="E217" s="16"/>
      <c r="F217" s="16"/>
      <c r="G217" s="16"/>
      <c r="H217" s="16"/>
      <c r="I217" s="16"/>
      <c r="J217" s="16"/>
      <c r="K217" s="4"/>
    </row>
    <row r="218" spans="1:11" ht="15.75" thickBot="1" x14ac:dyDescent="0.3">
      <c r="A218" s="57">
        <v>2</v>
      </c>
      <c r="B218" s="32">
        <f>(B223/B213*(C213/$D$205)^(D213+E213)*($D$206/D213)^D213*($D$207/E213)^E213)^(1/F213)</f>
        <v>1.5048989105472805E-2</v>
      </c>
      <c r="C218" s="32">
        <f>(B223/B213*(D213/$D$206)^(C213+E213)*($D$205/C213)^C213*($D$207/E213)^E213)^(1/F213)</f>
        <v>0.11521882283877606</v>
      </c>
      <c r="D218" s="35">
        <f>((B223/B213)*(E213/$D$207)^(C213+D213)*($D$205/C213)^C213*($D$206/D213)^D213)^(1/F213)</f>
        <v>0.10534292373830961</v>
      </c>
      <c r="E218" s="16"/>
      <c r="F218" s="16"/>
      <c r="G218" s="16"/>
      <c r="H218" s="16"/>
      <c r="I218" s="16"/>
      <c r="J218" s="16"/>
      <c r="K218" s="4"/>
    </row>
    <row r="219" spans="1:11" ht="15.75" thickBot="1" x14ac:dyDescent="0.3">
      <c r="A219" s="54"/>
      <c r="B219" s="22"/>
      <c r="C219" s="22"/>
      <c r="D219" s="22"/>
      <c r="E219" s="3"/>
      <c r="F219" s="16"/>
      <c r="G219" s="16"/>
      <c r="H219" s="16"/>
      <c r="I219" s="16"/>
      <c r="J219" s="16"/>
      <c r="K219" s="4"/>
    </row>
    <row r="220" spans="1:11" ht="15.75" thickBot="1" x14ac:dyDescent="0.3">
      <c r="A220" s="49" t="s">
        <v>75</v>
      </c>
      <c r="B220" s="50"/>
      <c r="C220" s="50"/>
      <c r="D220" s="50"/>
      <c r="E220" s="59"/>
      <c r="F220" s="16"/>
      <c r="G220" s="16"/>
      <c r="H220" s="16"/>
      <c r="I220" s="16"/>
      <c r="J220" s="16"/>
      <c r="K220" s="4"/>
    </row>
    <row r="221" spans="1:11" x14ac:dyDescent="0.25">
      <c r="A221" s="44" t="s">
        <v>69</v>
      </c>
      <c r="B221" s="60" t="s">
        <v>11</v>
      </c>
      <c r="C221" s="60"/>
      <c r="D221" s="94" t="s">
        <v>0</v>
      </c>
      <c r="E221" s="61"/>
      <c r="F221" s="16"/>
      <c r="G221" s="16"/>
      <c r="H221" s="16"/>
      <c r="I221" s="16"/>
      <c r="J221" s="16"/>
      <c r="K221" s="4"/>
    </row>
    <row r="222" spans="1:11" x14ac:dyDescent="0.25">
      <c r="A222" s="56">
        <v>1</v>
      </c>
      <c r="B222" s="22">
        <f>(D208*B212^(1/F212)*C212^(C212/F212)*D212^(D212/F212)*E212^(E212/F212)*$D$205^(-C212/F212)*$D$206^(-D212/F212)*$D$207^(-E212/F212))^(F212/(1-F212))</f>
        <v>3.4494808310233158</v>
      </c>
      <c r="C222" s="22"/>
      <c r="D222" s="22">
        <f>B212*(B217^C212)*(C217^D212)*(D217^E212)</f>
        <v>3.4494808310233163</v>
      </c>
      <c r="E222" s="17"/>
      <c r="F222" s="16"/>
      <c r="G222" s="16"/>
      <c r="H222" s="16"/>
      <c r="I222" s="16"/>
      <c r="J222" s="16"/>
      <c r="K222" s="4"/>
    </row>
    <row r="223" spans="1:11" ht="15.75" thickBot="1" x14ac:dyDescent="0.3">
      <c r="A223" s="57">
        <v>2</v>
      </c>
      <c r="B223" s="32">
        <f>(D208*B213^(1/F213)*C213^(C213/(F213))*D213^(D213/(F213))*E213^(E213/(F213))*$D$205^(-C213/(F213))*$D$206^(-D213/(F213))*$D$207^(-E213/(F213)))^(F213/(1-F213))</f>
        <v>0.25081648509121329</v>
      </c>
      <c r="C223" s="32"/>
      <c r="D223" s="32">
        <f>B213*B218^C213*C218^D213*D218^E213</f>
        <v>0.25081648509121329</v>
      </c>
      <c r="E223" s="20"/>
      <c r="F223" s="16"/>
      <c r="G223" s="16"/>
      <c r="H223" s="16"/>
      <c r="I223" s="16"/>
      <c r="J223" s="16"/>
      <c r="K223" s="4"/>
    </row>
    <row r="224" spans="1:11" ht="15.75" thickBot="1" x14ac:dyDescent="0.3">
      <c r="A224" s="56"/>
      <c r="B224" s="22"/>
      <c r="C224" s="22"/>
      <c r="D224" s="22"/>
      <c r="E224" s="16"/>
      <c r="F224" s="16"/>
      <c r="G224" s="16"/>
      <c r="H224" s="16"/>
      <c r="I224" s="16"/>
      <c r="J224" s="16"/>
      <c r="K224" s="4"/>
    </row>
    <row r="225" spans="1:11" ht="15.75" thickBot="1" x14ac:dyDescent="0.3">
      <c r="A225" s="49" t="s">
        <v>81</v>
      </c>
      <c r="B225" s="59"/>
      <c r="C225" s="16"/>
      <c r="D225" s="16"/>
      <c r="E225" s="16"/>
      <c r="F225" s="16"/>
      <c r="G225" s="16"/>
      <c r="H225" s="16"/>
      <c r="I225" s="16"/>
      <c r="J225" s="16"/>
      <c r="K225" s="4"/>
    </row>
    <row r="226" spans="1:11" x14ac:dyDescent="0.25">
      <c r="A226" s="44" t="s">
        <v>69</v>
      </c>
      <c r="B226" s="17"/>
      <c r="C226" s="16"/>
      <c r="D226" s="16"/>
      <c r="E226" s="16"/>
      <c r="F226" s="16"/>
      <c r="G226" s="16"/>
      <c r="H226" s="16"/>
      <c r="I226" s="16"/>
      <c r="J226" s="16"/>
      <c r="K226" s="4"/>
    </row>
    <row r="227" spans="1:11" x14ac:dyDescent="0.25">
      <c r="A227" s="56">
        <v>1</v>
      </c>
      <c r="B227" s="25">
        <f>D208*B222-D205*B217-D206*C217-D207*D217</f>
        <v>7.2439097451489474</v>
      </c>
      <c r="C227" s="16"/>
      <c r="D227" s="16"/>
      <c r="E227" s="16"/>
      <c r="F227" s="16"/>
      <c r="G227" s="16"/>
      <c r="H227" s="16"/>
      <c r="I227" s="16"/>
      <c r="J227" s="16"/>
      <c r="K227" s="4"/>
    </row>
    <row r="228" spans="1:11" ht="15.75" thickBot="1" x14ac:dyDescent="0.3">
      <c r="A228" s="57">
        <v>2</v>
      </c>
      <c r="B228" s="35">
        <f>D208*B223-D205*B218-D206*C218-D207*D218</f>
        <v>0.79007192803732185</v>
      </c>
      <c r="C228" s="16"/>
      <c r="D228" s="16"/>
      <c r="E228" s="16"/>
      <c r="F228" s="16"/>
      <c r="G228" s="16"/>
      <c r="H228" s="16"/>
      <c r="I228" s="16"/>
      <c r="J228" s="16"/>
      <c r="K228" s="4"/>
    </row>
    <row r="229" spans="1:11" ht="15.75" thickBot="1" x14ac:dyDescent="0.3">
      <c r="A229" s="45"/>
      <c r="B229" s="16"/>
      <c r="C229" s="16"/>
      <c r="D229" s="16"/>
      <c r="E229" s="16"/>
      <c r="F229" s="16"/>
      <c r="G229" s="16"/>
      <c r="H229" s="16"/>
      <c r="I229" s="16"/>
      <c r="J229" s="16"/>
      <c r="K229" s="4"/>
    </row>
    <row r="230" spans="1:11" ht="15.75" thickBot="1" x14ac:dyDescent="0.3">
      <c r="A230" s="49" t="s">
        <v>76</v>
      </c>
      <c r="B230" s="50"/>
      <c r="C230" s="50"/>
      <c r="D230" s="50"/>
      <c r="E230" s="50"/>
      <c r="F230" s="50"/>
      <c r="G230" s="50"/>
      <c r="H230" s="50"/>
      <c r="I230" s="50"/>
      <c r="J230" s="50"/>
      <c r="K230" s="9"/>
    </row>
    <row r="231" spans="1:11" x14ac:dyDescent="0.25">
      <c r="A231" s="136" t="s">
        <v>19</v>
      </c>
      <c r="B231" s="21" t="s">
        <v>43</v>
      </c>
      <c r="C231" s="23" t="s">
        <v>44</v>
      </c>
      <c r="D231" s="21" t="s">
        <v>40</v>
      </c>
      <c r="E231" s="23" t="s">
        <v>45</v>
      </c>
      <c r="F231" s="21" t="s">
        <v>41</v>
      </c>
      <c r="G231" s="22" t="s">
        <v>46</v>
      </c>
      <c r="H231" s="22" t="s">
        <v>46</v>
      </c>
      <c r="I231" s="23" t="s">
        <v>47</v>
      </c>
      <c r="J231" s="22" t="s">
        <v>42</v>
      </c>
      <c r="K231" s="25" t="s">
        <v>48</v>
      </c>
    </row>
    <row r="232" spans="1:11" x14ac:dyDescent="0.25">
      <c r="A232" s="136" t="s">
        <v>4</v>
      </c>
      <c r="B232" s="21" t="s">
        <v>17</v>
      </c>
      <c r="C232" s="23" t="s">
        <v>18</v>
      </c>
      <c r="D232" s="21" t="s">
        <v>20</v>
      </c>
      <c r="E232" s="23" t="s">
        <v>32</v>
      </c>
      <c r="F232" s="21" t="s">
        <v>21</v>
      </c>
      <c r="G232" s="22" t="s">
        <v>18</v>
      </c>
      <c r="H232" s="22" t="s">
        <v>88</v>
      </c>
      <c r="I232" s="23" t="s">
        <v>89</v>
      </c>
      <c r="J232" s="40" t="s">
        <v>33</v>
      </c>
      <c r="K232" s="25" t="s">
        <v>22</v>
      </c>
    </row>
    <row r="233" spans="1:11" x14ac:dyDescent="0.25">
      <c r="A233" s="64">
        <v>1</v>
      </c>
      <c r="B233" s="65">
        <f>D208*F212*B222</f>
        <v>65.195187706340676</v>
      </c>
      <c r="C233" s="66">
        <f>D205*B217+D206*C217+D207*D217</f>
        <v>65.195187706340676</v>
      </c>
      <c r="D233" s="65">
        <f>F212*B222</f>
        <v>3.1045327479209841</v>
      </c>
      <c r="E233" s="66">
        <f>B222-B227/D208</f>
        <v>3.104532747920985</v>
      </c>
      <c r="F233" s="65">
        <f>D208*B222</f>
        <v>72.43909745148963</v>
      </c>
      <c r="G233" s="67">
        <f>D205*B217+D206*C217+D207*D217</f>
        <v>65.195187706340676</v>
      </c>
      <c r="H233" s="67">
        <f>B227</f>
        <v>7.2439097451489474</v>
      </c>
      <c r="I233" s="66">
        <f>G233+H233</f>
        <v>72.43909745148963</v>
      </c>
      <c r="J233" s="67">
        <f>B227/D208</f>
        <v>0.34494808310233083</v>
      </c>
      <c r="K233" s="68">
        <f>(1-F212)*B222</f>
        <v>0.34494808310233149</v>
      </c>
    </row>
    <row r="234" spans="1:11" ht="15.75" thickBot="1" x14ac:dyDescent="0.3">
      <c r="A234" s="63">
        <v>2</v>
      </c>
      <c r="B234" s="31">
        <f>D208*F213*B223</f>
        <v>4.4770742588781571</v>
      </c>
      <c r="C234" s="33">
        <f>D205*B218+D206*C218+D207*D218</f>
        <v>4.477074258878158</v>
      </c>
      <c r="D234" s="31">
        <f>F213*B223</f>
        <v>0.2131940123275313</v>
      </c>
      <c r="E234" s="33">
        <f>B223-B228/D208</f>
        <v>0.2131940123275313</v>
      </c>
      <c r="F234" s="31">
        <f>D208*B223</f>
        <v>5.267146186915479</v>
      </c>
      <c r="G234" s="32">
        <f>D205*B218+D206*C218+D207*D218</f>
        <v>4.477074258878158</v>
      </c>
      <c r="H234" s="32">
        <f>B228</f>
        <v>0.79007192803732185</v>
      </c>
      <c r="I234" s="33">
        <f>G234+H234</f>
        <v>5.2671461869154799</v>
      </c>
      <c r="J234" s="32">
        <f>B228/D208</f>
        <v>3.762247276368199E-2</v>
      </c>
      <c r="K234" s="35">
        <f>(1-F213)*B223</f>
        <v>3.7622472763681997E-2</v>
      </c>
    </row>
    <row r="235" spans="1:11" ht="15.75" thickBot="1" x14ac:dyDescent="0.3">
      <c r="A235" s="45"/>
      <c r="B235" s="16"/>
      <c r="C235" s="16"/>
      <c r="D235" s="16"/>
      <c r="E235" s="16"/>
      <c r="F235" s="16"/>
      <c r="G235" s="16"/>
      <c r="H235" s="16"/>
      <c r="I235" s="16"/>
      <c r="J235" s="16"/>
      <c r="K235" s="17"/>
    </row>
    <row r="236" spans="1:11" ht="15.75" thickBot="1" x14ac:dyDescent="0.3">
      <c r="A236" s="49" t="s">
        <v>77</v>
      </c>
      <c r="B236" s="79" t="s">
        <v>53</v>
      </c>
      <c r="C236" s="16"/>
      <c r="D236" s="16"/>
      <c r="E236" s="16"/>
      <c r="F236" s="16"/>
      <c r="G236" s="16"/>
      <c r="H236" s="16"/>
      <c r="I236" s="16"/>
      <c r="J236" s="16"/>
      <c r="K236" s="4"/>
    </row>
    <row r="237" spans="1:11" x14ac:dyDescent="0.25">
      <c r="A237" s="44" t="s">
        <v>23</v>
      </c>
      <c r="B237" s="25">
        <f>F233+F234</f>
        <v>77.706243638405113</v>
      </c>
      <c r="C237" s="16"/>
      <c r="D237" s="16"/>
      <c r="E237" s="16"/>
      <c r="F237" s="16"/>
      <c r="G237" s="16"/>
      <c r="H237" s="16"/>
      <c r="I237" s="16"/>
      <c r="J237" s="16"/>
      <c r="K237" s="4"/>
    </row>
    <row r="238" spans="1:11" x14ac:dyDescent="0.25">
      <c r="A238" s="44" t="s">
        <v>24</v>
      </c>
      <c r="B238" s="25">
        <f>G233+G234</f>
        <v>69.672261965218837</v>
      </c>
      <c r="C238" s="3"/>
      <c r="D238" s="16"/>
      <c r="E238" s="16"/>
      <c r="F238" s="16"/>
      <c r="G238" s="16"/>
      <c r="H238" s="16"/>
      <c r="I238" s="16"/>
      <c r="J238" s="16"/>
      <c r="K238" s="4"/>
    </row>
    <row r="239" spans="1:11" x14ac:dyDescent="0.25">
      <c r="A239" s="44" t="s">
        <v>34</v>
      </c>
      <c r="B239" s="25">
        <f>H233+H234</f>
        <v>8.0339816731862683</v>
      </c>
      <c r="C239" s="16"/>
      <c r="D239" s="16"/>
      <c r="E239" s="16"/>
      <c r="F239" s="16"/>
      <c r="G239" s="16"/>
      <c r="H239" s="16"/>
      <c r="I239" s="16"/>
      <c r="J239" s="16"/>
      <c r="K239" s="4"/>
    </row>
    <row r="240" spans="1:11" ht="15.75" thickBot="1" x14ac:dyDescent="0.3">
      <c r="A240" s="46" t="s">
        <v>35</v>
      </c>
      <c r="B240" s="35">
        <f>B238+B239</f>
        <v>77.706243638405113</v>
      </c>
      <c r="C240" s="37"/>
      <c r="D240" s="37"/>
      <c r="E240" s="37"/>
      <c r="F240" s="37"/>
      <c r="G240" s="37"/>
      <c r="H240" s="37"/>
      <c r="I240" s="37"/>
      <c r="J240" s="37"/>
      <c r="K240" s="41"/>
    </row>
  </sheetData>
  <mergeCells count="31">
    <mergeCell ref="D30:E30"/>
    <mergeCell ref="A30:C30"/>
    <mergeCell ref="A132:B132"/>
    <mergeCell ref="A153:A154"/>
    <mergeCell ref="A94:B94"/>
    <mergeCell ref="A210:B210"/>
    <mergeCell ref="A166:C166"/>
    <mergeCell ref="A171:B171"/>
    <mergeCell ref="A192:A193"/>
    <mergeCell ref="A205:C205"/>
    <mergeCell ref="A17:B17"/>
    <mergeCell ref="A115:A116"/>
    <mergeCell ref="A77:A78"/>
    <mergeCell ref="A128:C128"/>
    <mergeCell ref="A18:B18"/>
    <mergeCell ref="I12:I13"/>
    <mergeCell ref="H12:H13"/>
    <mergeCell ref="F12:G12"/>
    <mergeCell ref="C12:E12"/>
    <mergeCell ref="A231:A232"/>
    <mergeCell ref="F21:G21"/>
    <mergeCell ref="H21:H22"/>
    <mergeCell ref="I21:I22"/>
    <mergeCell ref="A23:A25"/>
    <mergeCell ref="A26:B26"/>
    <mergeCell ref="A52:C52"/>
    <mergeCell ref="A56:B56"/>
    <mergeCell ref="A90:C90"/>
    <mergeCell ref="C21:E21"/>
    <mergeCell ref="A27:B27"/>
    <mergeCell ref="A14:A16"/>
  </mergeCells>
  <conditionalFormatting sqref="F58">
    <cfRule type="cellIs" dxfId="33" priority="21" operator="notEqual">
      <formula>#REF!</formula>
    </cfRule>
    <cfRule type="cellIs" priority="22" operator="notEqual">
      <formula>#REF!</formula>
    </cfRule>
  </conditionalFormatting>
  <conditionalFormatting sqref="F59:F60">
    <cfRule type="cellIs" dxfId="32" priority="23" operator="notEqual">
      <formula>#REF!</formula>
    </cfRule>
  </conditionalFormatting>
  <conditionalFormatting sqref="F96">
    <cfRule type="cellIs" dxfId="31" priority="16" operator="notEqual">
      <formula>#REF!</formula>
    </cfRule>
    <cfRule type="cellIs" priority="17" operator="notEqual">
      <formula>#REF!</formula>
    </cfRule>
  </conditionalFormatting>
  <conditionalFormatting sqref="F97:F98">
    <cfRule type="cellIs" dxfId="30" priority="18" operator="notEqual">
      <formula>#REF!</formula>
    </cfRule>
  </conditionalFormatting>
  <conditionalFormatting sqref="F134">
    <cfRule type="cellIs" dxfId="29" priority="11" operator="notEqual">
      <formula>#REF!</formula>
    </cfRule>
    <cfRule type="cellIs" priority="12" operator="notEqual">
      <formula>#REF!</formula>
    </cfRule>
  </conditionalFormatting>
  <conditionalFormatting sqref="F135:F136">
    <cfRule type="cellIs" dxfId="28" priority="13" operator="notEqual">
      <formula>#REF!</formula>
    </cfRule>
  </conditionalFormatting>
  <conditionalFormatting sqref="F173">
    <cfRule type="cellIs" dxfId="27" priority="6" operator="notEqual">
      <formula>#REF!</formula>
    </cfRule>
    <cfRule type="cellIs" priority="7" operator="notEqual">
      <formula>#REF!</formula>
    </cfRule>
  </conditionalFormatting>
  <conditionalFormatting sqref="F174:F175">
    <cfRule type="cellIs" dxfId="26" priority="8" operator="notEqual">
      <formula>#REF!</formula>
    </cfRule>
  </conditionalFormatting>
  <conditionalFormatting sqref="F212">
    <cfRule type="cellIs" dxfId="25" priority="1" operator="notEqual">
      <formula>#REF!</formula>
    </cfRule>
    <cfRule type="cellIs" priority="2" operator="notEqual">
      <formula>#REF!</formula>
    </cfRule>
  </conditionalFormatting>
  <conditionalFormatting sqref="F213:F214">
    <cfRule type="cellIs" dxfId="24" priority="3" operator="notEqual">
      <formula>#REF!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650611-C079-4B21-BA83-1DECDBB403AD}">
  <dimension ref="A1:V247"/>
  <sheetViews>
    <sheetView zoomScaleNormal="100" workbookViewId="0">
      <selection activeCell="D9" sqref="D9"/>
    </sheetView>
  </sheetViews>
  <sheetFormatPr baseColWidth="10" defaultColWidth="9.140625" defaultRowHeight="15" x14ac:dyDescent="0.25"/>
  <cols>
    <col min="1" max="1" width="14.5703125" style="5" customWidth="1"/>
    <col min="2" max="2" width="11.85546875" style="5" customWidth="1"/>
    <col min="3" max="3" width="11.42578125" style="5" customWidth="1"/>
    <col min="4" max="4" width="9.85546875" style="5" customWidth="1"/>
    <col min="5" max="5" width="9.7109375" style="5" customWidth="1"/>
    <col min="6" max="7" width="9.140625" style="5"/>
    <col min="8" max="9" width="10.7109375" style="5" bestFit="1" customWidth="1"/>
    <col min="10" max="10" width="12.28515625" style="5" customWidth="1"/>
    <col min="11" max="17" width="9.140625" style="5"/>
    <col min="18" max="18" width="10.7109375" style="5" bestFit="1" customWidth="1"/>
    <col min="19" max="16384" width="9.140625" style="5"/>
  </cols>
  <sheetData>
    <row r="1" spans="1:22" x14ac:dyDescent="0.25">
      <c r="A1" s="5" t="s">
        <v>141</v>
      </c>
      <c r="V1" s="3"/>
    </row>
    <row r="2" spans="1:22" ht="15.75" thickBot="1" x14ac:dyDescent="0.3">
      <c r="L2" s="3"/>
      <c r="T2" s="3"/>
      <c r="U2" s="3"/>
      <c r="V2" s="3"/>
    </row>
    <row r="3" spans="1:22" ht="15.75" thickBot="1" x14ac:dyDescent="0.3">
      <c r="A3" s="72" t="s">
        <v>107</v>
      </c>
      <c r="B3" s="73"/>
      <c r="C3" s="73"/>
      <c r="D3" s="73"/>
      <c r="E3" s="73"/>
      <c r="F3" s="73"/>
      <c r="G3" s="73"/>
      <c r="H3" s="73"/>
      <c r="I3" s="73"/>
      <c r="J3" s="73"/>
      <c r="K3" s="77"/>
      <c r="L3" s="6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15.75" thickBot="1" x14ac:dyDescent="0.3">
      <c r="A4" s="7" t="s">
        <v>72</v>
      </c>
      <c r="B4" s="99" t="s">
        <v>51</v>
      </c>
      <c r="C4" s="100" t="s">
        <v>50</v>
      </c>
      <c r="D4" s="7" t="s">
        <v>62</v>
      </c>
      <c r="E4" s="103" t="s">
        <v>65</v>
      </c>
      <c r="F4" s="1"/>
      <c r="G4" s="1"/>
      <c r="H4" s="1"/>
      <c r="I4" s="1"/>
      <c r="J4" s="1"/>
      <c r="K4" s="2"/>
      <c r="L4" s="6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x14ac:dyDescent="0.25">
      <c r="A5" s="6" t="s">
        <v>6</v>
      </c>
      <c r="B5" s="40">
        <v>35</v>
      </c>
      <c r="C5" s="25">
        <f>C19/B5</f>
        <v>17.370067472977066</v>
      </c>
      <c r="D5" s="6" t="s">
        <v>63</v>
      </c>
      <c r="E5" s="92">
        <v>0.1</v>
      </c>
      <c r="F5" s="3"/>
      <c r="G5" s="3"/>
      <c r="H5" s="3"/>
      <c r="I5" s="3"/>
      <c r="J5" s="3"/>
      <c r="K5" s="4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15.75" thickBot="1" x14ac:dyDescent="0.3">
      <c r="A6" s="6" t="s">
        <v>7</v>
      </c>
      <c r="B6" s="40">
        <v>16</v>
      </c>
      <c r="C6" s="25">
        <f>D19/B6</f>
        <v>29.271878443615233</v>
      </c>
      <c r="D6" s="38" t="s">
        <v>64</v>
      </c>
      <c r="E6" s="93">
        <v>0.5</v>
      </c>
      <c r="F6" s="3"/>
      <c r="G6" s="3"/>
      <c r="H6" s="3"/>
      <c r="I6" s="3"/>
      <c r="J6" s="3"/>
      <c r="K6" s="4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x14ac:dyDescent="0.25">
      <c r="A7" s="6" t="s">
        <v>8</v>
      </c>
      <c r="B7" s="40">
        <v>20</v>
      </c>
      <c r="C7" s="25">
        <f>E19/B7</f>
        <v>12.316369639370407</v>
      </c>
      <c r="D7" s="3"/>
      <c r="E7" s="3"/>
      <c r="F7" s="3"/>
      <c r="G7" s="3"/>
      <c r="H7" s="3"/>
      <c r="I7" s="3"/>
      <c r="J7" s="3"/>
      <c r="K7" s="4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x14ac:dyDescent="0.25">
      <c r="A8" s="6" t="s">
        <v>9</v>
      </c>
      <c r="B8" s="40">
        <v>27</v>
      </c>
      <c r="C8" s="25">
        <f>F19/B8</f>
        <v>1.144848004141783</v>
      </c>
      <c r="D8" s="3"/>
      <c r="E8" s="3"/>
      <c r="F8" s="3"/>
      <c r="G8" s="3"/>
      <c r="H8" s="16"/>
      <c r="I8" s="3"/>
      <c r="J8" s="3"/>
      <c r="K8" s="4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15.75" thickBot="1" x14ac:dyDescent="0.3">
      <c r="A9" s="38" t="s">
        <v>10</v>
      </c>
      <c r="B9" s="47">
        <v>21</v>
      </c>
      <c r="C9" s="35">
        <f>G19/B9</f>
        <v>3.7002973161145292</v>
      </c>
      <c r="D9" s="3"/>
      <c r="E9" s="3"/>
      <c r="F9" s="3"/>
      <c r="G9" s="3"/>
      <c r="H9" s="3"/>
      <c r="I9" s="3"/>
      <c r="J9" s="3"/>
      <c r="K9" s="4"/>
      <c r="L9" s="3"/>
      <c r="M9" s="3"/>
      <c r="N9" s="3"/>
      <c r="O9" s="3"/>
      <c r="P9" s="3"/>
      <c r="Q9" s="3"/>
      <c r="R9" s="3"/>
      <c r="S9" s="3"/>
      <c r="T9" s="3"/>
      <c r="U9" s="3"/>
    </row>
    <row r="10" spans="1:22" ht="15.75" thickBot="1" x14ac:dyDescent="0.3">
      <c r="A10" s="6"/>
      <c r="B10" s="3"/>
      <c r="C10" s="3"/>
      <c r="D10" s="3"/>
      <c r="E10" s="3"/>
      <c r="F10" s="3"/>
      <c r="G10" s="3"/>
      <c r="H10" s="3"/>
      <c r="I10" s="3"/>
      <c r="J10" s="3"/>
      <c r="K10" s="4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15.75" thickBot="1" x14ac:dyDescent="0.3">
      <c r="A11" s="7" t="s">
        <v>98</v>
      </c>
      <c r="B11" s="8"/>
      <c r="C11" s="8"/>
      <c r="D11" s="8"/>
      <c r="E11" s="8"/>
      <c r="F11" s="8"/>
      <c r="G11" s="8"/>
      <c r="H11" s="8"/>
      <c r="I11" s="8"/>
      <c r="J11" s="9"/>
      <c r="K11" s="4"/>
      <c r="L11" s="3"/>
      <c r="M11" s="3"/>
      <c r="N11" s="3"/>
      <c r="O11" s="3"/>
      <c r="P11" s="3"/>
      <c r="Q11" s="3"/>
      <c r="R11" s="3"/>
      <c r="S11" s="3"/>
      <c r="T11" s="3"/>
    </row>
    <row r="12" spans="1:22" x14ac:dyDescent="0.25">
      <c r="A12" s="6"/>
      <c r="B12" s="10"/>
      <c r="C12" s="133" t="s">
        <v>49</v>
      </c>
      <c r="D12" s="135"/>
      <c r="E12" s="134"/>
      <c r="F12" s="133" t="s">
        <v>25</v>
      </c>
      <c r="G12" s="134"/>
      <c r="H12" s="131" t="s">
        <v>83</v>
      </c>
      <c r="I12" s="152" t="s">
        <v>82</v>
      </c>
      <c r="J12" s="129" t="s">
        <v>26</v>
      </c>
      <c r="K12" s="4"/>
      <c r="L12" s="3"/>
      <c r="M12" s="3"/>
      <c r="N12" s="3"/>
      <c r="O12" s="3"/>
      <c r="P12" s="3"/>
      <c r="Q12" s="3"/>
      <c r="R12" s="3"/>
      <c r="S12" s="3"/>
      <c r="T12" s="3"/>
    </row>
    <row r="13" spans="1:22" x14ac:dyDescent="0.25">
      <c r="A13" s="11"/>
      <c r="B13" s="12"/>
      <c r="C13" s="13">
        <v>1</v>
      </c>
      <c r="D13" s="14">
        <v>2</v>
      </c>
      <c r="E13" s="95">
        <v>3</v>
      </c>
      <c r="F13" s="13">
        <v>1</v>
      </c>
      <c r="G13" s="95">
        <v>2</v>
      </c>
      <c r="H13" s="132"/>
      <c r="I13" s="153"/>
      <c r="J13" s="130"/>
      <c r="K13" s="4"/>
      <c r="L13" s="3"/>
      <c r="M13" s="3"/>
      <c r="N13" s="3"/>
      <c r="O13" s="3"/>
      <c r="P13" s="3"/>
      <c r="Q13" s="3"/>
      <c r="R13" s="3"/>
      <c r="S13" s="3"/>
      <c r="T13" s="3"/>
    </row>
    <row r="14" spans="1:22" x14ac:dyDescent="0.25">
      <c r="A14" s="137" t="s">
        <v>27</v>
      </c>
      <c r="B14" s="15">
        <v>1</v>
      </c>
      <c r="C14" s="21">
        <f>B5*(B65+B66)</f>
        <v>212.64907930279446</v>
      </c>
      <c r="D14" s="22">
        <f>B5*(B104+B105)</f>
        <v>128.80215938649599</v>
      </c>
      <c r="E14" s="22">
        <f>B5*(B143+B144)</f>
        <v>102.35741737014665</v>
      </c>
      <c r="F14" s="21">
        <f>B5*(B183+B184)</f>
        <v>11.212103409373215</v>
      </c>
      <c r="G14" s="23">
        <f>B5*(B223+B224)</f>
        <v>22.258443854138431</v>
      </c>
      <c r="H14" s="24">
        <f>C19-SUM(C14:G14)-I14</f>
        <v>107.53381319324414</v>
      </c>
      <c r="I14" s="24">
        <v>23.139345038004375</v>
      </c>
      <c r="J14" s="25">
        <f>SUM(C14:I14)</f>
        <v>607.9523615541973</v>
      </c>
      <c r="K14" s="4"/>
      <c r="L14" s="3"/>
      <c r="M14" s="3"/>
      <c r="N14" s="3"/>
      <c r="O14" s="3"/>
      <c r="P14" s="3"/>
      <c r="Q14" s="3"/>
      <c r="R14" s="3"/>
      <c r="S14" s="3"/>
      <c r="T14" s="3"/>
    </row>
    <row r="15" spans="1:22" x14ac:dyDescent="0.25">
      <c r="A15" s="137"/>
      <c r="B15" s="18">
        <v>2</v>
      </c>
      <c r="C15" s="21">
        <f>B6*(C65+C66)</f>
        <v>151.85384314737473</v>
      </c>
      <c r="D15" s="22">
        <f>B6*(C104+C105)</f>
        <v>222.47217040606481</v>
      </c>
      <c r="E15" s="22">
        <f>B6*(C143+C144)</f>
        <v>24.632739278740836</v>
      </c>
      <c r="F15" s="21">
        <f>B6*(C183+C184)</f>
        <v>5.0299241870075919</v>
      </c>
      <c r="G15" s="23">
        <f>B6*(C223+C224)</f>
        <v>16.331320655718358</v>
      </c>
      <c r="H15" s="24">
        <f>D19-SUM(C15:G15)-I15</f>
        <v>39.52498961905281</v>
      </c>
      <c r="I15" s="24">
        <v>8.5050678038846215</v>
      </c>
      <c r="J15" s="25">
        <f>SUM(C15:I15)</f>
        <v>468.35005509784372</v>
      </c>
      <c r="K15" s="4"/>
      <c r="L15" s="3"/>
      <c r="M15" s="3"/>
      <c r="N15" s="3"/>
      <c r="O15" s="3"/>
      <c r="P15" s="3"/>
      <c r="Q15" s="3"/>
      <c r="R15" s="3"/>
      <c r="S15" s="3"/>
      <c r="T15" s="3"/>
    </row>
    <row r="16" spans="1:22" x14ac:dyDescent="0.25">
      <c r="A16" s="137"/>
      <c r="B16" s="18">
        <v>3</v>
      </c>
      <c r="C16" s="21">
        <f>B7*(D65+D66)</f>
        <v>91.327101474304357</v>
      </c>
      <c r="D16" s="22">
        <f>B7*(D104+D105)</f>
        <v>58.537862652641543</v>
      </c>
      <c r="E16" s="22">
        <f>B7*(D143+D144)</f>
        <v>31.747539162221862</v>
      </c>
      <c r="F16" s="21">
        <f>B7*(D183+D184)</f>
        <v>6.5478547172569437</v>
      </c>
      <c r="G16" s="23">
        <f>B7*(D223+D224)</f>
        <v>31.082497455362056</v>
      </c>
      <c r="H16" s="24">
        <f>E19-SUM(C16:G16)-I16</f>
        <v>22.288460894506322</v>
      </c>
      <c r="I16" s="24">
        <v>4.7960764311150736</v>
      </c>
      <c r="J16" s="25">
        <f>SUM(C16:I16)</f>
        <v>246.32739278740814</v>
      </c>
      <c r="K16" s="4"/>
      <c r="L16" s="3"/>
      <c r="M16" s="3"/>
      <c r="N16" s="3"/>
      <c r="O16" s="3"/>
      <c r="P16" s="3"/>
      <c r="Q16" s="3"/>
      <c r="R16" s="3"/>
      <c r="S16" s="3"/>
      <c r="T16" s="3"/>
    </row>
    <row r="17" spans="1:22" x14ac:dyDescent="0.25">
      <c r="A17" s="138" t="s">
        <v>66</v>
      </c>
      <c r="B17" s="139"/>
      <c r="C17" s="26">
        <f>D75+D76</f>
        <v>16.212233762972382</v>
      </c>
      <c r="D17" s="27">
        <f>D114+D115</f>
        <v>6.8537862652641381</v>
      </c>
      <c r="E17" s="28">
        <f>D153+D154</f>
        <v>9.7589696976298814</v>
      </c>
      <c r="F17" s="26">
        <f>D193+D194</f>
        <v>1.8121013798190393</v>
      </c>
      <c r="G17" s="28">
        <f>D233+D234</f>
        <v>1.8033981673186268</v>
      </c>
      <c r="H17" s="29"/>
      <c r="I17" s="29"/>
      <c r="J17" s="30">
        <f>SUM(C17:G17)</f>
        <v>36.440489273004069</v>
      </c>
      <c r="K17" s="4"/>
      <c r="L17" s="3"/>
      <c r="M17" s="3"/>
      <c r="N17" s="3"/>
      <c r="O17" s="3"/>
      <c r="P17" s="3"/>
      <c r="Q17" s="3"/>
      <c r="R17" s="3"/>
      <c r="S17" s="3"/>
      <c r="T17" s="3"/>
    </row>
    <row r="18" spans="1:22" x14ac:dyDescent="0.25">
      <c r="A18" s="138" t="s">
        <v>67</v>
      </c>
      <c r="B18" s="139"/>
      <c r="C18" s="26">
        <f>C75+C76</f>
        <v>135.91010386675143</v>
      </c>
      <c r="D18" s="27">
        <f>C114+C115</f>
        <v>51.684076387377246</v>
      </c>
      <c r="E18" s="28">
        <f>C153+C154</f>
        <v>77.830727278668917</v>
      </c>
      <c r="F18" s="26">
        <f>C193+C194</f>
        <v>6.3089124183713521</v>
      </c>
      <c r="G18" s="28">
        <f>C233+C234</f>
        <v>6.2305835058676431</v>
      </c>
      <c r="H18" s="29"/>
      <c r="I18" s="29"/>
      <c r="J18" s="30"/>
      <c r="K18" s="4"/>
      <c r="L18" s="3"/>
      <c r="M18" s="3"/>
      <c r="N18" s="3"/>
      <c r="O18" s="3"/>
      <c r="P18" s="3"/>
      <c r="Q18" s="3"/>
      <c r="R18" s="3"/>
      <c r="S18" s="3"/>
      <c r="T18" s="3"/>
    </row>
    <row r="19" spans="1:22" ht="15.75" thickBot="1" x14ac:dyDescent="0.3">
      <c r="A19" s="146" t="s">
        <v>23</v>
      </c>
      <c r="B19" s="147"/>
      <c r="C19" s="31">
        <f>F81+F82</f>
        <v>607.9523615541973</v>
      </c>
      <c r="D19" s="32">
        <f>F120+F121</f>
        <v>468.35005509784372</v>
      </c>
      <c r="E19" s="33">
        <f>F159+F160</f>
        <v>246.32739278740814</v>
      </c>
      <c r="F19" s="31">
        <f>F199+F200</f>
        <v>30.910896111828141</v>
      </c>
      <c r="G19" s="33">
        <f>F239+F240</f>
        <v>77.706243638405113</v>
      </c>
      <c r="H19" s="34"/>
      <c r="I19" s="34">
        <f>SUM(I14:I16)</f>
        <v>36.440489273004069</v>
      </c>
      <c r="J19" s="35"/>
      <c r="K19" s="4"/>
      <c r="L19" s="3"/>
      <c r="M19" s="3"/>
      <c r="N19" s="3"/>
      <c r="O19" s="3"/>
      <c r="P19" s="3"/>
      <c r="Q19" s="3"/>
      <c r="R19" s="3"/>
      <c r="S19" s="3"/>
      <c r="T19" s="3"/>
    </row>
    <row r="20" spans="1:22" ht="15.75" thickBot="1" x14ac:dyDescent="0.3">
      <c r="A20" s="39"/>
      <c r="B20" s="40"/>
      <c r="C20" s="22"/>
      <c r="D20" s="22"/>
      <c r="E20" s="22"/>
      <c r="F20" s="22"/>
      <c r="G20" s="22"/>
      <c r="H20" s="22"/>
      <c r="I20" s="22"/>
      <c r="J20" s="22"/>
      <c r="K20" s="4"/>
      <c r="L20" s="40"/>
      <c r="M20" s="40"/>
      <c r="N20" s="22"/>
      <c r="O20" s="22"/>
      <c r="P20" s="22"/>
      <c r="Q20" s="22"/>
      <c r="R20" s="22"/>
      <c r="S20" s="22"/>
      <c r="T20" s="22"/>
      <c r="U20" s="22"/>
      <c r="V20" s="3"/>
    </row>
    <row r="21" spans="1:22" ht="15.75" thickBot="1" x14ac:dyDescent="0.3">
      <c r="A21" s="7" t="s">
        <v>106</v>
      </c>
      <c r="B21" s="8"/>
      <c r="C21" s="8"/>
      <c r="D21" s="8"/>
      <c r="E21" s="8"/>
      <c r="F21" s="8"/>
      <c r="G21" s="8"/>
      <c r="H21" s="8"/>
      <c r="I21" s="8"/>
      <c r="J21" s="9"/>
      <c r="K21" s="4"/>
      <c r="L21" s="40"/>
      <c r="M21" s="40"/>
      <c r="N21" s="22"/>
      <c r="O21" s="22"/>
      <c r="P21" s="22"/>
      <c r="Q21" s="22"/>
      <c r="R21" s="22"/>
      <c r="S21" s="22"/>
      <c r="T21" s="22"/>
      <c r="U21" s="22"/>
      <c r="V21" s="3"/>
    </row>
    <row r="22" spans="1:22" x14ac:dyDescent="0.25">
      <c r="A22" s="6"/>
      <c r="B22" s="10"/>
      <c r="C22" s="133" t="s">
        <v>49</v>
      </c>
      <c r="D22" s="135"/>
      <c r="E22" s="134"/>
      <c r="F22" s="133" t="s">
        <v>25</v>
      </c>
      <c r="G22" s="134"/>
      <c r="H22" s="154" t="s">
        <v>83</v>
      </c>
      <c r="I22" s="154" t="s">
        <v>82</v>
      </c>
      <c r="J22" s="129" t="s">
        <v>26</v>
      </c>
      <c r="K22" s="4"/>
      <c r="L22" s="40"/>
      <c r="M22" s="40"/>
      <c r="N22" s="22"/>
      <c r="O22" s="22"/>
      <c r="P22" s="22"/>
      <c r="Q22" s="22"/>
      <c r="R22" s="22"/>
      <c r="S22" s="22"/>
      <c r="T22" s="22"/>
      <c r="U22" s="22"/>
      <c r="V22" s="3"/>
    </row>
    <row r="23" spans="1:22" x14ac:dyDescent="0.25">
      <c r="A23" s="11"/>
      <c r="B23" s="12"/>
      <c r="C23" s="13">
        <v>1</v>
      </c>
      <c r="D23" s="14">
        <v>2</v>
      </c>
      <c r="E23" s="95">
        <v>3</v>
      </c>
      <c r="F23" s="13">
        <v>1</v>
      </c>
      <c r="G23" s="95">
        <v>2</v>
      </c>
      <c r="H23" s="132"/>
      <c r="I23" s="132"/>
      <c r="J23" s="130"/>
      <c r="K23" s="4"/>
      <c r="L23" s="40"/>
      <c r="M23" s="40"/>
      <c r="N23" s="22"/>
      <c r="O23" s="22"/>
      <c r="P23" s="22"/>
      <c r="Q23" s="22"/>
      <c r="R23" s="22"/>
      <c r="S23" s="22"/>
      <c r="T23" s="22"/>
      <c r="U23" s="22"/>
      <c r="V23" s="3"/>
    </row>
    <row r="24" spans="1:22" x14ac:dyDescent="0.25">
      <c r="A24" s="137" t="s">
        <v>27</v>
      </c>
      <c r="B24" s="15">
        <v>1</v>
      </c>
      <c r="C24" s="21">
        <f>C14/$C$19</f>
        <v>0.34977918131474744</v>
      </c>
      <c r="D24" s="22">
        <f t="shared" ref="D24:D29" si="0">D14/$D$19</f>
        <v>0.27501258510493337</v>
      </c>
      <c r="E24" s="22">
        <f t="shared" ref="E24:E29" si="1">E14/$E$19</f>
        <v>0.41553404277081679</v>
      </c>
      <c r="F24" s="21">
        <f t="shared" ref="F24:F29" si="2">F14/$F$19</f>
        <v>0.36272333771271265</v>
      </c>
      <c r="G24" s="23">
        <f t="shared" ref="G24:G29" si="3">G14/$G$19</f>
        <v>0.28644344150406903</v>
      </c>
      <c r="H24" s="24" t="s">
        <v>97</v>
      </c>
      <c r="I24" s="24" t="s">
        <v>97</v>
      </c>
      <c r="J24" s="25" t="s">
        <v>97</v>
      </c>
      <c r="K24" s="4"/>
      <c r="L24" s="40"/>
      <c r="M24" s="40"/>
      <c r="N24" s="22"/>
      <c r="O24" s="22"/>
      <c r="P24" s="22"/>
      <c r="Q24" s="22"/>
      <c r="R24" s="22"/>
      <c r="S24" s="22"/>
      <c r="T24" s="22"/>
      <c r="U24" s="22"/>
      <c r="V24" s="3"/>
    </row>
    <row r="25" spans="1:22" x14ac:dyDescent="0.25">
      <c r="A25" s="137"/>
      <c r="B25" s="18">
        <v>2</v>
      </c>
      <c r="C25" s="21">
        <f>C15/$C$19</f>
        <v>0.24977918131474744</v>
      </c>
      <c r="D25" s="22">
        <f t="shared" si="0"/>
        <v>0.47501258510493355</v>
      </c>
      <c r="E25" s="22">
        <f t="shared" si="1"/>
        <v>0.10000000000000009</v>
      </c>
      <c r="F25" s="21">
        <f t="shared" si="2"/>
        <v>0.1627233377127128</v>
      </c>
      <c r="G25" s="23">
        <f t="shared" si="3"/>
        <v>0.21016741887194834</v>
      </c>
      <c r="H25" s="24" t="s">
        <v>97</v>
      </c>
      <c r="I25" s="24" t="s">
        <v>97</v>
      </c>
      <c r="J25" s="25" t="s">
        <v>97</v>
      </c>
      <c r="K25" s="4"/>
      <c r="L25" s="40"/>
      <c r="M25" s="40"/>
      <c r="N25" s="22"/>
      <c r="O25" s="22"/>
      <c r="P25" s="22"/>
      <c r="Q25" s="22"/>
      <c r="R25" s="22"/>
      <c r="S25" s="22"/>
      <c r="T25" s="22"/>
      <c r="U25" s="22"/>
      <c r="V25" s="3"/>
    </row>
    <row r="26" spans="1:22" x14ac:dyDescent="0.25">
      <c r="A26" s="137"/>
      <c r="B26" s="18">
        <v>3</v>
      </c>
      <c r="C26" s="21">
        <f>C16/$C$19</f>
        <v>0.15022081868525286</v>
      </c>
      <c r="D26" s="22">
        <f t="shared" si="0"/>
        <v>0.12498741489506671</v>
      </c>
      <c r="E26" s="22">
        <f t="shared" si="1"/>
        <v>0.12888351069270418</v>
      </c>
      <c r="F26" s="21">
        <f t="shared" si="2"/>
        <v>0.21182998686186225</v>
      </c>
      <c r="G26" s="23">
        <f t="shared" si="3"/>
        <v>0.40000000000000013</v>
      </c>
      <c r="H26" s="24" t="s">
        <v>97</v>
      </c>
      <c r="I26" s="24" t="s">
        <v>97</v>
      </c>
      <c r="J26" s="25" t="s">
        <v>97</v>
      </c>
      <c r="K26" s="4"/>
      <c r="L26" s="40"/>
      <c r="M26" s="40"/>
      <c r="N26" s="22"/>
      <c r="O26" s="22"/>
      <c r="P26" s="22"/>
      <c r="Q26" s="22"/>
      <c r="R26" s="22"/>
      <c r="S26" s="22"/>
      <c r="T26" s="22"/>
      <c r="U26" s="22"/>
      <c r="V26" s="3"/>
    </row>
    <row r="27" spans="1:22" x14ac:dyDescent="0.25">
      <c r="A27" s="138" t="s">
        <v>66</v>
      </c>
      <c r="B27" s="139"/>
      <c r="C27" s="26">
        <f>C17/$C$19</f>
        <v>2.6666947590312313E-2</v>
      </c>
      <c r="D27" s="27">
        <f t="shared" si="0"/>
        <v>1.4633896570872194E-2</v>
      </c>
      <c r="E27" s="28">
        <f t="shared" si="1"/>
        <v>3.9617882474209117E-2</v>
      </c>
      <c r="F27" s="26">
        <f t="shared" si="2"/>
        <v>5.8623385529274048E-2</v>
      </c>
      <c r="G27" s="28">
        <f t="shared" si="3"/>
        <v>2.3207892736528124E-2</v>
      </c>
      <c r="H27" s="29"/>
      <c r="I27" s="26"/>
      <c r="J27" s="30" t="s">
        <v>97</v>
      </c>
      <c r="K27" s="4"/>
      <c r="L27" s="40"/>
      <c r="M27" s="40"/>
      <c r="N27" s="22"/>
      <c r="O27" s="22"/>
      <c r="P27" s="22"/>
      <c r="Q27" s="22"/>
      <c r="R27" s="22"/>
      <c r="S27" s="22"/>
      <c r="T27" s="22"/>
      <c r="U27" s="22"/>
      <c r="V27" s="3"/>
    </row>
    <row r="28" spans="1:22" x14ac:dyDescent="0.25">
      <c r="A28" s="138" t="s">
        <v>67</v>
      </c>
      <c r="B28" s="139"/>
      <c r="C28" s="26">
        <f>C18/$C$19</f>
        <v>0.22355387109494007</v>
      </c>
      <c r="D28" s="27">
        <f t="shared" si="0"/>
        <v>0.11035351832419417</v>
      </c>
      <c r="E28" s="28">
        <f t="shared" si="1"/>
        <v>0.3159645640622698</v>
      </c>
      <c r="F28" s="26">
        <f t="shared" si="2"/>
        <v>0.20409995218343829</v>
      </c>
      <c r="G28" s="28">
        <f t="shared" si="3"/>
        <v>8.0181246887454399E-2</v>
      </c>
      <c r="H28" s="29"/>
      <c r="I28" s="26"/>
      <c r="J28" s="30"/>
      <c r="K28" s="4"/>
      <c r="L28" s="40"/>
      <c r="M28" s="40"/>
      <c r="N28" s="22"/>
      <c r="O28" s="22"/>
      <c r="P28" s="22"/>
      <c r="Q28" s="22"/>
      <c r="R28" s="22"/>
      <c r="S28" s="22"/>
      <c r="T28" s="22"/>
      <c r="U28" s="22"/>
      <c r="V28" s="3"/>
    </row>
    <row r="29" spans="1:22" ht="15.75" thickBot="1" x14ac:dyDescent="0.3">
      <c r="A29" s="146" t="s">
        <v>23</v>
      </c>
      <c r="B29" s="147"/>
      <c r="C29" s="31">
        <f>C19/C19</f>
        <v>1</v>
      </c>
      <c r="D29" s="32">
        <f t="shared" si="0"/>
        <v>1</v>
      </c>
      <c r="E29" s="33">
        <f t="shared" si="1"/>
        <v>1</v>
      </c>
      <c r="F29" s="31">
        <f t="shared" si="2"/>
        <v>1</v>
      </c>
      <c r="G29" s="33">
        <f t="shared" si="3"/>
        <v>1</v>
      </c>
      <c r="H29" s="34"/>
      <c r="I29" s="34" t="s">
        <v>97</v>
      </c>
      <c r="J29" s="35"/>
      <c r="K29" s="4"/>
      <c r="L29" s="40"/>
      <c r="M29" s="40"/>
      <c r="N29" s="22"/>
      <c r="O29" s="22"/>
      <c r="P29" s="22"/>
      <c r="Q29" s="22"/>
      <c r="R29" s="22"/>
      <c r="S29" s="22"/>
      <c r="T29" s="22"/>
      <c r="U29" s="22"/>
      <c r="V29" s="3"/>
    </row>
    <row r="30" spans="1:22" ht="15.75" thickBot="1" x14ac:dyDescent="0.3">
      <c r="A30" s="39"/>
      <c r="B30" s="40"/>
      <c r="C30" s="22"/>
      <c r="D30" s="22"/>
      <c r="E30" s="22"/>
      <c r="F30" s="22"/>
      <c r="G30" s="22"/>
      <c r="H30" s="22"/>
      <c r="I30" s="22"/>
      <c r="J30" s="22"/>
      <c r="K30" s="4"/>
      <c r="L30" s="40"/>
      <c r="M30" s="40"/>
      <c r="N30" s="22"/>
      <c r="O30" s="22"/>
      <c r="P30" s="22"/>
      <c r="Q30" s="22"/>
      <c r="R30" s="22"/>
      <c r="S30" s="22"/>
      <c r="T30" s="22"/>
      <c r="U30" s="22"/>
      <c r="V30" s="3"/>
    </row>
    <row r="31" spans="1:22" ht="15.75" thickBot="1" x14ac:dyDescent="0.3">
      <c r="A31" s="87" t="s">
        <v>79</v>
      </c>
      <c r="B31" s="78"/>
      <c r="C31" s="82"/>
      <c r="D31" s="82"/>
      <c r="E31" s="82"/>
      <c r="F31" s="82"/>
      <c r="G31" s="82"/>
      <c r="H31" s="82"/>
      <c r="I31" s="79"/>
      <c r="J31" s="22"/>
      <c r="K31" s="4"/>
      <c r="L31" s="40"/>
      <c r="M31" s="40"/>
      <c r="N31" s="22"/>
      <c r="O31" s="22"/>
      <c r="P31" s="22"/>
      <c r="Q31" s="22"/>
      <c r="R31" s="22"/>
      <c r="S31" s="22"/>
      <c r="T31" s="22"/>
      <c r="U31" s="22"/>
      <c r="V31" s="3"/>
    </row>
    <row r="32" spans="1:22" x14ac:dyDescent="0.25">
      <c r="A32" s="150" t="s">
        <v>54</v>
      </c>
      <c r="B32" s="135"/>
      <c r="C32" s="134"/>
      <c r="D32" s="148" t="s">
        <v>55</v>
      </c>
      <c r="E32" s="149"/>
      <c r="F32" s="119" t="s">
        <v>56</v>
      </c>
      <c r="G32" s="116" t="s">
        <v>57</v>
      </c>
      <c r="H32" s="113" t="s">
        <v>100</v>
      </c>
      <c r="I32" s="123" t="s">
        <v>99</v>
      </c>
      <c r="J32" s="22"/>
      <c r="K32" s="4"/>
      <c r="L32" s="40"/>
      <c r="M32" s="40"/>
      <c r="N32" s="22"/>
      <c r="O32" s="22"/>
      <c r="P32" s="22"/>
      <c r="Q32" s="22"/>
      <c r="R32" s="22"/>
      <c r="S32" s="22"/>
      <c r="T32" s="22"/>
      <c r="U32" s="22"/>
      <c r="V32" s="3"/>
    </row>
    <row r="33" spans="1:20" x14ac:dyDescent="0.25">
      <c r="A33" s="80">
        <f t="shared" ref="A33:E35" si="4">C24</f>
        <v>0.34977918131474744</v>
      </c>
      <c r="B33" s="22">
        <f t="shared" si="4"/>
        <v>0.27501258510493337</v>
      </c>
      <c r="C33" s="66">
        <f t="shared" si="4"/>
        <v>0.41553404277081679</v>
      </c>
      <c r="D33" s="65">
        <f t="shared" si="4"/>
        <v>0.36272333771271265</v>
      </c>
      <c r="E33" s="66">
        <f t="shared" si="4"/>
        <v>0.28644344150406903</v>
      </c>
      <c r="F33" s="85">
        <f>C19</f>
        <v>607.9523615541973</v>
      </c>
      <c r="G33" s="22">
        <f>F19</f>
        <v>30.910896111828141</v>
      </c>
      <c r="H33" s="85">
        <f t="shared" ref="H33:I35" si="5">H14</f>
        <v>107.53381319324414</v>
      </c>
      <c r="I33" s="122">
        <f t="shared" si="5"/>
        <v>23.139345038004375</v>
      </c>
      <c r="J33" s="3"/>
      <c r="K33" s="36"/>
      <c r="L33" s="40"/>
      <c r="M33" s="22"/>
      <c r="N33" s="22"/>
      <c r="O33" s="22"/>
      <c r="P33" s="22"/>
      <c r="Q33" s="22"/>
      <c r="R33" s="22"/>
      <c r="S33" s="22"/>
      <c r="T33" s="22"/>
    </row>
    <row r="34" spans="1:20" x14ac:dyDescent="0.25">
      <c r="A34" s="80">
        <f t="shared" si="4"/>
        <v>0.24977918131474744</v>
      </c>
      <c r="B34" s="22">
        <f t="shared" si="4"/>
        <v>0.47501258510493355</v>
      </c>
      <c r="C34" s="23">
        <f t="shared" si="4"/>
        <v>0.10000000000000009</v>
      </c>
      <c r="D34" s="21">
        <f t="shared" si="4"/>
        <v>0.1627233377127128</v>
      </c>
      <c r="E34" s="23">
        <f t="shared" si="4"/>
        <v>0.21016741887194834</v>
      </c>
      <c r="F34" s="24">
        <f>D19</f>
        <v>468.35005509784372</v>
      </c>
      <c r="G34" s="22">
        <f>G19</f>
        <v>77.706243638405113</v>
      </c>
      <c r="H34" s="21">
        <f t="shared" si="5"/>
        <v>39.52498961905281</v>
      </c>
      <c r="I34" s="121">
        <f t="shared" si="5"/>
        <v>8.5050678038846215</v>
      </c>
      <c r="J34" s="3"/>
      <c r="K34" s="36"/>
      <c r="L34" s="40"/>
      <c r="M34" s="22"/>
      <c r="N34" s="22"/>
      <c r="O34" s="22"/>
      <c r="P34" s="22"/>
      <c r="Q34" s="22"/>
      <c r="R34" s="22"/>
      <c r="S34" s="22"/>
      <c r="T34" s="3"/>
    </row>
    <row r="35" spans="1:20" ht="15.75" thickBot="1" x14ac:dyDescent="0.3">
      <c r="A35" s="81">
        <f t="shared" si="4"/>
        <v>0.15022081868525286</v>
      </c>
      <c r="B35" s="32">
        <f t="shared" si="4"/>
        <v>0.12498741489506671</v>
      </c>
      <c r="C35" s="33">
        <f t="shared" si="4"/>
        <v>0.12888351069270418</v>
      </c>
      <c r="D35" s="31">
        <f t="shared" si="4"/>
        <v>0.21182998686186225</v>
      </c>
      <c r="E35" s="33">
        <f t="shared" si="4"/>
        <v>0.40000000000000013</v>
      </c>
      <c r="F35" s="34">
        <f>E19</f>
        <v>246.32739278740814</v>
      </c>
      <c r="G35" s="32"/>
      <c r="H35" s="31">
        <f t="shared" si="5"/>
        <v>22.288460894506322</v>
      </c>
      <c r="I35" s="120">
        <f t="shared" si="5"/>
        <v>4.7960764311150736</v>
      </c>
      <c r="J35" s="3"/>
      <c r="K35" s="36"/>
      <c r="L35" s="40"/>
      <c r="M35" s="22"/>
      <c r="N35" s="22"/>
      <c r="O35" s="22"/>
      <c r="P35" s="22"/>
      <c r="Q35" s="22"/>
      <c r="R35" s="22"/>
      <c r="S35" s="22"/>
      <c r="T35" s="3"/>
    </row>
    <row r="36" spans="1:20" x14ac:dyDescent="0.25">
      <c r="A36" s="117" t="s">
        <v>103</v>
      </c>
      <c r="B36" s="116" t="s">
        <v>36</v>
      </c>
      <c r="C36" s="118" t="s">
        <v>37</v>
      </c>
      <c r="D36" s="16"/>
      <c r="E36" s="16"/>
      <c r="F36" s="16"/>
      <c r="G36" s="16"/>
      <c r="H36" s="16"/>
      <c r="I36" s="16"/>
      <c r="J36" s="3"/>
      <c r="K36" s="36"/>
      <c r="L36" s="40"/>
      <c r="M36" s="16"/>
      <c r="N36" s="16"/>
      <c r="O36" s="16"/>
      <c r="P36" s="16"/>
      <c r="Q36" s="16"/>
      <c r="R36" s="16"/>
      <c r="S36" s="16"/>
      <c r="T36" s="3"/>
    </row>
    <row r="37" spans="1:20" x14ac:dyDescent="0.25">
      <c r="A37" s="88"/>
      <c r="B37" s="22" cm="1">
        <f t="array" ref="B37:B39">MMULT(A33:C35,F33:F35)+MMULT(D33:E35,G33:G34)+H33:H35+I33:I35</f>
        <v>607.9523615541973</v>
      </c>
      <c r="C37" s="25" cm="1">
        <f t="array" ref="C37:C39">F33:F35</f>
        <v>607.9523615541973</v>
      </c>
      <c r="D37" s="16"/>
      <c r="E37" s="16"/>
      <c r="F37" s="16"/>
      <c r="G37" s="16"/>
      <c r="H37" s="16"/>
      <c r="I37" s="16"/>
      <c r="J37" s="3"/>
      <c r="K37" s="36"/>
      <c r="L37" s="40"/>
      <c r="M37" s="16"/>
      <c r="N37" s="16"/>
      <c r="O37" s="16"/>
      <c r="P37" s="16"/>
      <c r="Q37" s="16"/>
      <c r="R37" s="16"/>
      <c r="S37" s="16"/>
      <c r="T37" s="3"/>
    </row>
    <row r="38" spans="1:20" x14ac:dyDescent="0.25">
      <c r="A38" s="88"/>
      <c r="B38" s="22">
        <v>468.35005509784378</v>
      </c>
      <c r="C38" s="25">
        <v>468.35005509784372</v>
      </c>
      <c r="D38" s="16"/>
      <c r="E38" s="16"/>
      <c r="F38" s="16"/>
      <c r="G38" s="16"/>
      <c r="H38" s="16"/>
      <c r="I38" s="16"/>
      <c r="J38" s="3"/>
      <c r="K38" s="36"/>
      <c r="L38" s="40"/>
      <c r="M38" s="16"/>
      <c r="N38" s="16"/>
      <c r="O38" s="16"/>
      <c r="P38" s="16"/>
      <c r="Q38" s="16"/>
      <c r="R38" s="16"/>
      <c r="S38" s="16"/>
      <c r="T38" s="3"/>
    </row>
    <row r="39" spans="1:20" ht="15.75" thickBot="1" x14ac:dyDescent="0.3">
      <c r="A39" s="89"/>
      <c r="B39" s="32">
        <v>246.3273927874082</v>
      </c>
      <c r="C39" s="35">
        <v>246.32739278740814</v>
      </c>
      <c r="D39" s="16"/>
      <c r="E39" s="16"/>
      <c r="F39" s="16"/>
      <c r="G39" s="16"/>
      <c r="H39" s="16"/>
      <c r="I39" s="16"/>
      <c r="J39" s="3"/>
      <c r="K39" s="36"/>
      <c r="L39" s="40"/>
      <c r="M39" s="16"/>
      <c r="N39" s="16"/>
      <c r="O39" s="16"/>
      <c r="P39" s="16"/>
      <c r="Q39" s="16"/>
      <c r="R39" s="16"/>
      <c r="S39" s="16"/>
      <c r="T39" s="3"/>
    </row>
    <row r="40" spans="1:20" x14ac:dyDescent="0.25">
      <c r="A40" s="90" t="s">
        <v>104</v>
      </c>
      <c r="B40" s="83" t="s">
        <v>36</v>
      </c>
      <c r="C40" s="84" t="s">
        <v>37</v>
      </c>
      <c r="D40" s="16"/>
      <c r="E40" s="16"/>
      <c r="F40" s="16"/>
      <c r="G40" s="16"/>
      <c r="H40" s="16"/>
      <c r="I40" s="16"/>
      <c r="J40" s="3"/>
      <c r="K40" s="36"/>
      <c r="L40" s="40"/>
      <c r="M40" s="16"/>
      <c r="N40" s="16"/>
      <c r="O40" s="16"/>
      <c r="P40" s="16"/>
      <c r="Q40" s="16"/>
      <c r="R40" s="16"/>
      <c r="S40" s="16"/>
      <c r="T40" s="3"/>
    </row>
    <row r="41" spans="1:20" x14ac:dyDescent="0.25">
      <c r="A41" s="88"/>
      <c r="B41" s="22" cm="1">
        <f t="array" ref="B41:B43">F33:F35</f>
        <v>607.9523615541973</v>
      </c>
      <c r="C41" s="25" cm="1">
        <f t="array" ref="C41:C43">MMULT(MINVERSE(_xlfn.MUNIT(3)-A33:C35),MMULT(D33:E35,G33:G34)+H14:H16+I33:I35)</f>
        <v>607.95236155419741</v>
      </c>
      <c r="D41" s="16"/>
      <c r="E41" s="16"/>
      <c r="F41" s="16"/>
      <c r="G41" s="16"/>
      <c r="H41" s="16"/>
      <c r="I41" s="16"/>
      <c r="J41" s="3"/>
      <c r="K41" s="36"/>
      <c r="L41" s="40"/>
      <c r="M41" s="16"/>
      <c r="N41" s="16"/>
      <c r="O41" s="16"/>
      <c r="P41" s="16"/>
      <c r="Q41" s="16"/>
      <c r="R41" s="16"/>
      <c r="S41" s="16"/>
      <c r="T41" s="3"/>
    </row>
    <row r="42" spans="1:20" x14ac:dyDescent="0.25">
      <c r="A42" s="88"/>
      <c r="B42" s="22">
        <v>468.35005509784372</v>
      </c>
      <c r="C42" s="25">
        <v>468.35005509784401</v>
      </c>
      <c r="D42" s="16"/>
      <c r="E42" s="16"/>
      <c r="F42" s="16"/>
      <c r="G42" s="16"/>
      <c r="H42" s="16"/>
      <c r="I42" s="16"/>
      <c r="J42" s="3"/>
      <c r="K42" s="36"/>
      <c r="L42" s="40"/>
      <c r="M42" s="16"/>
      <c r="N42" s="16"/>
      <c r="O42" s="16"/>
      <c r="P42" s="16"/>
      <c r="Q42" s="16"/>
      <c r="R42" s="16"/>
      <c r="S42" s="16"/>
      <c r="T42" s="3"/>
    </row>
    <row r="43" spans="1:20" ht="15.75" thickBot="1" x14ac:dyDescent="0.3">
      <c r="A43" s="91"/>
      <c r="B43" s="32">
        <v>246.32739278740814</v>
      </c>
      <c r="C43" s="35">
        <v>246.32739278740826</v>
      </c>
      <c r="D43" s="16"/>
      <c r="E43" s="16"/>
      <c r="F43" s="16"/>
      <c r="G43" s="16"/>
      <c r="H43" s="16"/>
      <c r="I43" s="16"/>
      <c r="J43" s="3"/>
      <c r="K43" s="36"/>
      <c r="L43" s="40"/>
      <c r="M43" s="16"/>
      <c r="N43" s="16"/>
      <c r="O43" s="16"/>
      <c r="P43" s="16"/>
      <c r="Q43" s="16"/>
      <c r="R43" s="16"/>
      <c r="S43" s="16"/>
      <c r="T43" s="3"/>
    </row>
    <row r="44" spans="1:20" ht="15.75" thickBot="1" x14ac:dyDescent="0.3">
      <c r="A44" s="39"/>
      <c r="B44" s="40"/>
      <c r="C44" s="16"/>
      <c r="D44" s="16"/>
      <c r="E44" s="16"/>
      <c r="F44" s="16"/>
      <c r="G44" s="16"/>
      <c r="H44" s="16"/>
      <c r="I44" s="16"/>
      <c r="J44" s="3"/>
      <c r="K44" s="36"/>
      <c r="L44" s="40"/>
      <c r="M44" s="16"/>
      <c r="N44" s="16"/>
      <c r="O44" s="16"/>
      <c r="P44" s="16"/>
      <c r="Q44" s="16"/>
      <c r="R44" s="16"/>
      <c r="S44" s="16"/>
      <c r="T44" s="3"/>
    </row>
    <row r="45" spans="1:20" ht="15.75" thickBot="1" x14ac:dyDescent="0.3">
      <c r="A45" s="7" t="s">
        <v>80</v>
      </c>
      <c r="B45" s="8"/>
      <c r="C45" s="9"/>
      <c r="D45" s="3"/>
      <c r="E45" s="3"/>
      <c r="F45" s="3"/>
      <c r="G45" s="3"/>
      <c r="H45" s="3"/>
      <c r="I45" s="3"/>
      <c r="J45" s="3"/>
      <c r="K45" s="4"/>
      <c r="L45" s="3"/>
      <c r="M45" s="3"/>
      <c r="N45" s="3"/>
      <c r="O45" s="3"/>
      <c r="P45" s="3"/>
      <c r="Q45" s="3"/>
      <c r="R45" s="3"/>
      <c r="S45" s="3"/>
      <c r="T45" s="3"/>
    </row>
    <row r="46" spans="1:20" x14ac:dyDescent="0.25">
      <c r="A46" s="6" t="s">
        <v>101</v>
      </c>
      <c r="B46" s="40" t="s">
        <v>36</v>
      </c>
      <c r="C46" s="36" t="s">
        <v>37</v>
      </c>
      <c r="D46" s="3"/>
      <c r="E46" s="3"/>
      <c r="F46" s="3"/>
      <c r="G46" s="3"/>
      <c r="H46" s="3"/>
      <c r="I46" s="3"/>
      <c r="J46" s="3"/>
      <c r="K46" s="4"/>
      <c r="L46" s="3"/>
      <c r="M46" s="3"/>
      <c r="N46" s="3"/>
      <c r="O46" s="3"/>
      <c r="P46" s="3"/>
      <c r="Q46" s="3"/>
      <c r="R46" s="3"/>
      <c r="S46" s="3"/>
      <c r="T46" s="3"/>
    </row>
    <row r="47" spans="1:20" x14ac:dyDescent="0.25">
      <c r="A47" s="6"/>
      <c r="B47" s="22">
        <f>F19+G19+H14+H15+H16+I14+I15+I16</f>
        <v>314.40489273004056</v>
      </c>
      <c r="C47" s="25">
        <f>SUM(C18:G18)+SUM(C17:G17)</f>
        <v>314.40489273004061</v>
      </c>
      <c r="D47" s="3"/>
      <c r="E47" s="3"/>
      <c r="F47" s="3"/>
      <c r="G47" s="3"/>
      <c r="H47" s="3"/>
      <c r="I47" s="3"/>
      <c r="J47" s="3"/>
      <c r="K47" s="4"/>
      <c r="L47" s="3"/>
      <c r="M47" s="3"/>
      <c r="N47" s="3"/>
      <c r="O47" s="3"/>
      <c r="P47" s="3"/>
      <c r="Q47" s="3"/>
      <c r="R47" s="3"/>
      <c r="S47" s="3"/>
      <c r="T47" s="3"/>
    </row>
    <row r="48" spans="1:20" x14ac:dyDescent="0.25">
      <c r="A48" s="6" t="s">
        <v>102</v>
      </c>
      <c r="B48" s="40" t="s">
        <v>36</v>
      </c>
      <c r="C48" s="36" t="s">
        <v>37</v>
      </c>
      <c r="D48" s="3"/>
      <c r="E48" s="3"/>
      <c r="F48" s="3"/>
      <c r="G48" s="3"/>
      <c r="H48" s="3"/>
      <c r="I48" s="3"/>
      <c r="J48" s="3"/>
      <c r="K48" s="4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thickBot="1" x14ac:dyDescent="0.3">
      <c r="A49" s="38"/>
      <c r="B49" s="32">
        <f>B8*D199+B8*D200+B9*D239+B9*D240+H14+H15+H16+I14+I15+I16</f>
        <v>298.24989725866391</v>
      </c>
      <c r="C49" s="35">
        <f>C18+D18+E18+C17+D17+E17</f>
        <v>298.24989725866402</v>
      </c>
      <c r="D49" s="37"/>
      <c r="E49" s="37"/>
      <c r="F49" s="37"/>
      <c r="G49" s="37"/>
      <c r="H49" s="37"/>
      <c r="I49" s="37"/>
      <c r="J49" s="37"/>
      <c r="K49" s="41"/>
      <c r="L49" s="3"/>
      <c r="M49" s="3"/>
      <c r="N49" s="3"/>
      <c r="O49" s="3"/>
      <c r="P49" s="3"/>
      <c r="Q49" s="3"/>
      <c r="R49" s="3"/>
      <c r="S49" s="3"/>
      <c r="T49" s="3"/>
    </row>
    <row r="50" spans="1:20" x14ac:dyDescent="0.25">
      <c r="L50" s="3"/>
      <c r="M50" s="3"/>
      <c r="N50" s="3"/>
      <c r="O50" s="3"/>
      <c r="P50" s="3"/>
      <c r="Q50" s="3"/>
      <c r="R50" s="3"/>
      <c r="S50" s="3"/>
      <c r="T50" s="3"/>
    </row>
    <row r="51" spans="1:20" ht="15.75" thickBot="1" x14ac:dyDescent="0.3"/>
    <row r="52" spans="1:20" ht="15.75" thickBot="1" x14ac:dyDescent="0.3">
      <c r="A52" s="69" t="s">
        <v>108</v>
      </c>
      <c r="B52" s="70"/>
      <c r="C52" s="70"/>
      <c r="D52" s="70"/>
      <c r="E52" s="70"/>
      <c r="F52" s="70"/>
      <c r="G52" s="70"/>
      <c r="H52" s="70"/>
      <c r="I52" s="70"/>
      <c r="J52" s="70"/>
      <c r="K52" s="71"/>
      <c r="L52" s="3"/>
      <c r="M52" s="3"/>
      <c r="N52" s="3"/>
      <c r="O52" s="3"/>
      <c r="P52" s="3"/>
      <c r="Q52" s="3"/>
      <c r="R52" s="3"/>
      <c r="S52" s="3"/>
    </row>
    <row r="53" spans="1:20" ht="15.75" thickBot="1" x14ac:dyDescent="0.3">
      <c r="A53" s="7" t="s">
        <v>72</v>
      </c>
      <c r="B53" s="101"/>
      <c r="C53" s="101"/>
      <c r="D53" s="100" t="s">
        <v>51</v>
      </c>
      <c r="E53" s="7" t="s">
        <v>62</v>
      </c>
      <c r="F53" s="103" t="s">
        <v>65</v>
      </c>
      <c r="G53" s="3"/>
      <c r="H53" s="3"/>
      <c r="I53" s="3"/>
      <c r="J53" s="3"/>
      <c r="K53" s="4"/>
      <c r="L53" s="3"/>
      <c r="M53" s="3"/>
      <c r="N53" s="3"/>
      <c r="O53" s="3"/>
      <c r="P53" s="3"/>
      <c r="Q53" s="3"/>
      <c r="R53" s="3"/>
      <c r="S53" s="3"/>
    </row>
    <row r="54" spans="1:20" x14ac:dyDescent="0.25">
      <c r="A54" s="140" t="s">
        <v>15</v>
      </c>
      <c r="B54" s="141"/>
      <c r="C54" s="141"/>
      <c r="D54" s="104">
        <f>B5</f>
        <v>35</v>
      </c>
      <c r="E54" s="6" t="s">
        <v>63</v>
      </c>
      <c r="F54" s="92">
        <f>$E$5</f>
        <v>0.1</v>
      </c>
      <c r="G54" s="16"/>
      <c r="H54" s="16"/>
      <c r="I54" s="16"/>
      <c r="J54" s="16"/>
      <c r="K54" s="4"/>
      <c r="L54" s="3"/>
      <c r="M54" s="3"/>
      <c r="N54" s="3"/>
      <c r="O54" s="3"/>
      <c r="P54" s="3"/>
      <c r="Q54" s="3"/>
      <c r="R54" s="3"/>
      <c r="S54" s="3"/>
    </row>
    <row r="55" spans="1:20" ht="15.75" thickBot="1" x14ac:dyDescent="0.3">
      <c r="A55" s="88" t="s">
        <v>12</v>
      </c>
      <c r="B55" s="97"/>
      <c r="C55" s="97"/>
      <c r="D55" s="105">
        <f>B6</f>
        <v>16</v>
      </c>
      <c r="E55" s="38" t="s">
        <v>64</v>
      </c>
      <c r="F55" s="93">
        <f>$E$6</f>
        <v>0.5</v>
      </c>
      <c r="G55" s="16"/>
      <c r="H55" s="16"/>
      <c r="I55" s="16"/>
      <c r="J55" s="16"/>
      <c r="K55" s="4"/>
      <c r="L55" s="3"/>
      <c r="M55" s="3"/>
      <c r="N55" s="3"/>
      <c r="O55" s="3"/>
      <c r="P55" s="3"/>
      <c r="Q55" s="3"/>
      <c r="R55" s="3"/>
      <c r="S55" s="3"/>
    </row>
    <row r="56" spans="1:20" ht="15.75" thickBot="1" x14ac:dyDescent="0.3">
      <c r="A56" s="89" t="s">
        <v>13</v>
      </c>
      <c r="B56" s="98"/>
      <c r="C56" s="98"/>
      <c r="D56" s="106">
        <f>B7</f>
        <v>20</v>
      </c>
      <c r="E56" s="16"/>
      <c r="F56" s="16"/>
      <c r="G56" s="16"/>
      <c r="H56" s="16"/>
      <c r="I56" s="16"/>
      <c r="J56" s="16"/>
      <c r="K56" s="4"/>
      <c r="L56" s="3"/>
      <c r="M56" s="3"/>
      <c r="N56" s="3"/>
      <c r="O56" s="3"/>
      <c r="P56" s="3"/>
      <c r="Q56" s="3"/>
      <c r="R56" s="3"/>
      <c r="S56" s="3"/>
    </row>
    <row r="57" spans="1:20" ht="15.75" thickBot="1" x14ac:dyDescent="0.3">
      <c r="A57" s="42"/>
      <c r="B57" s="43"/>
      <c r="C57" s="43"/>
      <c r="D57" s="16"/>
      <c r="E57" s="16"/>
      <c r="F57" s="16"/>
      <c r="G57" s="16"/>
      <c r="H57" s="16"/>
      <c r="I57" s="16"/>
      <c r="J57" s="16"/>
      <c r="K57" s="4"/>
      <c r="L57" s="3"/>
      <c r="M57" s="3"/>
      <c r="N57" s="3"/>
      <c r="O57" s="3"/>
      <c r="P57" s="3"/>
      <c r="Q57" s="3"/>
      <c r="R57" s="3"/>
      <c r="S57" s="3"/>
    </row>
    <row r="58" spans="1:20" ht="15.75" thickBot="1" x14ac:dyDescent="0.3">
      <c r="A58" s="142" t="s">
        <v>73</v>
      </c>
      <c r="B58" s="143"/>
      <c r="C58" s="58" t="s">
        <v>16</v>
      </c>
      <c r="D58" s="50"/>
      <c r="E58" s="50"/>
      <c r="F58" s="50"/>
      <c r="G58" s="59"/>
      <c r="H58" s="16"/>
      <c r="I58" s="16"/>
      <c r="J58" s="16"/>
      <c r="K58" s="4"/>
      <c r="L58" s="3"/>
      <c r="M58" s="3"/>
      <c r="N58" s="3"/>
      <c r="O58" s="3"/>
      <c r="P58" s="3"/>
      <c r="Q58" s="3"/>
      <c r="R58" s="3"/>
      <c r="S58" s="3"/>
    </row>
    <row r="59" spans="1:20" x14ac:dyDescent="0.25">
      <c r="A59" s="55" t="s">
        <v>69</v>
      </c>
      <c r="B59" s="22" t="s">
        <v>1</v>
      </c>
      <c r="C59" s="22" t="s">
        <v>2</v>
      </c>
      <c r="D59" s="22" t="s">
        <v>3</v>
      </c>
      <c r="E59" s="22" t="s">
        <v>14</v>
      </c>
      <c r="F59" s="43" t="s">
        <v>5</v>
      </c>
      <c r="G59" s="53"/>
      <c r="H59" s="16"/>
      <c r="I59" s="16"/>
      <c r="J59" s="16"/>
      <c r="K59" s="4"/>
      <c r="L59" s="3"/>
      <c r="M59" s="3"/>
      <c r="N59" s="3"/>
      <c r="O59" s="3"/>
      <c r="P59" s="3"/>
      <c r="Q59" s="3"/>
      <c r="R59" s="3"/>
      <c r="S59" s="3"/>
    </row>
    <row r="60" spans="1:20" x14ac:dyDescent="0.25">
      <c r="A60" s="56">
        <v>1</v>
      </c>
      <c r="B60" s="22">
        <v>4</v>
      </c>
      <c r="C60" s="22">
        <v>0.3</v>
      </c>
      <c r="D60" s="22">
        <v>0.2</v>
      </c>
      <c r="E60" s="22">
        <v>0.2</v>
      </c>
      <c r="F60" s="22">
        <f>SUM(C60:E60)</f>
        <v>0.7</v>
      </c>
      <c r="G60" s="25"/>
      <c r="H60" s="16"/>
      <c r="I60" s="16"/>
      <c r="J60" s="16"/>
      <c r="K60" s="4"/>
      <c r="L60" s="3"/>
      <c r="M60" s="3"/>
      <c r="N60" s="3"/>
      <c r="O60" s="3"/>
      <c r="P60" s="3"/>
      <c r="Q60" s="3"/>
      <c r="R60" s="3"/>
      <c r="S60" s="3"/>
    </row>
    <row r="61" spans="1:20" ht="15.75" thickBot="1" x14ac:dyDescent="0.3">
      <c r="A61" s="57">
        <v>2</v>
      </c>
      <c r="B61" s="32">
        <v>3</v>
      </c>
      <c r="C61" s="32">
        <v>0.4</v>
      </c>
      <c r="D61" s="32">
        <v>0.3</v>
      </c>
      <c r="E61" s="32">
        <v>0.1</v>
      </c>
      <c r="F61" s="32">
        <f>SUM(C61:E61)</f>
        <v>0.79999999999999993</v>
      </c>
      <c r="G61" s="35"/>
      <c r="H61" s="16"/>
      <c r="I61" s="16"/>
      <c r="J61" s="16"/>
      <c r="K61" s="4"/>
      <c r="L61" s="3"/>
      <c r="M61" s="3"/>
      <c r="N61" s="3"/>
      <c r="O61" s="3"/>
      <c r="P61" s="3"/>
      <c r="Q61" s="3"/>
      <c r="R61" s="3"/>
      <c r="S61" s="3"/>
    </row>
    <row r="62" spans="1:20" ht="15.75" thickBot="1" x14ac:dyDescent="0.3">
      <c r="A62" s="45"/>
      <c r="B62" s="16"/>
      <c r="C62" s="16"/>
      <c r="D62" s="16"/>
      <c r="E62" s="16"/>
      <c r="F62" s="16"/>
      <c r="G62" s="16"/>
      <c r="H62" s="16"/>
      <c r="I62" s="16"/>
      <c r="J62" s="16"/>
      <c r="K62" s="4"/>
      <c r="L62" s="3"/>
      <c r="M62" s="3"/>
      <c r="N62" s="3"/>
      <c r="O62" s="3"/>
      <c r="P62" s="3"/>
      <c r="Q62" s="3"/>
      <c r="R62" s="3"/>
      <c r="S62" s="3"/>
    </row>
    <row r="63" spans="1:20" ht="15.75" thickBot="1" x14ac:dyDescent="0.3">
      <c r="A63" s="49" t="s">
        <v>74</v>
      </c>
      <c r="B63" s="50"/>
      <c r="C63" s="50"/>
      <c r="D63" s="59"/>
      <c r="E63" s="16"/>
      <c r="F63" s="16"/>
      <c r="G63" s="16"/>
      <c r="H63" s="16"/>
      <c r="I63" s="16"/>
      <c r="J63" s="16"/>
      <c r="K63" s="4"/>
      <c r="L63" s="3"/>
      <c r="M63" s="3"/>
      <c r="N63" s="3"/>
      <c r="O63" s="3"/>
      <c r="P63" s="3"/>
      <c r="Q63" s="3"/>
      <c r="R63" s="3"/>
      <c r="S63" s="3"/>
    </row>
    <row r="64" spans="1:20" x14ac:dyDescent="0.25">
      <c r="A64" s="75" t="s">
        <v>69</v>
      </c>
      <c r="B64" s="102" t="s">
        <v>6</v>
      </c>
      <c r="C64" s="102" t="s">
        <v>7</v>
      </c>
      <c r="D64" s="96" t="s">
        <v>8</v>
      </c>
      <c r="E64" s="3"/>
      <c r="F64" s="16"/>
      <c r="G64" s="16"/>
      <c r="H64" s="16"/>
      <c r="I64" s="16"/>
      <c r="J64" s="16"/>
      <c r="K64" s="4"/>
      <c r="L64" s="3"/>
      <c r="M64" s="3"/>
      <c r="N64" s="3"/>
      <c r="O64" s="3"/>
      <c r="P64" s="3"/>
      <c r="Q64" s="3"/>
      <c r="R64" s="3"/>
      <c r="S64" s="3"/>
    </row>
    <row r="65" spans="1:19" x14ac:dyDescent="0.25">
      <c r="A65" s="56">
        <v>1</v>
      </c>
      <c r="B65" s="22">
        <f>((B70/B60)*(C60/$D$54)^(D60+E60)*($D$55/D60)^D60*($D$56/E60)^E60)^(1/F60)</f>
        <v>2.6170170273329609</v>
      </c>
      <c r="C65" s="22">
        <f>((B70/B60)*(D60/$D$55)^(C60+E60)*($D$54/C60)^C60*($D$56/E60)^E60)^(1/F60)</f>
        <v>3.8164831648605699</v>
      </c>
      <c r="D65" s="25">
        <f>((B70/B60)*(E60/$D$56)^(C60+D60)*($D$54/C60)^C60*($D$55/D60)^D60)^(1/F60)</f>
        <v>3.0531865318884561</v>
      </c>
      <c r="E65" s="3"/>
      <c r="F65" s="16"/>
      <c r="G65" s="16"/>
      <c r="H65" s="16"/>
      <c r="I65" s="16"/>
      <c r="J65" s="16"/>
      <c r="K65" s="4"/>
      <c r="L65" s="3"/>
      <c r="M65" s="3"/>
      <c r="N65" s="3"/>
      <c r="O65" s="3"/>
      <c r="P65" s="3"/>
      <c r="Q65" s="3"/>
      <c r="R65" s="3"/>
      <c r="S65" s="3"/>
    </row>
    <row r="66" spans="1:19" ht="15.75" thickBot="1" x14ac:dyDescent="0.3">
      <c r="A66" s="57">
        <v>2</v>
      </c>
      <c r="B66" s="32">
        <f>((B71/B61)*(C61/$D$54)^(D61+E61)*($D$55/D61)^D61*($D$56/E61)^E61)^(1/F61)</f>
        <v>3.4586709527468802</v>
      </c>
      <c r="C66" s="32">
        <f>(B71/B61*(D61/$D$55)^(C61+E61)*($D$54/C61)^C61*($D$56/E61)^E61)^(1/F61)</f>
        <v>5.6743820318503504</v>
      </c>
      <c r="D66" s="35">
        <f>((B71/B61)*(E61/$D$56)^(C61+D61)*($D$54/C61)^C61*($D$55/D61)^D61)^(1/F61)</f>
        <v>1.5131685418267617</v>
      </c>
      <c r="E66" s="3"/>
      <c r="F66" s="16"/>
      <c r="G66" s="16"/>
      <c r="H66" s="16"/>
      <c r="I66" s="16"/>
      <c r="J66" s="16"/>
      <c r="K66" s="4"/>
      <c r="L66" s="3"/>
      <c r="M66" s="3"/>
      <c r="N66" s="3"/>
      <c r="O66" s="3"/>
      <c r="P66" s="3"/>
      <c r="Q66" s="3"/>
      <c r="R66" s="3"/>
      <c r="S66" s="3"/>
    </row>
    <row r="67" spans="1:19" ht="15.75" thickBot="1" x14ac:dyDescent="0.3">
      <c r="A67" s="54"/>
      <c r="B67" s="22"/>
      <c r="C67" s="22"/>
      <c r="D67" s="22"/>
      <c r="E67" s="3"/>
      <c r="F67" s="16"/>
      <c r="G67" s="16"/>
      <c r="H67" s="16"/>
      <c r="I67" s="16"/>
      <c r="J67" s="16"/>
      <c r="K67" s="4"/>
      <c r="L67" s="3"/>
      <c r="M67" s="3"/>
      <c r="N67" s="3"/>
      <c r="O67" s="3"/>
      <c r="P67" s="3"/>
      <c r="Q67" s="3"/>
      <c r="R67" s="3"/>
      <c r="S67" s="3"/>
    </row>
    <row r="68" spans="1:19" ht="15.75" thickBot="1" x14ac:dyDescent="0.3">
      <c r="A68" s="49" t="s">
        <v>75</v>
      </c>
      <c r="B68" s="50"/>
      <c r="C68" s="50"/>
      <c r="D68" s="50"/>
      <c r="E68" s="59"/>
      <c r="F68" s="16"/>
      <c r="G68" s="16"/>
      <c r="H68" s="16"/>
      <c r="I68" s="16"/>
      <c r="J68" s="16"/>
      <c r="K68" s="4"/>
      <c r="L68" s="3"/>
      <c r="M68" s="3"/>
      <c r="N68" s="3"/>
      <c r="O68" s="3"/>
      <c r="P68" s="3"/>
      <c r="Q68" s="3"/>
      <c r="R68" s="3"/>
      <c r="S68" s="3"/>
    </row>
    <row r="69" spans="1:19" x14ac:dyDescent="0.25">
      <c r="A69" s="75" t="s">
        <v>69</v>
      </c>
      <c r="B69" s="109" t="s">
        <v>11</v>
      </c>
      <c r="C69" s="109"/>
      <c r="D69" s="110" t="s">
        <v>0</v>
      </c>
      <c r="E69" s="76"/>
      <c r="F69" s="16"/>
      <c r="G69" s="16"/>
      <c r="H69" s="16"/>
      <c r="I69" s="16"/>
      <c r="J69" s="16"/>
      <c r="K69" s="4"/>
      <c r="L69" s="3"/>
      <c r="M69" s="3"/>
      <c r="N69" s="3"/>
      <c r="O69" s="3"/>
      <c r="P69" s="3"/>
      <c r="Q69" s="3"/>
      <c r="R69" s="3"/>
      <c r="S69" s="3"/>
    </row>
    <row r="70" spans="1:19" x14ac:dyDescent="0.25">
      <c r="A70" s="56">
        <v>1</v>
      </c>
      <c r="B70" s="22">
        <f>(B60*C60^(C60)*D60^(D60)*E60^(E60)*$D$54^(D60+E60)*$D$55^(-D60)*$D$56^(-E60))^(1/(1-F60))</f>
        <v>8.7233900911098665</v>
      </c>
      <c r="C70" s="22"/>
      <c r="D70" s="22">
        <f>B60*(B65^C60)*(C65^D60)*(D65^E60)</f>
        <v>8.7233900911098665</v>
      </c>
      <c r="E70" s="17"/>
      <c r="F70" s="16"/>
      <c r="G70" s="16"/>
      <c r="H70" s="16"/>
      <c r="I70" s="16"/>
      <c r="J70" s="16"/>
      <c r="K70" s="4"/>
      <c r="L70" s="3"/>
      <c r="M70" s="3"/>
      <c r="N70" s="3"/>
      <c r="O70" s="3"/>
      <c r="P70" s="3"/>
      <c r="Q70" s="3"/>
      <c r="R70" s="3"/>
      <c r="S70" s="3"/>
    </row>
    <row r="71" spans="1:19" ht="15.75" thickBot="1" x14ac:dyDescent="0.3">
      <c r="A71" s="57">
        <v>2</v>
      </c>
      <c r="B71" s="32">
        <f>(B61*C61^(C61)*D61^(D61)*E61^(E61)*$D$54^(D61+E61)*$D$55^(-D61)*$D$56^(-E61))^(1/(1-F61))</f>
        <v>8.6466773818672014</v>
      </c>
      <c r="C71" s="32"/>
      <c r="D71" s="32">
        <f>B61*B66^C61*C66^D61*D66^E61</f>
        <v>8.6466773818671996</v>
      </c>
      <c r="E71" s="20"/>
      <c r="F71" s="16"/>
      <c r="G71" s="16"/>
      <c r="H71" s="16"/>
      <c r="I71" s="16"/>
      <c r="J71" s="16"/>
      <c r="K71" s="4"/>
      <c r="L71" s="3"/>
      <c r="M71" s="3"/>
      <c r="N71" s="3"/>
      <c r="O71" s="3"/>
      <c r="P71" s="3"/>
      <c r="Q71" s="3"/>
      <c r="R71" s="3"/>
      <c r="S71" s="3"/>
    </row>
    <row r="72" spans="1:19" ht="15.75" thickBot="1" x14ac:dyDescent="0.3">
      <c r="A72" s="56"/>
      <c r="B72" s="22"/>
      <c r="C72" s="22"/>
      <c r="D72" s="22"/>
      <c r="E72" s="16"/>
      <c r="F72" s="16"/>
      <c r="G72" s="16"/>
      <c r="H72" s="16"/>
      <c r="I72" s="16"/>
      <c r="J72" s="16"/>
      <c r="K72" s="4"/>
      <c r="L72" s="3"/>
      <c r="M72" s="3"/>
      <c r="N72" s="3"/>
      <c r="O72" s="3"/>
      <c r="P72" s="3"/>
      <c r="Q72" s="3"/>
      <c r="R72" s="3"/>
      <c r="S72" s="3"/>
    </row>
    <row r="73" spans="1:19" ht="15.75" thickBot="1" x14ac:dyDescent="0.3">
      <c r="A73" s="49" t="s">
        <v>81</v>
      </c>
      <c r="B73" s="50"/>
      <c r="C73" s="50"/>
      <c r="D73" s="59"/>
      <c r="E73" s="16"/>
      <c r="F73" s="16"/>
      <c r="G73" s="16"/>
      <c r="H73" s="16"/>
      <c r="I73" s="16"/>
      <c r="J73" s="16"/>
      <c r="K73" s="4"/>
      <c r="L73" s="3"/>
      <c r="M73" s="3"/>
      <c r="N73" s="3"/>
      <c r="O73" s="3"/>
      <c r="P73" s="3"/>
      <c r="Q73" s="3"/>
      <c r="R73" s="3"/>
      <c r="S73" s="3"/>
    </row>
    <row r="74" spans="1:19" x14ac:dyDescent="0.25">
      <c r="A74" s="75" t="s">
        <v>69</v>
      </c>
      <c r="B74" s="102" t="s">
        <v>91</v>
      </c>
      <c r="C74" s="112" t="s">
        <v>84</v>
      </c>
      <c r="D74" s="96" t="s">
        <v>66</v>
      </c>
      <c r="E74" s="16"/>
      <c r="F74" s="16"/>
      <c r="G74" s="16"/>
      <c r="H74" s="16"/>
      <c r="I74" s="16"/>
      <c r="J74" s="16"/>
      <c r="K74" s="4"/>
      <c r="L74" s="3"/>
      <c r="M74" s="3"/>
      <c r="N74" s="3"/>
      <c r="O74" s="3"/>
      <c r="P74" s="3"/>
      <c r="Q74" s="3"/>
      <c r="R74" s="3"/>
      <c r="S74" s="3"/>
    </row>
    <row r="75" spans="1:19" x14ac:dyDescent="0.25">
      <c r="A75" s="56">
        <v>1</v>
      </c>
      <c r="B75" s="22">
        <f>D54*B70-D54*B65-D55*C65-D56*D65</f>
        <v>91.595595956653412</v>
      </c>
      <c r="C75" s="22">
        <f>(1-$F$54)*B75-$F$55</f>
        <v>81.936036360988069</v>
      </c>
      <c r="D75" s="25">
        <f>$F$54*B75+$F$55</f>
        <v>9.6595595956653408</v>
      </c>
      <c r="E75" s="16"/>
      <c r="F75" s="16"/>
      <c r="G75" s="16"/>
      <c r="H75" s="16"/>
      <c r="I75" s="16"/>
      <c r="J75" s="16"/>
      <c r="K75" s="4"/>
      <c r="L75" s="3"/>
      <c r="M75" s="3"/>
      <c r="N75" s="3"/>
      <c r="O75" s="3"/>
      <c r="P75" s="3"/>
      <c r="Q75" s="3"/>
      <c r="R75" s="3"/>
      <c r="S75" s="3"/>
    </row>
    <row r="76" spans="1:19" ht="15.75" thickBot="1" x14ac:dyDescent="0.3">
      <c r="A76" s="57">
        <v>2</v>
      </c>
      <c r="B76" s="32">
        <f>D54*B71-D54*B66-D55*C66-D56*D66</f>
        <v>60.526741673070404</v>
      </c>
      <c r="C76" s="32">
        <f>(1-$F$54)*B76-$F$55</f>
        <v>53.974067505763365</v>
      </c>
      <c r="D76" s="35">
        <f>$F$54*B76+$F$55</f>
        <v>6.5526741673070408</v>
      </c>
      <c r="E76" s="16"/>
      <c r="F76" s="16"/>
      <c r="G76" s="16"/>
      <c r="H76" s="16"/>
      <c r="I76" s="16"/>
      <c r="J76" s="16"/>
      <c r="K76" s="4"/>
      <c r="L76" s="3"/>
      <c r="M76" s="3"/>
      <c r="N76" s="3"/>
      <c r="O76" s="3"/>
      <c r="P76" s="3"/>
      <c r="Q76" s="3"/>
      <c r="R76" s="3"/>
      <c r="S76" s="3"/>
    </row>
    <row r="77" spans="1:19" ht="15.75" thickBot="1" x14ac:dyDescent="0.3">
      <c r="A77" s="45"/>
      <c r="B77" s="16"/>
      <c r="C77" s="16"/>
      <c r="D77" s="16"/>
      <c r="E77" s="16"/>
      <c r="F77" s="16"/>
      <c r="G77" s="16"/>
      <c r="H77" s="16"/>
      <c r="I77" s="16"/>
      <c r="J77" s="16"/>
      <c r="K77" s="4"/>
      <c r="L77" s="3"/>
      <c r="M77" s="3"/>
      <c r="N77" s="3"/>
      <c r="O77" s="3"/>
      <c r="P77" s="3"/>
      <c r="Q77" s="3"/>
      <c r="R77" s="3"/>
      <c r="S77" s="3"/>
    </row>
    <row r="78" spans="1:19" ht="15.75" thickBot="1" x14ac:dyDescent="0.3">
      <c r="A78" s="49" t="s">
        <v>76</v>
      </c>
      <c r="B78" s="50"/>
      <c r="C78" s="50"/>
      <c r="D78" s="50"/>
      <c r="E78" s="50"/>
      <c r="F78" s="50"/>
      <c r="G78" s="50"/>
      <c r="H78" s="50"/>
      <c r="I78" s="50"/>
      <c r="J78" s="50"/>
      <c r="K78" s="9"/>
      <c r="L78" s="3"/>
      <c r="M78" s="3"/>
      <c r="N78" s="3"/>
      <c r="O78" s="3"/>
      <c r="P78" s="3"/>
      <c r="Q78" s="3"/>
      <c r="R78" s="3"/>
      <c r="S78" s="3"/>
    </row>
    <row r="79" spans="1:19" x14ac:dyDescent="0.25">
      <c r="A79" s="151" t="s">
        <v>69</v>
      </c>
      <c r="B79" s="113" t="s">
        <v>43</v>
      </c>
      <c r="C79" s="114" t="s">
        <v>44</v>
      </c>
      <c r="D79" s="113" t="s">
        <v>40</v>
      </c>
      <c r="E79" s="114" t="s">
        <v>45</v>
      </c>
      <c r="F79" s="113" t="s">
        <v>85</v>
      </c>
      <c r="G79" s="102" t="s">
        <v>86</v>
      </c>
      <c r="H79" s="102" t="s">
        <v>86</v>
      </c>
      <c r="I79" s="102" t="s">
        <v>86</v>
      </c>
      <c r="J79" s="96" t="s">
        <v>87</v>
      </c>
      <c r="K79" s="25"/>
      <c r="L79" s="3"/>
      <c r="M79" s="3"/>
      <c r="N79" s="3"/>
      <c r="O79" s="3"/>
      <c r="P79" s="3"/>
      <c r="Q79" s="3"/>
      <c r="R79" s="3"/>
      <c r="S79" s="3"/>
    </row>
    <row r="80" spans="1:19" x14ac:dyDescent="0.25">
      <c r="A80" s="136"/>
      <c r="B80" s="21" t="s">
        <v>17</v>
      </c>
      <c r="C80" s="23" t="s">
        <v>18</v>
      </c>
      <c r="D80" s="21" t="s">
        <v>20</v>
      </c>
      <c r="E80" s="23" t="s">
        <v>32</v>
      </c>
      <c r="F80" s="21" t="s">
        <v>21</v>
      </c>
      <c r="G80" s="22" t="s">
        <v>18</v>
      </c>
      <c r="H80" s="40" t="s">
        <v>90</v>
      </c>
      <c r="I80" s="22" t="s">
        <v>88</v>
      </c>
      <c r="J80" s="25" t="s">
        <v>92</v>
      </c>
      <c r="K80" s="25"/>
      <c r="L80" s="3"/>
      <c r="M80" s="3"/>
      <c r="N80" s="3"/>
      <c r="O80" s="3"/>
      <c r="P80" s="3"/>
      <c r="Q80" s="3"/>
      <c r="R80" s="3"/>
      <c r="S80" s="3"/>
    </row>
    <row r="81" spans="1:19" x14ac:dyDescent="0.25">
      <c r="A81" s="62">
        <v>1</v>
      </c>
      <c r="B81" s="21">
        <f>D54*F60*B70</f>
        <v>213.72305723219174</v>
      </c>
      <c r="C81" s="23">
        <f>D54*B65+D55*C65+D56*D65</f>
        <v>213.72305723219188</v>
      </c>
      <c r="D81" s="21">
        <f>F60*B70</f>
        <v>6.106373063776906</v>
      </c>
      <c r="E81" s="23">
        <f>B70-B75/D54</f>
        <v>6.1063730637769122</v>
      </c>
      <c r="F81" s="21">
        <f>D54*B70</f>
        <v>305.3186531888453</v>
      </c>
      <c r="G81" s="22">
        <f>D54*B65+D55*C65+D56*D65</f>
        <v>213.72305723219188</v>
      </c>
      <c r="H81" s="22">
        <f>D75</f>
        <v>9.6595595956653408</v>
      </c>
      <c r="I81" s="22">
        <f>C75</f>
        <v>81.936036360988069</v>
      </c>
      <c r="J81" s="25">
        <f>G81+H81+I81</f>
        <v>305.3186531888453</v>
      </c>
      <c r="K81" s="25"/>
      <c r="L81" s="3"/>
      <c r="M81" s="3"/>
      <c r="N81" s="3"/>
      <c r="O81" s="3"/>
      <c r="P81" s="3"/>
      <c r="Q81" s="3"/>
      <c r="R81" s="3"/>
      <c r="S81" s="3"/>
    </row>
    <row r="82" spans="1:19" ht="15.75" thickBot="1" x14ac:dyDescent="0.3">
      <c r="A82" s="63">
        <v>2</v>
      </c>
      <c r="B82" s="31">
        <f>D54*F61*B71</f>
        <v>242.10696669228162</v>
      </c>
      <c r="C82" s="33">
        <f>D54*B66+D55*C66+D56*D66</f>
        <v>242.10696669228165</v>
      </c>
      <c r="D82" s="31">
        <f>F61*B71</f>
        <v>6.9173419054937604</v>
      </c>
      <c r="E82" s="33">
        <f>B71-B76/D54</f>
        <v>6.9173419054937613</v>
      </c>
      <c r="F82" s="31">
        <f>D54*B71</f>
        <v>302.63370836535205</v>
      </c>
      <c r="G82" s="32">
        <f>D54*B66+D55*C66+D56*D66</f>
        <v>242.10696669228165</v>
      </c>
      <c r="H82" s="32">
        <f>D76</f>
        <v>6.5526741673070408</v>
      </c>
      <c r="I82" s="32">
        <f>C76</f>
        <v>53.974067505763365</v>
      </c>
      <c r="J82" s="35">
        <f>G82+H82+I82</f>
        <v>302.63370836535205</v>
      </c>
      <c r="K82" s="35"/>
      <c r="L82" s="3"/>
      <c r="M82" s="3"/>
      <c r="N82" s="3"/>
      <c r="O82" s="3"/>
      <c r="P82" s="3"/>
      <c r="Q82" s="3"/>
      <c r="R82" s="3"/>
      <c r="S82" s="3"/>
    </row>
    <row r="83" spans="1:19" ht="15.75" thickBot="1" x14ac:dyDescent="0.3">
      <c r="A83" s="45"/>
      <c r="B83" s="16"/>
      <c r="C83" s="16"/>
      <c r="D83" s="16"/>
      <c r="E83" s="16"/>
      <c r="F83" s="16"/>
      <c r="G83" s="16"/>
      <c r="H83" s="16"/>
      <c r="I83" s="16"/>
      <c r="J83" s="16"/>
      <c r="K83" s="17"/>
      <c r="L83" s="3"/>
      <c r="M83" s="3"/>
      <c r="N83" s="3"/>
      <c r="O83" s="3"/>
      <c r="P83" s="3"/>
      <c r="Q83" s="3"/>
      <c r="R83" s="3"/>
      <c r="S83" s="3"/>
    </row>
    <row r="84" spans="1:19" ht="15.75" thickBot="1" x14ac:dyDescent="0.3">
      <c r="A84" s="49" t="s">
        <v>77</v>
      </c>
      <c r="B84" s="79" t="s">
        <v>95</v>
      </c>
      <c r="C84" s="16"/>
      <c r="D84" s="16"/>
      <c r="E84" s="16"/>
      <c r="F84" s="16"/>
      <c r="G84" s="16"/>
      <c r="H84" s="16"/>
      <c r="I84" s="16"/>
      <c r="J84" s="16"/>
      <c r="K84" s="4"/>
      <c r="L84" s="3"/>
      <c r="M84" s="3"/>
      <c r="N84" s="3"/>
      <c r="O84" s="3"/>
      <c r="P84" s="3"/>
      <c r="Q84" s="3"/>
      <c r="R84" s="3"/>
      <c r="S84" s="3"/>
    </row>
    <row r="85" spans="1:19" x14ac:dyDescent="0.25">
      <c r="A85" s="44" t="s">
        <v>23</v>
      </c>
      <c r="B85" s="25">
        <f>F81+F82</f>
        <v>607.9523615541973</v>
      </c>
      <c r="C85" s="16"/>
      <c r="D85" s="16"/>
      <c r="E85" s="16"/>
      <c r="F85" s="16"/>
      <c r="G85" s="16"/>
      <c r="H85" s="16"/>
      <c r="I85" s="16"/>
      <c r="J85" s="16"/>
      <c r="K85" s="4"/>
      <c r="L85" s="3"/>
      <c r="M85" s="3"/>
      <c r="N85" s="3"/>
      <c r="O85" s="3"/>
      <c r="P85" s="3"/>
      <c r="Q85" s="3"/>
      <c r="R85" s="3"/>
      <c r="S85" s="3"/>
    </row>
    <row r="86" spans="1:19" x14ac:dyDescent="0.25">
      <c r="A86" s="44" t="s">
        <v>52</v>
      </c>
      <c r="B86" s="25">
        <f>G81+G82</f>
        <v>455.83002392447349</v>
      </c>
      <c r="C86" s="3"/>
      <c r="D86" s="16"/>
      <c r="G86" s="16"/>
      <c r="H86" s="16"/>
      <c r="I86" s="16"/>
      <c r="J86" s="16"/>
      <c r="K86" s="4"/>
      <c r="L86" s="3"/>
      <c r="M86" s="3"/>
      <c r="N86" s="3"/>
      <c r="O86" s="3"/>
      <c r="P86" s="3"/>
      <c r="Q86" s="3"/>
      <c r="R86" s="3"/>
      <c r="S86" s="3"/>
    </row>
    <row r="87" spans="1:19" x14ac:dyDescent="0.25">
      <c r="A87" s="44" t="s">
        <v>94</v>
      </c>
      <c r="B87" s="25">
        <f>H81+H82</f>
        <v>16.212233762972382</v>
      </c>
      <c r="C87" s="16"/>
      <c r="D87" s="16"/>
      <c r="E87" s="16"/>
      <c r="F87" s="16"/>
      <c r="G87" s="16"/>
      <c r="H87" s="16"/>
      <c r="I87" s="16"/>
      <c r="J87" s="16"/>
      <c r="K87" s="4"/>
      <c r="L87" s="3"/>
      <c r="M87" s="3"/>
      <c r="N87" s="3"/>
      <c r="O87" s="3"/>
      <c r="P87" s="3"/>
      <c r="Q87" s="3"/>
      <c r="R87" s="3"/>
      <c r="S87" s="3"/>
    </row>
    <row r="88" spans="1:19" x14ac:dyDescent="0.25">
      <c r="A88" s="44" t="s">
        <v>93</v>
      </c>
      <c r="B88" s="25">
        <f>I81+I82</f>
        <v>135.91010386675143</v>
      </c>
      <c r="C88" s="16"/>
      <c r="D88" s="16"/>
      <c r="E88" s="16"/>
      <c r="F88" s="16"/>
      <c r="G88" s="16"/>
      <c r="H88" s="16"/>
      <c r="I88" s="16"/>
      <c r="J88" s="16"/>
      <c r="K88" s="4"/>
      <c r="L88" s="3"/>
      <c r="M88" s="3"/>
      <c r="N88" s="3"/>
      <c r="O88" s="3"/>
      <c r="P88" s="3"/>
      <c r="Q88" s="3"/>
      <c r="R88" s="3"/>
      <c r="S88" s="3"/>
    </row>
    <row r="89" spans="1:19" ht="15.75" thickBot="1" x14ac:dyDescent="0.3">
      <c r="A89" s="46" t="s">
        <v>96</v>
      </c>
      <c r="B89" s="35">
        <f>B86+B88+B87</f>
        <v>607.9523615541973</v>
      </c>
      <c r="C89" s="37"/>
      <c r="D89" s="37"/>
      <c r="E89" s="37"/>
      <c r="F89" s="37"/>
      <c r="G89" s="37"/>
      <c r="H89" s="37"/>
      <c r="I89" s="37"/>
      <c r="J89" s="37"/>
      <c r="K89" s="41"/>
      <c r="L89" s="3"/>
      <c r="M89" s="3"/>
      <c r="N89" s="3"/>
      <c r="O89" s="3"/>
      <c r="P89" s="3"/>
      <c r="Q89" s="3"/>
      <c r="R89" s="3"/>
      <c r="S89" s="3"/>
    </row>
    <row r="90" spans="1:19" ht="15.75" thickBot="1" x14ac:dyDescent="0.3"/>
    <row r="91" spans="1:19" ht="15.75" thickBot="1" x14ac:dyDescent="0.3">
      <c r="A91" s="69" t="s">
        <v>113</v>
      </c>
      <c r="B91" s="70"/>
      <c r="C91" s="70"/>
      <c r="D91" s="70"/>
      <c r="E91" s="70"/>
      <c r="F91" s="70"/>
      <c r="G91" s="70"/>
      <c r="H91" s="70"/>
      <c r="I91" s="70"/>
      <c r="J91" s="70"/>
      <c r="K91" s="71"/>
    </row>
    <row r="92" spans="1:19" ht="15.75" thickBot="1" x14ac:dyDescent="0.3">
      <c r="A92" s="7" t="s">
        <v>72</v>
      </c>
      <c r="B92" s="101"/>
      <c r="C92" s="101"/>
      <c r="D92" s="100" t="s">
        <v>51</v>
      </c>
      <c r="E92" s="7" t="s">
        <v>62</v>
      </c>
      <c r="F92" s="103" t="s">
        <v>65</v>
      </c>
      <c r="G92" s="3"/>
      <c r="H92" s="3"/>
      <c r="I92" s="3"/>
      <c r="J92" s="3"/>
      <c r="K92" s="4"/>
    </row>
    <row r="93" spans="1:19" x14ac:dyDescent="0.25">
      <c r="A93" s="144" t="s">
        <v>28</v>
      </c>
      <c r="B93" s="145"/>
      <c r="C93" s="145"/>
      <c r="D93" s="96">
        <f>B5</f>
        <v>35</v>
      </c>
      <c r="E93" s="6" t="s">
        <v>63</v>
      </c>
      <c r="F93" s="92">
        <f>$E$5</f>
        <v>0.1</v>
      </c>
      <c r="G93" s="16"/>
      <c r="H93" s="16"/>
      <c r="I93" s="16"/>
      <c r="J93" s="16"/>
      <c r="K93" s="4"/>
    </row>
    <row r="94" spans="1:19" ht="15.75" thickBot="1" x14ac:dyDescent="0.3">
      <c r="A94" s="42" t="s">
        <v>29</v>
      </c>
      <c r="B94" s="43"/>
      <c r="C94" s="43"/>
      <c r="D94" s="25">
        <f>B6</f>
        <v>16</v>
      </c>
      <c r="E94" s="38" t="s">
        <v>64</v>
      </c>
      <c r="F94" s="93">
        <f>$E$6</f>
        <v>0.5</v>
      </c>
      <c r="G94" s="16"/>
      <c r="H94" s="16"/>
      <c r="I94" s="16"/>
      <c r="J94" s="16"/>
      <c r="K94" s="4"/>
    </row>
    <row r="95" spans="1:19" ht="15.75" thickBot="1" x14ac:dyDescent="0.3">
      <c r="A95" s="51" t="s">
        <v>13</v>
      </c>
      <c r="B95" s="52"/>
      <c r="C95" s="52"/>
      <c r="D95" s="35">
        <f>B7</f>
        <v>20</v>
      </c>
      <c r="E95" s="16"/>
      <c r="F95" s="16"/>
      <c r="G95" s="16"/>
      <c r="H95" s="16"/>
      <c r="I95" s="16"/>
      <c r="J95" s="16"/>
      <c r="K95" s="4"/>
    </row>
    <row r="96" spans="1:19" ht="15.75" thickBot="1" x14ac:dyDescent="0.3">
      <c r="A96" s="42"/>
      <c r="B96" s="43"/>
      <c r="C96" s="43"/>
      <c r="D96" s="16"/>
      <c r="E96" s="16"/>
      <c r="F96" s="16"/>
      <c r="G96" s="16"/>
      <c r="H96" s="16"/>
      <c r="I96" s="16"/>
      <c r="J96" s="16"/>
      <c r="K96" s="4"/>
    </row>
    <row r="97" spans="1:11" ht="15.75" thickBot="1" x14ac:dyDescent="0.3">
      <c r="A97" s="142" t="s">
        <v>73</v>
      </c>
      <c r="B97" s="143"/>
      <c r="C97" s="58" t="s">
        <v>16</v>
      </c>
      <c r="D97" s="50"/>
      <c r="E97" s="50"/>
      <c r="F97" s="50"/>
      <c r="G97" s="59"/>
      <c r="H97" s="16"/>
      <c r="I97" s="16"/>
      <c r="J97" s="16"/>
      <c r="K97" s="4"/>
    </row>
    <row r="98" spans="1:11" x14ac:dyDescent="0.25">
      <c r="A98" s="55" t="s">
        <v>69</v>
      </c>
      <c r="B98" s="22" t="s">
        <v>1</v>
      </c>
      <c r="C98" s="22" t="s">
        <v>2</v>
      </c>
      <c r="D98" s="22" t="s">
        <v>3</v>
      </c>
      <c r="E98" s="22" t="s">
        <v>14</v>
      </c>
      <c r="F98" s="43" t="s">
        <v>5</v>
      </c>
      <c r="G98" s="53"/>
      <c r="H98" s="16"/>
      <c r="I98" s="16"/>
      <c r="J98" s="16"/>
      <c r="K98" s="4"/>
    </row>
    <row r="99" spans="1:11" x14ac:dyDescent="0.25">
      <c r="A99" s="56">
        <v>1</v>
      </c>
      <c r="B99" s="22">
        <v>5</v>
      </c>
      <c r="C99" s="22">
        <v>0.2</v>
      </c>
      <c r="D99" s="22">
        <v>0.4</v>
      </c>
      <c r="E99" s="22">
        <v>0.2</v>
      </c>
      <c r="F99" s="22">
        <f>SUM(C99:E99)</f>
        <v>0.8</v>
      </c>
      <c r="G99" s="25"/>
      <c r="H99" s="16"/>
      <c r="I99" s="16"/>
      <c r="J99" s="16"/>
      <c r="K99" s="4"/>
    </row>
    <row r="100" spans="1:11" ht="15.75" thickBot="1" x14ac:dyDescent="0.3">
      <c r="A100" s="57">
        <v>2</v>
      </c>
      <c r="B100" s="32">
        <v>4.5</v>
      </c>
      <c r="C100" s="32">
        <v>0.3</v>
      </c>
      <c r="D100" s="32">
        <v>0.5</v>
      </c>
      <c r="E100" s="32">
        <v>0.1</v>
      </c>
      <c r="F100" s="32">
        <f>SUM(C100:E100)</f>
        <v>0.9</v>
      </c>
      <c r="G100" s="35"/>
      <c r="H100" s="16"/>
      <c r="I100" s="16"/>
      <c r="J100" s="16"/>
      <c r="K100" s="4"/>
    </row>
    <row r="101" spans="1:11" ht="15.75" thickBot="1" x14ac:dyDescent="0.3">
      <c r="A101" s="45"/>
      <c r="B101" s="16"/>
      <c r="C101" s="16"/>
      <c r="D101" s="16"/>
      <c r="E101" s="16"/>
      <c r="F101" s="16"/>
      <c r="G101" s="16"/>
      <c r="H101" s="16"/>
      <c r="I101" s="16"/>
      <c r="J101" s="16"/>
      <c r="K101" s="4"/>
    </row>
    <row r="102" spans="1:11" ht="15.75" thickBot="1" x14ac:dyDescent="0.3">
      <c r="A102" s="49" t="s">
        <v>74</v>
      </c>
      <c r="B102" s="50"/>
      <c r="C102" s="50"/>
      <c r="D102" s="59"/>
      <c r="E102" s="16"/>
      <c r="F102" s="16"/>
      <c r="G102" s="16"/>
      <c r="H102" s="16"/>
      <c r="I102" s="16"/>
      <c r="J102" s="16"/>
      <c r="K102" s="4"/>
    </row>
    <row r="103" spans="1:11" x14ac:dyDescent="0.25">
      <c r="A103" s="44" t="s">
        <v>69</v>
      </c>
      <c r="B103" s="22" t="s">
        <v>6</v>
      </c>
      <c r="C103" s="22" t="s">
        <v>7</v>
      </c>
      <c r="D103" s="25" t="s">
        <v>8</v>
      </c>
      <c r="E103" s="3"/>
      <c r="F103" s="16"/>
      <c r="G103" s="16"/>
      <c r="H103" s="16"/>
      <c r="I103" s="16"/>
      <c r="J103" s="16"/>
      <c r="K103" s="4"/>
    </row>
    <row r="104" spans="1:11" x14ac:dyDescent="0.25">
      <c r="A104" s="56">
        <v>1</v>
      </c>
      <c r="B104" s="22">
        <f>((B109/B99)*(C99/$D$93)^(D99+E99)*($D$94/D99)^D99*($D$95/E99)^E99)^(1/F99)</f>
        <v>0.66873469387755036</v>
      </c>
      <c r="C104" s="22">
        <f>((B109/B99)*(D99/$D$94)^(C99+E99)*($D$93/C99)^C99*($D$95/E99)^E99)^(1/F99)</f>
        <v>2.9257142857142857</v>
      </c>
      <c r="D104" s="25">
        <f>((B109/B99)*(E99/$D$95)^(C99+D99)*($D$93/C99)^C99*($D$94/D99)^D99)^(1/F99)</f>
        <v>1.1702857142857139</v>
      </c>
      <c r="E104" s="3"/>
      <c r="F104" s="16"/>
      <c r="G104" s="16"/>
      <c r="H104" s="16"/>
      <c r="I104" s="16"/>
      <c r="J104" s="16"/>
      <c r="K104" s="4"/>
    </row>
    <row r="105" spans="1:11" ht="15.75" thickBot="1" x14ac:dyDescent="0.3">
      <c r="A105" s="57">
        <v>2</v>
      </c>
      <c r="B105" s="32">
        <f>(B110/B100*(C100/$D$93)^(D100+E100)*($D$94/D100)^D100*($D$95/E100)^E100)^(1/F100)</f>
        <v>3.0113270028794781</v>
      </c>
      <c r="C105" s="32">
        <f>(B110/B100*(D100/$D$94)^(C100+E100)*($D$93/C100)^C100*($D$95/E100)^E100)^(1/F100)</f>
        <v>10.978796364664765</v>
      </c>
      <c r="D105" s="35">
        <f>((B110/B100)*(E100/$D$95)^(C100+D100)*($D$93/C100)^C100*($D$94/D100)^D100)^(1/F100)</f>
        <v>1.7566074183463631</v>
      </c>
      <c r="E105" s="3"/>
      <c r="F105" s="16"/>
      <c r="G105" s="16"/>
      <c r="H105" s="16"/>
      <c r="I105" s="16"/>
      <c r="J105" s="16"/>
      <c r="K105" s="4"/>
    </row>
    <row r="106" spans="1:11" ht="15.75" thickBot="1" x14ac:dyDescent="0.3">
      <c r="A106" s="54"/>
      <c r="B106" s="22"/>
      <c r="C106" s="22"/>
      <c r="D106" s="22"/>
      <c r="E106" s="3"/>
      <c r="F106" s="16"/>
      <c r="G106" s="16"/>
      <c r="H106" s="16"/>
      <c r="I106" s="16"/>
      <c r="J106" s="16"/>
      <c r="K106" s="4"/>
    </row>
    <row r="107" spans="1:11" ht="15.75" thickBot="1" x14ac:dyDescent="0.3">
      <c r="A107" s="49" t="s">
        <v>75</v>
      </c>
      <c r="B107" s="50"/>
      <c r="C107" s="50"/>
      <c r="D107" s="50"/>
      <c r="E107" s="59"/>
      <c r="F107" s="16"/>
      <c r="G107" s="16"/>
      <c r="H107" s="16"/>
      <c r="I107" s="16"/>
      <c r="J107" s="16"/>
      <c r="K107" s="4"/>
    </row>
    <row r="108" spans="1:11" x14ac:dyDescent="0.25">
      <c r="A108" s="44" t="s">
        <v>69</v>
      </c>
      <c r="B108" s="60" t="s">
        <v>11</v>
      </c>
      <c r="C108" s="60"/>
      <c r="D108" s="60" t="s">
        <v>31</v>
      </c>
      <c r="E108" s="61"/>
      <c r="F108" s="16"/>
      <c r="G108" s="16"/>
      <c r="H108" s="16"/>
      <c r="I108" s="16"/>
      <c r="J108" s="16"/>
      <c r="K108" s="4"/>
    </row>
    <row r="109" spans="1:11" x14ac:dyDescent="0.25">
      <c r="A109" s="56">
        <v>1</v>
      </c>
      <c r="B109" s="22">
        <f>(D94*B99^(1/F99)*C99^(C99/F99)*D99^(D99/F99)*E99^(E99/F99)*$D$93^(-C99/F99)*$D$94^(-D99/F99)*$D$95^(-E99/F99))^(F99/(1-F99))</f>
        <v>7.3142857142857105</v>
      </c>
      <c r="C109" s="22"/>
      <c r="D109" s="22">
        <f>B99*(B104^C99)*(C104^D99)*(D104^E99)</f>
        <v>7.3142857142857132</v>
      </c>
      <c r="E109" s="17"/>
      <c r="F109" s="16"/>
      <c r="G109" s="16"/>
      <c r="H109" s="16"/>
      <c r="I109" s="16"/>
      <c r="J109" s="16"/>
      <c r="K109" s="4"/>
    </row>
    <row r="110" spans="1:11" ht="15.75" thickBot="1" x14ac:dyDescent="0.3">
      <c r="A110" s="57">
        <v>2</v>
      </c>
      <c r="B110" s="32">
        <f>(D94*B100^(1/F100)*C100^(C100/(F100))*D100^(D100/(F100))*E100^(E100/(F100))*$D$93^(-C100/(F100))*$D$94^(-D100/(F100))*$D$95^(-E100/(F100)))^(F100/(1-F100))</f>
        <v>21.957592729329523</v>
      </c>
      <c r="C110" s="32"/>
      <c r="D110" s="32">
        <f>B100*B105^C100*C105^D100*D105^E100</f>
        <v>21.957592729329519</v>
      </c>
      <c r="E110" s="20"/>
      <c r="F110" s="16"/>
      <c r="G110" s="16"/>
      <c r="H110" s="16"/>
      <c r="I110" s="16"/>
      <c r="J110" s="16"/>
      <c r="K110" s="4"/>
    </row>
    <row r="111" spans="1:11" ht="15.75" thickBot="1" x14ac:dyDescent="0.3">
      <c r="A111" s="56"/>
      <c r="B111" s="22"/>
      <c r="C111" s="22"/>
      <c r="D111" s="22"/>
      <c r="E111" s="16"/>
      <c r="F111" s="16"/>
      <c r="G111" s="16"/>
      <c r="H111" s="16"/>
      <c r="I111" s="16"/>
      <c r="J111" s="16"/>
      <c r="K111" s="4"/>
    </row>
    <row r="112" spans="1:11" ht="15.75" thickBot="1" x14ac:dyDescent="0.3">
      <c r="A112" s="49" t="s">
        <v>81</v>
      </c>
      <c r="B112" s="50"/>
      <c r="C112" s="50"/>
      <c r="D112" s="59"/>
      <c r="E112" s="16"/>
      <c r="F112" s="16"/>
      <c r="G112" s="16"/>
      <c r="H112" s="16"/>
      <c r="I112" s="16"/>
      <c r="J112" s="16"/>
      <c r="K112" s="4"/>
    </row>
    <row r="113" spans="1:11" x14ac:dyDescent="0.25">
      <c r="A113" s="75" t="s">
        <v>69</v>
      </c>
      <c r="B113" s="102" t="s">
        <v>91</v>
      </c>
      <c r="C113" s="112" t="s">
        <v>84</v>
      </c>
      <c r="D113" s="96" t="s">
        <v>66</v>
      </c>
      <c r="E113" s="16"/>
      <c r="F113" s="16"/>
      <c r="G113" s="16"/>
      <c r="H113" s="16"/>
      <c r="I113" s="16"/>
      <c r="J113" s="16"/>
      <c r="K113" s="4"/>
    </row>
    <row r="114" spans="1:11" x14ac:dyDescent="0.25">
      <c r="A114" s="56">
        <v>1</v>
      </c>
      <c r="B114" s="22">
        <f>D94*B109-D93*B104-D94*C104-D95*D104</f>
        <v>23.40571428571425</v>
      </c>
      <c r="C114" s="22">
        <f>(1-$F$54)*B114-$F$55</f>
        <v>20.565142857142824</v>
      </c>
      <c r="D114" s="25">
        <f>$F$54*B114+$F$55</f>
        <v>2.8405714285714252</v>
      </c>
      <c r="E114" s="16"/>
      <c r="F114" s="16"/>
      <c r="G114" s="16"/>
      <c r="H114" s="16"/>
      <c r="I114" s="16"/>
      <c r="J114" s="16"/>
      <c r="K114" s="4"/>
    </row>
    <row r="115" spans="1:11" ht="15.75" thickBot="1" x14ac:dyDescent="0.3">
      <c r="A115" s="57">
        <v>2</v>
      </c>
      <c r="B115" s="32">
        <f>D94*B110-D93*B105-D94*C105-D95*D105</f>
        <v>35.132148366927133</v>
      </c>
      <c r="C115" s="32">
        <f>(1-$F$54)*B115-$F$55</f>
        <v>31.118933530234422</v>
      </c>
      <c r="D115" s="35">
        <f>$F$54*B115+$F$55</f>
        <v>4.013214836692713</v>
      </c>
      <c r="E115" s="16"/>
      <c r="F115" s="16"/>
      <c r="G115" s="16"/>
      <c r="H115" s="16"/>
      <c r="I115" s="16"/>
      <c r="J115" s="16"/>
      <c r="K115" s="4"/>
    </row>
    <row r="116" spans="1:11" ht="15.75" thickBot="1" x14ac:dyDescent="0.3">
      <c r="A116" s="45"/>
      <c r="B116" s="16"/>
      <c r="C116" s="16"/>
      <c r="D116" s="16"/>
      <c r="E116" s="16"/>
      <c r="F116" s="16"/>
      <c r="G116" s="16"/>
      <c r="H116" s="16"/>
      <c r="I116" s="16"/>
      <c r="J116" s="16"/>
      <c r="K116" s="4"/>
    </row>
    <row r="117" spans="1:11" ht="15.75" thickBot="1" x14ac:dyDescent="0.3">
      <c r="A117" s="49" t="s">
        <v>76</v>
      </c>
      <c r="B117" s="50"/>
      <c r="C117" s="50"/>
      <c r="D117" s="50"/>
      <c r="E117" s="50"/>
      <c r="F117" s="50"/>
      <c r="G117" s="50"/>
      <c r="H117" s="50"/>
      <c r="I117" s="50"/>
      <c r="J117" s="50"/>
      <c r="K117" s="9"/>
    </row>
    <row r="118" spans="1:11" x14ac:dyDescent="0.25">
      <c r="A118" s="151" t="s">
        <v>69</v>
      </c>
      <c r="B118" s="113" t="s">
        <v>43</v>
      </c>
      <c r="C118" s="114" t="s">
        <v>44</v>
      </c>
      <c r="D118" s="113" t="s">
        <v>40</v>
      </c>
      <c r="E118" s="114" t="s">
        <v>45</v>
      </c>
      <c r="F118" s="113" t="s">
        <v>85</v>
      </c>
      <c r="G118" s="102" t="s">
        <v>86</v>
      </c>
      <c r="H118" s="102" t="s">
        <v>86</v>
      </c>
      <c r="I118" s="102" t="s">
        <v>86</v>
      </c>
      <c r="J118" s="96" t="s">
        <v>87</v>
      </c>
      <c r="K118" s="25"/>
    </row>
    <row r="119" spans="1:11" x14ac:dyDescent="0.25">
      <c r="A119" s="136"/>
      <c r="B119" s="21" t="s">
        <v>17</v>
      </c>
      <c r="C119" s="23" t="s">
        <v>18</v>
      </c>
      <c r="D119" s="21" t="s">
        <v>20</v>
      </c>
      <c r="E119" s="23" t="s">
        <v>32</v>
      </c>
      <c r="F119" s="21" t="s">
        <v>21</v>
      </c>
      <c r="G119" s="22" t="s">
        <v>18</v>
      </c>
      <c r="H119" s="40" t="s">
        <v>90</v>
      </c>
      <c r="I119" s="22" t="s">
        <v>88</v>
      </c>
      <c r="J119" s="25" t="s">
        <v>92</v>
      </c>
      <c r="K119" s="25"/>
    </row>
    <row r="120" spans="1:11" x14ac:dyDescent="0.25">
      <c r="A120" s="62">
        <v>1</v>
      </c>
      <c r="B120" s="21">
        <f>D94*F99*B109</f>
        <v>93.6228571428571</v>
      </c>
      <c r="C120" s="23">
        <f>D93*B104+D94*C104+D95*D104</f>
        <v>93.622857142857114</v>
      </c>
      <c r="D120" s="21">
        <f>F99*B109</f>
        <v>5.8514285714285688</v>
      </c>
      <c r="E120" s="23">
        <f>B109-B114/D94</f>
        <v>5.8514285714285696</v>
      </c>
      <c r="F120" s="21">
        <f>D94*B109</f>
        <v>117.02857142857137</v>
      </c>
      <c r="G120" s="22">
        <f>D93*B104+D94*C104+D95*D104</f>
        <v>93.622857142857114</v>
      </c>
      <c r="H120" s="22">
        <f>D114</f>
        <v>2.8405714285714252</v>
      </c>
      <c r="I120" s="22">
        <f>C114</f>
        <v>20.565142857142824</v>
      </c>
      <c r="J120" s="25">
        <f>G120+H120+I120</f>
        <v>117.02857142857135</v>
      </c>
      <c r="K120" s="25"/>
    </row>
    <row r="121" spans="1:11" ht="15.75" thickBot="1" x14ac:dyDescent="0.3">
      <c r="A121" s="63">
        <v>2</v>
      </c>
      <c r="B121" s="31">
        <f>D94*F100*B110</f>
        <v>316.18933530234511</v>
      </c>
      <c r="C121" s="33">
        <f>D93*B105+D94*C105+D95*D105</f>
        <v>316.18933530234523</v>
      </c>
      <c r="D121" s="31">
        <f>F100*B110</f>
        <v>19.76183345639657</v>
      </c>
      <c r="E121" s="33">
        <f>B110-B115/D94</f>
        <v>19.761833456396577</v>
      </c>
      <c r="F121" s="31">
        <f>D94*B110</f>
        <v>351.32148366927237</v>
      </c>
      <c r="G121" s="32">
        <f>D93*B105+D94*C105+D95*D105</f>
        <v>316.18933530234523</v>
      </c>
      <c r="H121" s="32">
        <f>D115</f>
        <v>4.013214836692713</v>
      </c>
      <c r="I121" s="32">
        <f>C115</f>
        <v>31.118933530234422</v>
      </c>
      <c r="J121" s="35">
        <f>G121+H121+I121</f>
        <v>351.32148366927237</v>
      </c>
      <c r="K121" s="35"/>
    </row>
    <row r="122" spans="1:11" ht="15.75" thickBot="1" x14ac:dyDescent="0.3">
      <c r="A122" s="45"/>
      <c r="B122" s="16"/>
      <c r="C122" s="16"/>
      <c r="D122" s="16"/>
      <c r="E122" s="16"/>
      <c r="F122" s="16"/>
      <c r="G122" s="16"/>
      <c r="H122" s="16"/>
      <c r="I122" s="16"/>
      <c r="J122" s="16"/>
      <c r="K122" s="17"/>
    </row>
    <row r="123" spans="1:11" ht="15.75" thickBot="1" x14ac:dyDescent="0.3">
      <c r="A123" s="49" t="s">
        <v>77</v>
      </c>
      <c r="B123" s="79" t="s">
        <v>95</v>
      </c>
      <c r="C123" s="16"/>
      <c r="D123" s="16"/>
      <c r="E123" s="16"/>
      <c r="F123" s="16"/>
      <c r="G123" s="16"/>
      <c r="H123" s="16"/>
      <c r="I123" s="16"/>
      <c r="J123" s="16"/>
      <c r="K123" s="4"/>
    </row>
    <row r="124" spans="1:11" x14ac:dyDescent="0.25">
      <c r="A124" s="44" t="s">
        <v>23</v>
      </c>
      <c r="B124" s="25">
        <f>F120+F121</f>
        <v>468.35005509784372</v>
      </c>
      <c r="C124" s="16"/>
      <c r="D124" s="16"/>
      <c r="E124" s="16"/>
      <c r="F124" s="16"/>
      <c r="G124" s="16"/>
      <c r="H124" s="16"/>
      <c r="I124" s="16"/>
      <c r="J124" s="16"/>
      <c r="K124" s="4"/>
    </row>
    <row r="125" spans="1:11" x14ac:dyDescent="0.25">
      <c r="A125" s="44" t="s">
        <v>52</v>
      </c>
      <c r="B125" s="25">
        <f>G120+G121</f>
        <v>409.81219244520236</v>
      </c>
      <c r="C125" s="16"/>
      <c r="D125" s="16"/>
      <c r="E125" s="16"/>
      <c r="F125" s="16"/>
      <c r="G125" s="16"/>
      <c r="H125" s="16"/>
      <c r="I125" s="16"/>
      <c r="J125" s="16"/>
      <c r="K125" s="4"/>
    </row>
    <row r="126" spans="1:11" x14ac:dyDescent="0.25">
      <c r="A126" s="44" t="s">
        <v>94</v>
      </c>
      <c r="B126" s="25">
        <f>H120+H121</f>
        <v>6.8537862652641381</v>
      </c>
      <c r="C126" s="3"/>
      <c r="D126" s="16"/>
      <c r="E126" s="16"/>
      <c r="F126" s="16"/>
      <c r="G126" s="16"/>
      <c r="H126" s="16"/>
      <c r="I126" s="16"/>
      <c r="J126" s="16"/>
      <c r="K126" s="4"/>
    </row>
    <row r="127" spans="1:11" x14ac:dyDescent="0.25">
      <c r="A127" s="44" t="s">
        <v>93</v>
      </c>
      <c r="B127" s="25">
        <f>I120+I121</f>
        <v>51.684076387377246</v>
      </c>
      <c r="C127" s="16"/>
      <c r="D127" s="16"/>
      <c r="E127" s="16"/>
      <c r="F127" s="16"/>
      <c r="G127" s="16"/>
      <c r="H127" s="16"/>
      <c r="I127" s="16"/>
      <c r="J127" s="16"/>
      <c r="K127" s="4"/>
    </row>
    <row r="128" spans="1:11" ht="15.75" thickBot="1" x14ac:dyDescent="0.3">
      <c r="A128" s="46" t="s">
        <v>96</v>
      </c>
      <c r="B128" s="35">
        <f>B125+B127+B126</f>
        <v>468.35005509784378</v>
      </c>
      <c r="C128" s="37"/>
      <c r="D128" s="37"/>
      <c r="E128" s="37"/>
      <c r="F128" s="37"/>
      <c r="G128" s="37"/>
      <c r="H128" s="37"/>
      <c r="I128" s="37"/>
      <c r="J128" s="37"/>
      <c r="K128" s="41"/>
    </row>
    <row r="129" spans="1:11" ht="15.75" thickBot="1" x14ac:dyDescent="0.3"/>
    <row r="130" spans="1:11" ht="15.75" thickBot="1" x14ac:dyDescent="0.3">
      <c r="A130" s="69" t="s">
        <v>114</v>
      </c>
      <c r="B130" s="70"/>
      <c r="C130" s="70"/>
      <c r="D130" s="70"/>
      <c r="E130" s="70"/>
      <c r="F130" s="70"/>
      <c r="G130" s="70"/>
      <c r="H130" s="70"/>
      <c r="I130" s="70"/>
      <c r="J130" s="70"/>
      <c r="K130" s="71"/>
    </row>
    <row r="131" spans="1:11" ht="15.75" thickBot="1" x14ac:dyDescent="0.3">
      <c r="A131" s="7" t="s">
        <v>72</v>
      </c>
      <c r="B131" s="101"/>
      <c r="C131" s="101"/>
      <c r="D131" s="100" t="s">
        <v>51</v>
      </c>
      <c r="E131" s="7" t="s">
        <v>62</v>
      </c>
      <c r="F131" s="103" t="s">
        <v>65</v>
      </c>
      <c r="G131" s="3"/>
      <c r="H131" s="3"/>
      <c r="I131" s="3"/>
      <c r="J131" s="3"/>
      <c r="K131" s="4"/>
    </row>
    <row r="132" spans="1:11" x14ac:dyDescent="0.25">
      <c r="A132" s="144" t="s">
        <v>28</v>
      </c>
      <c r="B132" s="145"/>
      <c r="C132" s="145"/>
      <c r="D132" s="104">
        <f>B5</f>
        <v>35</v>
      </c>
      <c r="E132" s="6" t="s">
        <v>63</v>
      </c>
      <c r="F132" s="92">
        <f>$E$5</f>
        <v>0.1</v>
      </c>
      <c r="G132" s="16"/>
      <c r="H132" s="16"/>
      <c r="I132" s="16"/>
      <c r="J132" s="16"/>
      <c r="K132" s="4"/>
    </row>
    <row r="133" spans="1:11" ht="15.75" thickBot="1" x14ac:dyDescent="0.3">
      <c r="A133" s="42" t="s">
        <v>12</v>
      </c>
      <c r="B133" s="43"/>
      <c r="C133" s="43"/>
      <c r="D133" s="105">
        <f>B6</f>
        <v>16</v>
      </c>
      <c r="E133" s="38" t="s">
        <v>64</v>
      </c>
      <c r="F133" s="93">
        <f>$E$6</f>
        <v>0.5</v>
      </c>
      <c r="G133" s="16"/>
      <c r="H133" s="16"/>
      <c r="I133" s="16"/>
      <c r="J133" s="16"/>
      <c r="K133" s="4"/>
    </row>
    <row r="134" spans="1:11" ht="15.75" thickBot="1" x14ac:dyDescent="0.3">
      <c r="A134" s="51" t="s">
        <v>30</v>
      </c>
      <c r="B134" s="52"/>
      <c r="C134" s="52"/>
      <c r="D134" s="106">
        <f>B7</f>
        <v>20</v>
      </c>
      <c r="E134" s="16"/>
      <c r="F134" s="16"/>
      <c r="G134" s="16"/>
      <c r="H134" s="16"/>
      <c r="I134" s="16"/>
      <c r="J134" s="16"/>
      <c r="K134" s="4"/>
    </row>
    <row r="135" spans="1:11" ht="15.75" thickBot="1" x14ac:dyDescent="0.3">
      <c r="A135" s="42"/>
      <c r="B135" s="43"/>
      <c r="C135" s="43"/>
      <c r="D135" s="16"/>
      <c r="E135" s="16"/>
      <c r="F135" s="16"/>
      <c r="G135" s="16"/>
      <c r="H135" s="16"/>
      <c r="I135" s="16"/>
      <c r="J135" s="16"/>
      <c r="K135" s="4"/>
    </row>
    <row r="136" spans="1:11" ht="15.75" thickBot="1" x14ac:dyDescent="0.3">
      <c r="A136" s="142" t="s">
        <v>73</v>
      </c>
      <c r="B136" s="143"/>
      <c r="C136" s="58" t="s">
        <v>16</v>
      </c>
      <c r="D136" s="50"/>
      <c r="E136" s="50"/>
      <c r="F136" s="50"/>
      <c r="G136" s="59"/>
      <c r="H136" s="16"/>
      <c r="I136" s="16"/>
      <c r="J136" s="16"/>
      <c r="K136" s="4"/>
    </row>
    <row r="137" spans="1:11" x14ac:dyDescent="0.25">
      <c r="A137" s="55" t="s">
        <v>69</v>
      </c>
      <c r="B137" s="22" t="s">
        <v>1</v>
      </c>
      <c r="C137" s="22" t="s">
        <v>2</v>
      </c>
      <c r="D137" s="22" t="s">
        <v>3</v>
      </c>
      <c r="E137" s="22" t="s">
        <v>14</v>
      </c>
      <c r="F137" s="43" t="s">
        <v>5</v>
      </c>
      <c r="G137" s="53"/>
      <c r="H137" s="16"/>
      <c r="I137" s="16"/>
      <c r="J137" s="16"/>
      <c r="K137" s="4"/>
    </row>
    <row r="138" spans="1:11" x14ac:dyDescent="0.25">
      <c r="A138" s="56">
        <v>1</v>
      </c>
      <c r="B138" s="22">
        <v>6</v>
      </c>
      <c r="C138" s="22">
        <v>0.3</v>
      </c>
      <c r="D138" s="22">
        <v>0.1</v>
      </c>
      <c r="E138" s="22">
        <v>0.1</v>
      </c>
      <c r="F138" s="22">
        <f>SUM(C138:E138)</f>
        <v>0.5</v>
      </c>
      <c r="G138" s="25"/>
      <c r="H138" s="16"/>
      <c r="I138" s="16"/>
      <c r="J138" s="16"/>
      <c r="K138" s="4"/>
    </row>
    <row r="139" spans="1:11" ht="15.75" thickBot="1" x14ac:dyDescent="0.3">
      <c r="A139" s="57">
        <v>2</v>
      </c>
      <c r="B139" s="32">
        <v>5</v>
      </c>
      <c r="C139" s="32">
        <v>0.5</v>
      </c>
      <c r="D139" s="32">
        <v>0.1</v>
      </c>
      <c r="E139" s="32">
        <v>0.15</v>
      </c>
      <c r="F139" s="32">
        <f>SUM(C139:E139)</f>
        <v>0.75</v>
      </c>
      <c r="G139" s="35"/>
      <c r="H139" s="16"/>
      <c r="I139" s="16"/>
      <c r="J139" s="16"/>
      <c r="K139" s="4"/>
    </row>
    <row r="140" spans="1:11" ht="15.75" thickBot="1" x14ac:dyDescent="0.3">
      <c r="A140" s="45"/>
      <c r="B140" s="16"/>
      <c r="C140" s="16"/>
      <c r="D140" s="16"/>
      <c r="E140" s="16"/>
      <c r="F140" s="16"/>
      <c r="G140" s="16"/>
      <c r="H140" s="16"/>
      <c r="I140" s="16"/>
      <c r="J140" s="16"/>
      <c r="K140" s="4"/>
    </row>
    <row r="141" spans="1:11" ht="15.75" thickBot="1" x14ac:dyDescent="0.3">
      <c r="A141" s="49" t="s">
        <v>74</v>
      </c>
      <c r="B141" s="50"/>
      <c r="C141" s="50"/>
      <c r="D141" s="59"/>
      <c r="E141" s="16"/>
      <c r="F141" s="16"/>
      <c r="G141" s="16"/>
      <c r="H141" s="16"/>
      <c r="I141" s="16"/>
      <c r="J141" s="16"/>
      <c r="K141" s="4"/>
    </row>
    <row r="142" spans="1:11" x14ac:dyDescent="0.25">
      <c r="A142" s="44" t="s">
        <v>69</v>
      </c>
      <c r="B142" s="22" t="s">
        <v>6</v>
      </c>
      <c r="C142" s="22" t="s">
        <v>7</v>
      </c>
      <c r="D142" s="25" t="s">
        <v>8</v>
      </c>
      <c r="E142" s="3"/>
      <c r="F142" s="16"/>
      <c r="G142" s="16"/>
      <c r="H142" s="16"/>
      <c r="I142" s="16"/>
      <c r="J142" s="16"/>
      <c r="K142" s="4"/>
    </row>
    <row r="143" spans="1:11" x14ac:dyDescent="0.25">
      <c r="A143" s="56">
        <v>1</v>
      </c>
      <c r="B143" s="22">
        <f>((B148/B138)*(C138/$D$132)^(D138+E138)*($D$133/D138)^D138*($D$134/E138)^E138)^(1/F138)</f>
        <v>0.89169767243817566</v>
      </c>
      <c r="C143" s="22">
        <f>((B148/B138)*(D138/$D$133)^(C138+E138)*($D$132/C138)^C138*($D$134/E138)^E138)^(1/F138)</f>
        <v>0.65019621948617057</v>
      </c>
      <c r="D143" s="25">
        <f>((B148/B138)*(E138/$D$134)^(C138+D138)*($D$132/C138)^C138*($D$133/D138)^D138)^(1/F138)</f>
        <v>0.52015697558893625</v>
      </c>
      <c r="E143" s="3"/>
      <c r="F143" s="16"/>
      <c r="G143" s="16"/>
      <c r="H143" s="16"/>
      <c r="I143" s="16"/>
      <c r="J143" s="16"/>
      <c r="K143" s="4"/>
    </row>
    <row r="144" spans="1:11" ht="15.75" thickBot="1" x14ac:dyDescent="0.3">
      <c r="A144" s="57">
        <v>2</v>
      </c>
      <c r="B144" s="32">
        <f>(B149/B139*(C139/$D$132)^(D139+E139)*($D$133/D139)^D139*($D$134/E139)^E139)^(1/F139)</f>
        <v>2.0327999667088714</v>
      </c>
      <c r="C144" s="32">
        <f>(B149/B139*(D139/$D$133)^(C139+E139)*($D$132/C139)^C139*($D$134/E139)^E139)^(1/F139)</f>
        <v>0.88934998543513166</v>
      </c>
      <c r="D144" s="35">
        <f>((B149/B139)*(E139/$D$134)^(C139+D139)*($D$132/C139)^C139*($D$133/D139)^D139)^(1/F139)</f>
        <v>1.0672199825221569</v>
      </c>
      <c r="E144" s="3"/>
      <c r="F144" s="16"/>
      <c r="G144" s="16"/>
      <c r="H144" s="16"/>
      <c r="I144" s="16"/>
      <c r="J144" s="16"/>
      <c r="K144" s="4"/>
    </row>
    <row r="145" spans="1:11" ht="15.75" thickBot="1" x14ac:dyDescent="0.3">
      <c r="A145" s="54"/>
      <c r="B145" s="22"/>
      <c r="C145" s="22"/>
      <c r="D145" s="22"/>
      <c r="E145" s="3"/>
      <c r="F145" s="16"/>
      <c r="G145" s="16"/>
      <c r="H145" s="16"/>
      <c r="I145" s="16"/>
      <c r="J145" s="16"/>
      <c r="K145" s="4"/>
    </row>
    <row r="146" spans="1:11" ht="15.75" thickBot="1" x14ac:dyDescent="0.3">
      <c r="A146" s="49" t="s">
        <v>75</v>
      </c>
      <c r="B146" s="50"/>
      <c r="C146" s="50"/>
      <c r="D146" s="50"/>
      <c r="E146" s="59"/>
      <c r="F146" s="16"/>
      <c r="G146" s="16"/>
      <c r="H146" s="16"/>
      <c r="I146" s="16"/>
      <c r="J146" s="16"/>
      <c r="K146" s="4"/>
    </row>
    <row r="147" spans="1:11" x14ac:dyDescent="0.25">
      <c r="A147" s="44" t="s">
        <v>69</v>
      </c>
      <c r="B147" s="60" t="s">
        <v>11</v>
      </c>
      <c r="C147" s="60"/>
      <c r="D147" s="60" t="s">
        <v>31</v>
      </c>
      <c r="E147" s="61"/>
      <c r="F147" s="16"/>
      <c r="G147" s="16"/>
      <c r="H147" s="16"/>
      <c r="I147" s="16"/>
      <c r="J147" s="16"/>
      <c r="K147" s="4"/>
    </row>
    <row r="148" spans="1:11" x14ac:dyDescent="0.25">
      <c r="A148" s="56">
        <v>1</v>
      </c>
      <c r="B148" s="22">
        <f>(D134*B138^(1/F138)*C138^(C138/F138)*D138^(D138/F138)*E138^(E138/F138)*$D$132^(-C138/F138)*$D$133^(-D138/F138)*$D$134^(-E138/F138))^(F138/(1-F138))</f>
        <v>5.2015697558893592</v>
      </c>
      <c r="C148" s="22"/>
      <c r="D148" s="22">
        <f>B138*(B143^C138)*(C143^D138)*(D143^E138)</f>
        <v>5.2015697558893592</v>
      </c>
      <c r="E148" s="17"/>
      <c r="F148" s="16"/>
      <c r="G148" s="16"/>
      <c r="H148" s="16"/>
      <c r="I148" s="16"/>
      <c r="J148" s="16"/>
      <c r="K148" s="4"/>
    </row>
    <row r="149" spans="1:11" ht="15.75" thickBot="1" x14ac:dyDescent="0.3">
      <c r="A149" s="57">
        <v>2</v>
      </c>
      <c r="B149" s="32">
        <f>(D134*B139^(1/F139)*C139^(C139/(F139))*D139^(D139/(F139))*E139^(E139/(F139))*$D$132^(-C139/(F139))*$D$133^(-D139/(F139))*$D$134^(-E139/(F139)))^(F139/(1-F139))</f>
        <v>7.114799883481048</v>
      </c>
      <c r="C149" s="32"/>
      <c r="D149" s="32">
        <f>B139*B144^C139*C144^D139*D144^E139</f>
        <v>7.1147998834810489</v>
      </c>
      <c r="E149" s="20"/>
      <c r="F149" s="16"/>
      <c r="G149" s="16"/>
      <c r="H149" s="16"/>
      <c r="I149" s="16"/>
      <c r="J149" s="16"/>
      <c r="K149" s="4"/>
    </row>
    <row r="150" spans="1:11" ht="15.75" thickBot="1" x14ac:dyDescent="0.3">
      <c r="A150" s="56"/>
      <c r="B150" s="22"/>
      <c r="C150" s="22"/>
      <c r="D150" s="22"/>
      <c r="E150" s="16"/>
      <c r="F150" s="16"/>
      <c r="G150" s="16"/>
      <c r="H150" s="16"/>
      <c r="I150" s="16"/>
      <c r="J150" s="16"/>
      <c r="K150" s="4"/>
    </row>
    <row r="151" spans="1:11" ht="15.75" thickBot="1" x14ac:dyDescent="0.3">
      <c r="A151" s="49" t="s">
        <v>81</v>
      </c>
      <c r="B151" s="50"/>
      <c r="C151" s="50"/>
      <c r="D151" s="59"/>
      <c r="E151" s="16"/>
      <c r="F151" s="16"/>
      <c r="G151" s="16"/>
      <c r="H151" s="16"/>
      <c r="I151" s="16"/>
      <c r="J151" s="16"/>
      <c r="K151" s="4"/>
    </row>
    <row r="152" spans="1:11" x14ac:dyDescent="0.25">
      <c r="A152" s="75" t="s">
        <v>69</v>
      </c>
      <c r="B152" s="102" t="s">
        <v>91</v>
      </c>
      <c r="C152" s="112" t="s">
        <v>84</v>
      </c>
      <c r="D152" s="96" t="s">
        <v>66</v>
      </c>
      <c r="E152" s="16"/>
      <c r="F152" s="16"/>
      <c r="G152" s="16"/>
      <c r="H152" s="16"/>
      <c r="I152" s="16"/>
      <c r="J152" s="16"/>
      <c r="K152" s="4"/>
    </row>
    <row r="153" spans="1:11" x14ac:dyDescent="0.25">
      <c r="A153" s="56">
        <v>1</v>
      </c>
      <c r="B153" s="22">
        <f>D134*B148-D132*B143-D133*C143-D134*D143</f>
        <v>52.015697558893585</v>
      </c>
      <c r="C153" s="22">
        <f>(1-$F$54)*B153-$F$55</f>
        <v>46.314127803004226</v>
      </c>
      <c r="D153" s="25">
        <f>$F$54*B153+$F$55</f>
        <v>5.7015697558893592</v>
      </c>
      <c r="E153" s="16"/>
      <c r="F153" s="16"/>
      <c r="G153" s="16"/>
      <c r="H153" s="16"/>
      <c r="I153" s="16"/>
      <c r="J153" s="16"/>
      <c r="K153" s="4"/>
    </row>
    <row r="154" spans="1:11" ht="15.75" thickBot="1" x14ac:dyDescent="0.3">
      <c r="A154" s="57">
        <v>2</v>
      </c>
      <c r="B154" s="32">
        <f>D134*B149-D132*B144-D133*C144-D134*D144</f>
        <v>35.573999417405219</v>
      </c>
      <c r="C154" s="32">
        <f>(1-$F$54)*B154-$F$55</f>
        <v>31.516599475664698</v>
      </c>
      <c r="D154" s="35">
        <f>$F$54*B154+$F$55</f>
        <v>4.0573999417405222</v>
      </c>
      <c r="E154" s="16"/>
      <c r="F154" s="16"/>
      <c r="G154" s="16"/>
      <c r="H154" s="16"/>
      <c r="I154" s="16"/>
      <c r="J154" s="16"/>
      <c r="K154" s="4"/>
    </row>
    <row r="155" spans="1:11" ht="15.75" thickBot="1" x14ac:dyDescent="0.3">
      <c r="A155" s="45"/>
      <c r="B155" s="16"/>
      <c r="C155" s="16"/>
      <c r="D155" s="16"/>
      <c r="E155" s="16"/>
      <c r="F155" s="16"/>
      <c r="G155" s="16"/>
      <c r="H155" s="16"/>
      <c r="I155" s="16"/>
      <c r="J155" s="16"/>
      <c r="K155" s="4"/>
    </row>
    <row r="156" spans="1:11" ht="15.75" thickBot="1" x14ac:dyDescent="0.3">
      <c r="A156" s="49" t="s">
        <v>76</v>
      </c>
      <c r="B156" s="50"/>
      <c r="C156" s="50"/>
      <c r="D156" s="50"/>
      <c r="E156" s="50"/>
      <c r="F156" s="50"/>
      <c r="G156" s="50"/>
      <c r="H156" s="50"/>
      <c r="I156" s="50"/>
      <c r="J156" s="50"/>
      <c r="K156" s="9"/>
    </row>
    <row r="157" spans="1:11" x14ac:dyDescent="0.25">
      <c r="A157" s="151" t="s">
        <v>69</v>
      </c>
      <c r="B157" s="113" t="s">
        <v>43</v>
      </c>
      <c r="C157" s="114" t="s">
        <v>44</v>
      </c>
      <c r="D157" s="113" t="s">
        <v>40</v>
      </c>
      <c r="E157" s="114" t="s">
        <v>45</v>
      </c>
      <c r="F157" s="113" t="s">
        <v>85</v>
      </c>
      <c r="G157" s="102" t="s">
        <v>86</v>
      </c>
      <c r="H157" s="102" t="s">
        <v>86</v>
      </c>
      <c r="I157" s="102" t="s">
        <v>86</v>
      </c>
      <c r="J157" s="96" t="s">
        <v>87</v>
      </c>
      <c r="K157" s="25"/>
    </row>
    <row r="158" spans="1:11" x14ac:dyDescent="0.25">
      <c r="A158" s="136"/>
      <c r="B158" s="21" t="s">
        <v>17</v>
      </c>
      <c r="C158" s="23" t="s">
        <v>18</v>
      </c>
      <c r="D158" s="21" t="s">
        <v>20</v>
      </c>
      <c r="E158" s="23" t="s">
        <v>32</v>
      </c>
      <c r="F158" s="21" t="s">
        <v>21</v>
      </c>
      <c r="G158" s="22" t="s">
        <v>18</v>
      </c>
      <c r="H158" s="40" t="s">
        <v>90</v>
      </c>
      <c r="I158" s="22" t="s">
        <v>88</v>
      </c>
      <c r="J158" s="25" t="s">
        <v>92</v>
      </c>
      <c r="K158" s="25"/>
    </row>
    <row r="159" spans="1:11" x14ac:dyDescent="0.25">
      <c r="A159" s="62">
        <v>1</v>
      </c>
      <c r="B159" s="21">
        <f>D134*F138*B148</f>
        <v>52.015697558893592</v>
      </c>
      <c r="C159" s="23">
        <f>D132*B143+D133*C143+D134*D143</f>
        <v>52.015697558893599</v>
      </c>
      <c r="D159" s="21">
        <f>F138*B148</f>
        <v>2.6007848779446796</v>
      </c>
      <c r="E159" s="23">
        <f>B148-B153/D134</f>
        <v>2.6007848779446801</v>
      </c>
      <c r="F159" s="21">
        <f>D134*B148</f>
        <v>104.03139511778718</v>
      </c>
      <c r="G159" s="22">
        <f>D132*B143+D133*C143+D134*D143</f>
        <v>52.015697558893599</v>
      </c>
      <c r="H159" s="22">
        <f>D153</f>
        <v>5.7015697558893592</v>
      </c>
      <c r="I159" s="22">
        <f>C153</f>
        <v>46.314127803004226</v>
      </c>
      <c r="J159" s="25">
        <f>G159+H159+I159</f>
        <v>104.03139511778718</v>
      </c>
      <c r="K159" s="25"/>
    </row>
    <row r="160" spans="1:11" ht="15.75" thickBot="1" x14ac:dyDescent="0.3">
      <c r="A160" s="63">
        <v>2</v>
      </c>
      <c r="B160" s="31">
        <f>D134*F139*B149</f>
        <v>106.72199825221571</v>
      </c>
      <c r="C160" s="33">
        <f>D132*B144+D133*C144+D134*D144</f>
        <v>106.72199825221574</v>
      </c>
      <c r="D160" s="31">
        <f>F139*B149</f>
        <v>5.336099912610786</v>
      </c>
      <c r="E160" s="33">
        <f>B149-B154/D134</f>
        <v>5.3360999126107869</v>
      </c>
      <c r="F160" s="31">
        <f>D134*B149</f>
        <v>142.29599766962096</v>
      </c>
      <c r="G160" s="32">
        <f>D132*B144+D133*C144+D134*D144</f>
        <v>106.72199825221574</v>
      </c>
      <c r="H160" s="32">
        <f>D154</f>
        <v>4.0573999417405222</v>
      </c>
      <c r="I160" s="32">
        <f>C154</f>
        <v>31.516599475664698</v>
      </c>
      <c r="J160" s="35">
        <f>G160+H160+I160</f>
        <v>142.29599766962096</v>
      </c>
      <c r="K160" s="35"/>
    </row>
    <row r="161" spans="1:11" ht="15.75" thickBot="1" x14ac:dyDescent="0.3">
      <c r="A161" s="45"/>
      <c r="B161" s="16"/>
      <c r="C161" s="16"/>
      <c r="D161" s="16"/>
      <c r="E161" s="16"/>
      <c r="F161" s="16"/>
      <c r="G161" s="16"/>
      <c r="H161" s="16"/>
      <c r="I161" s="16"/>
      <c r="J161" s="16"/>
      <c r="K161" s="17"/>
    </row>
    <row r="162" spans="1:11" ht="15.75" thickBot="1" x14ac:dyDescent="0.3">
      <c r="A162" s="49" t="s">
        <v>77</v>
      </c>
      <c r="B162" s="79" t="s">
        <v>95</v>
      </c>
      <c r="C162" s="16"/>
      <c r="D162" s="16"/>
      <c r="E162" s="16"/>
      <c r="F162" s="16"/>
      <c r="G162" s="16"/>
      <c r="H162" s="16"/>
      <c r="I162" s="16"/>
      <c r="J162" s="16"/>
      <c r="K162" s="4"/>
    </row>
    <row r="163" spans="1:11" x14ac:dyDescent="0.25">
      <c r="A163" s="44" t="s">
        <v>23</v>
      </c>
      <c r="B163" s="25">
        <f>F159+F160</f>
        <v>246.32739278740814</v>
      </c>
      <c r="C163" s="16"/>
      <c r="D163" s="16"/>
      <c r="E163" s="16"/>
      <c r="F163" s="16"/>
      <c r="G163" s="16"/>
      <c r="H163" s="16"/>
      <c r="I163" s="16"/>
      <c r="J163" s="16"/>
      <c r="K163" s="4"/>
    </row>
    <row r="164" spans="1:11" x14ac:dyDescent="0.25">
      <c r="A164" s="44" t="s">
        <v>52</v>
      </c>
      <c r="B164" s="25">
        <f>G159+G160</f>
        <v>158.73769581110935</v>
      </c>
      <c r="C164" s="16"/>
      <c r="D164" s="16"/>
      <c r="E164" s="16"/>
      <c r="F164" s="16"/>
      <c r="G164" s="16"/>
      <c r="H164" s="16"/>
      <c r="I164" s="16"/>
      <c r="J164" s="16"/>
      <c r="K164" s="4"/>
    </row>
    <row r="165" spans="1:11" x14ac:dyDescent="0.25">
      <c r="A165" s="44" t="s">
        <v>94</v>
      </c>
      <c r="B165" s="25">
        <f>H159+H160</f>
        <v>9.7589696976298814</v>
      </c>
      <c r="C165" s="3"/>
      <c r="D165" s="16"/>
      <c r="E165" s="16"/>
      <c r="F165" s="16"/>
      <c r="G165" s="16"/>
      <c r="H165" s="16"/>
      <c r="I165" s="16"/>
      <c r="J165" s="16"/>
      <c r="K165" s="4"/>
    </row>
    <row r="166" spans="1:11" x14ac:dyDescent="0.25">
      <c r="A166" s="44" t="s">
        <v>93</v>
      </c>
      <c r="B166" s="25">
        <f>I159+I160</f>
        <v>77.830727278668917</v>
      </c>
      <c r="C166" s="16"/>
      <c r="D166" s="16"/>
      <c r="E166" s="16"/>
      <c r="F166" s="16"/>
      <c r="G166" s="16"/>
      <c r="H166" s="16"/>
      <c r="I166" s="16"/>
      <c r="J166" s="16"/>
      <c r="K166" s="4"/>
    </row>
    <row r="167" spans="1:11" ht="15.75" thickBot="1" x14ac:dyDescent="0.3">
      <c r="A167" s="46" t="s">
        <v>96</v>
      </c>
      <c r="B167" s="35">
        <f>B164+B166+B165</f>
        <v>246.32739278740814</v>
      </c>
      <c r="C167" s="37"/>
      <c r="D167" s="37"/>
      <c r="E167" s="37"/>
      <c r="F167" s="37"/>
      <c r="G167" s="37"/>
      <c r="H167" s="37"/>
      <c r="I167" s="37"/>
      <c r="J167" s="37"/>
      <c r="K167" s="41"/>
    </row>
    <row r="168" spans="1:11" ht="15.75" thickBot="1" x14ac:dyDescent="0.3"/>
    <row r="169" spans="1:11" ht="15.75" thickBot="1" x14ac:dyDescent="0.3">
      <c r="A169" s="72" t="s">
        <v>115</v>
      </c>
      <c r="B169" s="73"/>
      <c r="C169" s="73"/>
      <c r="D169" s="73"/>
      <c r="E169" s="70"/>
      <c r="F169" s="70"/>
      <c r="G169" s="70"/>
      <c r="H169" s="70"/>
      <c r="I169" s="70"/>
      <c r="J169" s="70"/>
      <c r="K169" s="71"/>
    </row>
    <row r="170" spans="1:11" ht="15.75" thickBot="1" x14ac:dyDescent="0.3">
      <c r="A170" s="7" t="s">
        <v>72</v>
      </c>
      <c r="B170" s="101"/>
      <c r="C170" s="101"/>
      <c r="D170" s="100" t="s">
        <v>51</v>
      </c>
      <c r="E170" s="7" t="s">
        <v>62</v>
      </c>
      <c r="F170" s="103" t="s">
        <v>65</v>
      </c>
      <c r="G170" s="3"/>
      <c r="H170" s="3"/>
      <c r="I170" s="3"/>
      <c r="J170" s="3"/>
      <c r="K170" s="4"/>
    </row>
    <row r="171" spans="1:11" x14ac:dyDescent="0.25">
      <c r="A171" s="144" t="s">
        <v>28</v>
      </c>
      <c r="B171" s="145"/>
      <c r="C171" s="145"/>
      <c r="D171" s="104">
        <f>B5</f>
        <v>35</v>
      </c>
      <c r="E171" s="6" t="s">
        <v>63</v>
      </c>
      <c r="F171" s="92">
        <f>$E$5</f>
        <v>0.1</v>
      </c>
      <c r="G171" s="16"/>
      <c r="I171" s="16"/>
      <c r="J171" s="16"/>
      <c r="K171" s="4"/>
    </row>
    <row r="172" spans="1:11" ht="15.75" thickBot="1" x14ac:dyDescent="0.3">
      <c r="A172" s="42" t="s">
        <v>12</v>
      </c>
      <c r="B172" s="43"/>
      <c r="C172" s="43"/>
      <c r="D172" s="105">
        <f>B6</f>
        <v>16</v>
      </c>
      <c r="E172" s="38" t="s">
        <v>64</v>
      </c>
      <c r="F172" s="93">
        <f>$E$6</f>
        <v>0.5</v>
      </c>
      <c r="G172" s="16"/>
      <c r="H172" s="16"/>
      <c r="I172" s="16"/>
      <c r="J172" s="16"/>
      <c r="K172" s="4"/>
    </row>
    <row r="173" spans="1:11" x14ac:dyDescent="0.25">
      <c r="A173" s="42" t="s">
        <v>13</v>
      </c>
      <c r="B173" s="43"/>
      <c r="C173" s="43"/>
      <c r="D173" s="105">
        <f>B7</f>
        <v>20</v>
      </c>
      <c r="E173" s="16"/>
      <c r="F173" s="16"/>
      <c r="G173" s="16"/>
      <c r="H173" s="16"/>
      <c r="I173" s="16"/>
      <c r="J173" s="16"/>
      <c r="K173" s="4"/>
    </row>
    <row r="174" spans="1:11" ht="15.75" thickBot="1" x14ac:dyDescent="0.3">
      <c r="A174" s="74" t="s">
        <v>38</v>
      </c>
      <c r="B174" s="19"/>
      <c r="C174" s="37"/>
      <c r="D174" s="106">
        <f>B8</f>
        <v>27</v>
      </c>
      <c r="E174" s="16"/>
      <c r="F174" s="16"/>
      <c r="G174" s="16"/>
      <c r="H174" s="16"/>
      <c r="I174" s="16"/>
      <c r="J174" s="16"/>
      <c r="K174" s="4"/>
    </row>
    <row r="175" spans="1:11" ht="15.75" thickBot="1" x14ac:dyDescent="0.3">
      <c r="A175" s="42"/>
      <c r="B175" s="43"/>
      <c r="C175" s="43"/>
      <c r="D175" s="16"/>
      <c r="E175" s="16"/>
      <c r="F175" s="16"/>
      <c r="G175" s="16"/>
      <c r="H175" s="16"/>
      <c r="I175" s="16"/>
      <c r="J175" s="16"/>
      <c r="K175" s="4"/>
    </row>
    <row r="176" spans="1:11" ht="15.75" thickBot="1" x14ac:dyDescent="0.3">
      <c r="A176" s="142" t="s">
        <v>73</v>
      </c>
      <c r="B176" s="143"/>
      <c r="C176" s="58" t="s">
        <v>16</v>
      </c>
      <c r="D176" s="50"/>
      <c r="E176" s="50"/>
      <c r="F176" s="50"/>
      <c r="G176" s="59"/>
      <c r="H176" s="16"/>
      <c r="I176" s="16"/>
      <c r="J176" s="16"/>
      <c r="K176" s="4"/>
    </row>
    <row r="177" spans="1:11" x14ac:dyDescent="0.25">
      <c r="A177" s="55" t="s">
        <v>69</v>
      </c>
      <c r="B177" s="22" t="s">
        <v>1</v>
      </c>
      <c r="C177" s="22" t="s">
        <v>2</v>
      </c>
      <c r="D177" s="22" t="s">
        <v>3</v>
      </c>
      <c r="E177" s="22" t="s">
        <v>14</v>
      </c>
      <c r="F177" s="43" t="s">
        <v>5</v>
      </c>
      <c r="G177" s="53"/>
      <c r="H177" s="16"/>
      <c r="I177" s="16"/>
      <c r="J177" s="16"/>
      <c r="K177" s="4"/>
    </row>
    <row r="178" spans="1:11" x14ac:dyDescent="0.25">
      <c r="A178" s="56">
        <v>1</v>
      </c>
      <c r="B178" s="22">
        <v>2.2000000000000002</v>
      </c>
      <c r="C178" s="22">
        <v>0.4</v>
      </c>
      <c r="D178" s="22">
        <v>0.2</v>
      </c>
      <c r="E178" s="22">
        <v>0.1</v>
      </c>
      <c r="F178" s="22">
        <f>SUM(C178:E178)</f>
        <v>0.70000000000000007</v>
      </c>
      <c r="G178" s="25"/>
      <c r="H178" s="16"/>
      <c r="I178" s="16"/>
      <c r="J178" s="16"/>
      <c r="K178" s="4"/>
    </row>
    <row r="179" spans="1:11" ht="15.75" thickBot="1" x14ac:dyDescent="0.3">
      <c r="A179" s="57">
        <v>2</v>
      </c>
      <c r="B179" s="32">
        <v>2</v>
      </c>
      <c r="C179" s="32">
        <v>0.3</v>
      </c>
      <c r="D179" s="32">
        <v>0.1</v>
      </c>
      <c r="E179" s="32">
        <v>0.4</v>
      </c>
      <c r="F179" s="32">
        <f>SUM(C179:E179)</f>
        <v>0.8</v>
      </c>
      <c r="G179" s="35"/>
      <c r="H179" s="16"/>
      <c r="I179" s="16"/>
      <c r="J179" s="16"/>
      <c r="K179" s="4"/>
    </row>
    <row r="180" spans="1:11" ht="15.75" thickBot="1" x14ac:dyDescent="0.3">
      <c r="A180" s="45"/>
      <c r="B180" s="16"/>
      <c r="C180" s="16"/>
      <c r="D180" s="16"/>
      <c r="E180" s="16"/>
      <c r="F180" s="16"/>
      <c r="G180" s="16"/>
      <c r="H180" s="16"/>
      <c r="I180" s="16"/>
      <c r="J180" s="16"/>
      <c r="K180" s="4"/>
    </row>
    <row r="181" spans="1:11" ht="15.75" thickBot="1" x14ac:dyDescent="0.3">
      <c r="A181" s="49" t="s">
        <v>74</v>
      </c>
      <c r="B181" s="50"/>
      <c r="C181" s="50"/>
      <c r="D181" s="59"/>
      <c r="E181" s="16"/>
      <c r="F181" s="16"/>
      <c r="G181" s="16"/>
      <c r="H181" s="16"/>
      <c r="I181" s="16"/>
      <c r="J181" s="16"/>
      <c r="K181" s="4"/>
    </row>
    <row r="182" spans="1:11" x14ac:dyDescent="0.25">
      <c r="A182" s="44" t="s">
        <v>69</v>
      </c>
      <c r="B182" s="22" t="s">
        <v>6</v>
      </c>
      <c r="C182" s="22" t="s">
        <v>7</v>
      </c>
      <c r="D182" s="25" t="s">
        <v>8</v>
      </c>
      <c r="E182" s="3"/>
      <c r="F182" s="16"/>
      <c r="G182" s="16"/>
      <c r="H182" s="16"/>
      <c r="I182" s="16"/>
      <c r="J182" s="16"/>
      <c r="K182" s="4"/>
    </row>
    <row r="183" spans="1:11" x14ac:dyDescent="0.25">
      <c r="A183" s="56">
        <v>1</v>
      </c>
      <c r="B183" s="22">
        <f>((B188/B178)*(C178/$D$171)^(D178+E178)*($D$172/D178)^D178*($D$173/E178)^E178)^(1/F178)</f>
        <v>0.22158109437997392</v>
      </c>
      <c r="C183" s="22">
        <f>((B188/B178)*(D178/$D$172)^(C178+E178)*($D$171/C178)^C178*($D$173/E178)^E178)^(1/F178)</f>
        <v>0.24235432197809675</v>
      </c>
      <c r="D183" s="25">
        <f>((B188/B178)*(E178/$D$173)^(C178+D178)*($D$171/C178)^C178*($D$172/D178)^D178)^(1/F178)</f>
        <v>9.6941728791238649E-2</v>
      </c>
      <c r="E183" s="16"/>
      <c r="F183" s="16"/>
      <c r="G183" s="16"/>
      <c r="H183" s="16"/>
      <c r="I183" s="16"/>
      <c r="J183" s="16"/>
      <c r="K183" s="4"/>
    </row>
    <row r="184" spans="1:11" ht="15.75" thickBot="1" x14ac:dyDescent="0.3">
      <c r="A184" s="57">
        <v>2</v>
      </c>
      <c r="B184" s="32">
        <f>(B189/B179*(C179/$D$171)^(D179+E179)*($D$172/D179)^D179*($D$173/E179)^E179)^(1/F179)</f>
        <v>9.8764717316403669E-2</v>
      </c>
      <c r="C184" s="32">
        <f>(B189/B179*(D179/$D$172)^(C179+E179)*($D$171/C179)^C179*($D$173/E179)^E179)^(1/F179)</f>
        <v>7.2015939709877741E-2</v>
      </c>
      <c r="D184" s="35">
        <f>((B189/B179)*(E179/$D$173)^(C179+D179)*($D$171/C179)^C179*($D$172/D179)^D179)^(1/F179)</f>
        <v>0.23045100707160851</v>
      </c>
      <c r="E184" s="16"/>
      <c r="F184" s="16"/>
      <c r="G184" s="16"/>
      <c r="H184" s="16"/>
      <c r="I184" s="16"/>
      <c r="J184" s="16"/>
      <c r="K184" s="4"/>
    </row>
    <row r="185" spans="1:11" ht="15.75" thickBot="1" x14ac:dyDescent="0.3">
      <c r="A185" s="54"/>
      <c r="B185" s="22"/>
      <c r="C185" s="22"/>
      <c r="D185" s="22"/>
      <c r="E185" s="3"/>
      <c r="F185" s="16"/>
      <c r="G185" s="16"/>
      <c r="H185" s="16"/>
      <c r="I185" s="16"/>
      <c r="J185" s="16"/>
      <c r="K185" s="4"/>
    </row>
    <row r="186" spans="1:11" ht="15.75" thickBot="1" x14ac:dyDescent="0.3">
      <c r="A186" s="49" t="s">
        <v>75</v>
      </c>
      <c r="B186" s="50"/>
      <c r="C186" s="50"/>
      <c r="D186" s="50"/>
      <c r="E186" s="59"/>
      <c r="F186" s="16"/>
      <c r="G186" s="16"/>
      <c r="H186" s="16"/>
      <c r="I186" s="16"/>
      <c r="J186" s="16"/>
      <c r="K186" s="4"/>
    </row>
    <row r="187" spans="1:11" x14ac:dyDescent="0.25">
      <c r="A187" s="44" t="s">
        <v>69</v>
      </c>
      <c r="B187" s="60" t="s">
        <v>11</v>
      </c>
      <c r="C187" s="60"/>
      <c r="D187" s="60" t="s">
        <v>31</v>
      </c>
      <c r="E187" s="61"/>
      <c r="F187" s="16"/>
      <c r="G187" s="16"/>
      <c r="H187" s="16"/>
      <c r="I187" s="16"/>
      <c r="J187" s="16"/>
      <c r="K187" s="4"/>
    </row>
    <row r="188" spans="1:11" x14ac:dyDescent="0.25">
      <c r="A188" s="56">
        <v>1</v>
      </c>
      <c r="B188" s="115">
        <f>(D174*B178^(1/F178)*C178^(C178/F178)*D178^(D178/F178)*E178^(E178/F178)*$D$171^(-C178/F178)*$D$172^(-D178/F178)*$D$173^(-E178/F178))^(F178/(1-F178))</f>
        <v>0.71808687993510079</v>
      </c>
      <c r="C188" s="22"/>
      <c r="D188" s="22">
        <f>B178*(B183^C178)*(C183^D178)*(D183^E178)</f>
        <v>0.71808687993510067</v>
      </c>
      <c r="E188" s="17"/>
      <c r="F188" s="16"/>
      <c r="G188" s="16"/>
      <c r="H188" s="16"/>
      <c r="I188" s="16"/>
      <c r="J188" s="16"/>
      <c r="K188" s="4"/>
    </row>
    <row r="189" spans="1:11" ht="15.75" thickBot="1" x14ac:dyDescent="0.3">
      <c r="A189" s="57">
        <v>2</v>
      </c>
      <c r="B189" s="32">
        <f>(D174*B179^(1/F179)*C179^(C179/(F179))*D179^(D179/(F179))*E179^(E179/(F179))*$D$171^(-C179/(F179))*$D$172^(-D179/(F179))*$D$173^(-E179/(F179)))^(F179/(1-F179))</f>
        <v>0.42676112420668222</v>
      </c>
      <c r="C189" s="32"/>
      <c r="D189" s="32">
        <f>B179*B184^C179*C184^D179*D184^E179</f>
        <v>0.42676112420668222</v>
      </c>
      <c r="E189" s="20"/>
      <c r="F189" s="16"/>
      <c r="G189" s="16"/>
      <c r="H189" s="16"/>
      <c r="I189" s="16"/>
      <c r="J189" s="16"/>
      <c r="K189" s="4"/>
    </row>
    <row r="190" spans="1:11" ht="15.75" thickBot="1" x14ac:dyDescent="0.3">
      <c r="A190" s="56"/>
      <c r="B190" s="22"/>
      <c r="C190" s="22"/>
      <c r="D190" s="22"/>
      <c r="E190" s="16"/>
      <c r="F190" s="16"/>
      <c r="G190" s="16"/>
      <c r="H190" s="16"/>
      <c r="I190" s="16"/>
      <c r="J190" s="16"/>
      <c r="K190" s="4"/>
    </row>
    <row r="191" spans="1:11" ht="15.75" thickBot="1" x14ac:dyDescent="0.3">
      <c r="A191" s="49" t="s">
        <v>81</v>
      </c>
      <c r="B191" s="50"/>
      <c r="C191" s="50"/>
      <c r="D191" s="59"/>
      <c r="E191" s="16"/>
      <c r="F191" s="16"/>
      <c r="G191" s="16"/>
      <c r="H191" s="16"/>
      <c r="I191" s="16"/>
      <c r="J191" s="16"/>
      <c r="K191" s="4"/>
    </row>
    <row r="192" spans="1:11" x14ac:dyDescent="0.25">
      <c r="A192" s="75" t="s">
        <v>69</v>
      </c>
      <c r="B192" s="102" t="s">
        <v>91</v>
      </c>
      <c r="C192" s="112" t="s">
        <v>84</v>
      </c>
      <c r="D192" s="96" t="s">
        <v>66</v>
      </c>
      <c r="E192" s="16"/>
      <c r="F192" s="16"/>
      <c r="G192" s="16"/>
      <c r="H192" s="16"/>
      <c r="I192" s="16"/>
      <c r="J192" s="16"/>
      <c r="K192" s="4"/>
    </row>
    <row r="193" spans="1:11" x14ac:dyDescent="0.25">
      <c r="A193" s="56">
        <v>1</v>
      </c>
      <c r="B193" s="22">
        <f>D174*B188-D171*B183-D172*C183-D173*D183</f>
        <v>5.8165037274743119</v>
      </c>
      <c r="C193" s="22">
        <f>(1-$F$54)*B193-$F$55</f>
        <v>4.734853354726881</v>
      </c>
      <c r="D193" s="25">
        <f>$F$54*B193+$F$55</f>
        <v>1.0816503727474314</v>
      </c>
      <c r="E193" s="16"/>
      <c r="F193" s="16"/>
      <c r="G193" s="16"/>
      <c r="H193" s="16"/>
      <c r="I193" s="16"/>
      <c r="J193" s="16"/>
      <c r="K193" s="4"/>
    </row>
    <row r="194" spans="1:11" ht="15.75" thickBot="1" x14ac:dyDescent="0.3">
      <c r="A194" s="57">
        <v>2</v>
      </c>
      <c r="B194" s="32">
        <f>D174*B189-D171*B184-D172*C184-D173*D184</f>
        <v>2.3045100707160788</v>
      </c>
      <c r="C194" s="32">
        <f>(1-$F$54)*B194-$F$55</f>
        <v>1.5740590636444711</v>
      </c>
      <c r="D194" s="35">
        <f>$F$54*B194+$F$55</f>
        <v>0.73045100707160793</v>
      </c>
      <c r="E194" s="16"/>
      <c r="F194" s="16"/>
      <c r="G194" s="16"/>
      <c r="H194" s="16"/>
      <c r="I194" s="16"/>
      <c r="J194" s="16"/>
      <c r="K194" s="4"/>
    </row>
    <row r="195" spans="1:11" ht="15.75" thickBot="1" x14ac:dyDescent="0.3">
      <c r="A195" s="45"/>
      <c r="B195" s="16"/>
      <c r="C195" s="16"/>
      <c r="D195" s="16"/>
      <c r="E195" s="16"/>
      <c r="F195" s="16"/>
      <c r="G195" s="16"/>
      <c r="H195" s="16"/>
      <c r="I195" s="16"/>
      <c r="J195" s="16"/>
      <c r="K195" s="4"/>
    </row>
    <row r="196" spans="1:11" ht="15.75" thickBot="1" x14ac:dyDescent="0.3">
      <c r="A196" s="49" t="s">
        <v>76</v>
      </c>
      <c r="B196" s="50"/>
      <c r="C196" s="50"/>
      <c r="D196" s="50"/>
      <c r="E196" s="50"/>
      <c r="F196" s="50"/>
      <c r="G196" s="50"/>
      <c r="H196" s="50"/>
      <c r="I196" s="50"/>
      <c r="J196" s="50"/>
      <c r="K196" s="9"/>
    </row>
    <row r="197" spans="1:11" x14ac:dyDescent="0.25">
      <c r="A197" s="151" t="s">
        <v>69</v>
      </c>
      <c r="B197" s="113" t="s">
        <v>43</v>
      </c>
      <c r="C197" s="114" t="s">
        <v>44</v>
      </c>
      <c r="D197" s="113" t="s">
        <v>40</v>
      </c>
      <c r="E197" s="114" t="s">
        <v>45</v>
      </c>
      <c r="F197" s="113" t="s">
        <v>85</v>
      </c>
      <c r="G197" s="102" t="s">
        <v>86</v>
      </c>
      <c r="H197" s="102" t="s">
        <v>86</v>
      </c>
      <c r="I197" s="102" t="s">
        <v>86</v>
      </c>
      <c r="J197" s="96" t="s">
        <v>87</v>
      </c>
      <c r="K197" s="25"/>
    </row>
    <row r="198" spans="1:11" x14ac:dyDescent="0.25">
      <c r="A198" s="136"/>
      <c r="B198" s="21" t="s">
        <v>17</v>
      </c>
      <c r="C198" s="23" t="s">
        <v>18</v>
      </c>
      <c r="D198" s="21" t="s">
        <v>20</v>
      </c>
      <c r="E198" s="23" t="s">
        <v>32</v>
      </c>
      <c r="F198" s="21" t="s">
        <v>21</v>
      </c>
      <c r="G198" s="22" t="s">
        <v>18</v>
      </c>
      <c r="H198" s="40" t="s">
        <v>90</v>
      </c>
      <c r="I198" s="22" t="s">
        <v>88</v>
      </c>
      <c r="J198" s="25" t="s">
        <v>92</v>
      </c>
      <c r="K198" s="25"/>
    </row>
    <row r="199" spans="1:11" x14ac:dyDescent="0.25">
      <c r="A199" s="62">
        <v>1</v>
      </c>
      <c r="B199" s="21">
        <f>D174*F178*B188</f>
        <v>13.571842030773407</v>
      </c>
      <c r="C199" s="23">
        <f>D171*B183+D172*C183+D173*D183</f>
        <v>13.571842030773409</v>
      </c>
      <c r="D199" s="21">
        <f>F178*B188</f>
        <v>0.50266081595457057</v>
      </c>
      <c r="E199" s="23">
        <f>B188-B193/D174</f>
        <v>0.50266081595457068</v>
      </c>
      <c r="F199" s="21">
        <f>D174*B188</f>
        <v>19.38834575824772</v>
      </c>
      <c r="G199" s="22">
        <f>D171*B183+D172*C183+D173*D183</f>
        <v>13.571842030773409</v>
      </c>
      <c r="H199" s="22">
        <f>D193</f>
        <v>1.0816503727474314</v>
      </c>
      <c r="I199" s="22">
        <f>C193</f>
        <v>4.734853354726881</v>
      </c>
      <c r="J199" s="25">
        <f>G199+H199+I199</f>
        <v>19.38834575824772</v>
      </c>
      <c r="K199" s="25"/>
    </row>
    <row r="200" spans="1:11" ht="15.75" thickBot="1" x14ac:dyDescent="0.3">
      <c r="A200" s="63">
        <v>2</v>
      </c>
      <c r="B200" s="31">
        <f>D174*F179*B189</f>
        <v>9.2180402828643366</v>
      </c>
      <c r="C200" s="33">
        <f>D171*B184+D172*C184+D173*D184</f>
        <v>9.218040282864342</v>
      </c>
      <c r="D200" s="31">
        <f>F179*B189</f>
        <v>0.3414088993653458</v>
      </c>
      <c r="E200" s="33">
        <f>B189-B194/D174</f>
        <v>0.34140889936534596</v>
      </c>
      <c r="F200" s="31">
        <f>D174*B189</f>
        <v>11.522550353580421</v>
      </c>
      <c r="G200" s="32">
        <f>D171*B184+D172*C184+D173*D184</f>
        <v>9.218040282864342</v>
      </c>
      <c r="H200" s="32">
        <f>D194</f>
        <v>0.73045100707160793</v>
      </c>
      <c r="I200" s="32">
        <f>C194</f>
        <v>1.5740590636444711</v>
      </c>
      <c r="J200" s="35">
        <f>G200+H200+I200</f>
        <v>11.522550353580421</v>
      </c>
      <c r="K200" s="35"/>
    </row>
    <row r="201" spans="1:11" ht="15.75" thickBot="1" x14ac:dyDescent="0.3">
      <c r="A201" s="45"/>
      <c r="B201" s="16"/>
      <c r="C201" s="16"/>
      <c r="D201" s="16"/>
      <c r="E201" s="16"/>
      <c r="F201" s="16"/>
      <c r="G201" s="16"/>
      <c r="H201" s="16"/>
      <c r="I201" s="16"/>
      <c r="J201" s="16"/>
      <c r="K201" s="17"/>
    </row>
    <row r="202" spans="1:11" ht="15.75" thickBot="1" x14ac:dyDescent="0.3">
      <c r="A202" s="49" t="s">
        <v>77</v>
      </c>
      <c r="B202" s="79" t="s">
        <v>95</v>
      </c>
      <c r="C202" s="16"/>
      <c r="D202" s="16"/>
      <c r="E202" s="16"/>
      <c r="F202" s="16"/>
      <c r="G202" s="16"/>
      <c r="H202" s="16"/>
      <c r="I202" s="16"/>
      <c r="J202" s="16"/>
      <c r="K202" s="4"/>
    </row>
    <row r="203" spans="1:11" x14ac:dyDescent="0.25">
      <c r="A203" s="44" t="s">
        <v>23</v>
      </c>
      <c r="B203" s="25">
        <f>F199+F200</f>
        <v>30.910896111828141</v>
      </c>
      <c r="C203" s="16"/>
      <c r="D203" s="16"/>
      <c r="E203" s="16"/>
      <c r="F203" s="16"/>
      <c r="G203" s="16"/>
      <c r="H203" s="16"/>
      <c r="I203" s="16"/>
      <c r="J203" s="16"/>
      <c r="K203" s="4"/>
    </row>
    <row r="204" spans="1:11" x14ac:dyDescent="0.25">
      <c r="A204" s="44" t="s">
        <v>52</v>
      </c>
      <c r="B204" s="25">
        <f>G199+G200</f>
        <v>22.789882313637751</v>
      </c>
      <c r="C204" s="16"/>
      <c r="D204" s="16"/>
      <c r="E204" s="16"/>
      <c r="F204" s="16"/>
      <c r="G204" s="16"/>
      <c r="H204" s="16"/>
      <c r="I204" s="16"/>
      <c r="J204" s="16"/>
      <c r="K204" s="4"/>
    </row>
    <row r="205" spans="1:11" x14ac:dyDescent="0.25">
      <c r="A205" s="44" t="s">
        <v>94</v>
      </c>
      <c r="B205" s="25">
        <f>H199+H200</f>
        <v>1.8121013798190393</v>
      </c>
      <c r="C205" s="3"/>
      <c r="D205" s="16"/>
      <c r="E205" s="16"/>
      <c r="F205" s="16"/>
      <c r="G205" s="16"/>
      <c r="H205" s="16"/>
      <c r="I205" s="16"/>
      <c r="J205" s="16"/>
      <c r="K205" s="4"/>
    </row>
    <row r="206" spans="1:11" x14ac:dyDescent="0.25">
      <c r="A206" s="44" t="s">
        <v>93</v>
      </c>
      <c r="B206" s="25">
        <f>I199+I200</f>
        <v>6.3089124183713521</v>
      </c>
      <c r="C206" s="16"/>
      <c r="D206" s="16"/>
      <c r="E206" s="16"/>
      <c r="F206" s="16"/>
      <c r="G206" s="16"/>
      <c r="H206" s="16"/>
      <c r="I206" s="16"/>
      <c r="J206" s="16"/>
      <c r="K206" s="4"/>
    </row>
    <row r="207" spans="1:11" ht="15.75" thickBot="1" x14ac:dyDescent="0.3">
      <c r="A207" s="46" t="s">
        <v>96</v>
      </c>
      <c r="B207" s="35">
        <f>B204+B206+B205</f>
        <v>30.910896111828144</v>
      </c>
      <c r="C207" s="37"/>
      <c r="D207" s="37"/>
      <c r="E207" s="37"/>
      <c r="F207" s="37"/>
      <c r="G207" s="37"/>
      <c r="H207" s="37"/>
      <c r="I207" s="37"/>
      <c r="J207" s="37"/>
      <c r="K207" s="41"/>
    </row>
    <row r="208" spans="1:11" ht="15.75" thickBot="1" x14ac:dyDescent="0.3"/>
    <row r="209" spans="1:11" ht="15.75" thickBot="1" x14ac:dyDescent="0.3">
      <c r="A209" s="72" t="s">
        <v>116</v>
      </c>
      <c r="B209" s="73"/>
      <c r="C209" s="73"/>
      <c r="D209" s="73"/>
      <c r="E209" s="70"/>
      <c r="F209" s="70"/>
      <c r="G209" s="70"/>
      <c r="H209" s="70"/>
      <c r="I209" s="70"/>
      <c r="J209" s="70"/>
      <c r="K209" s="71"/>
    </row>
    <row r="210" spans="1:11" ht="15.75" thickBot="1" x14ac:dyDescent="0.3">
      <c r="A210" s="7" t="s">
        <v>72</v>
      </c>
      <c r="B210" s="101"/>
      <c r="C210" s="101"/>
      <c r="D210" s="100" t="s">
        <v>51</v>
      </c>
      <c r="E210" s="7" t="s">
        <v>62</v>
      </c>
      <c r="F210" s="103" t="s">
        <v>65</v>
      </c>
      <c r="G210" s="3"/>
      <c r="H210" s="3"/>
      <c r="I210" s="3"/>
      <c r="J210" s="3"/>
      <c r="K210" s="4"/>
    </row>
    <row r="211" spans="1:11" x14ac:dyDescent="0.25">
      <c r="A211" s="144" t="s">
        <v>28</v>
      </c>
      <c r="B211" s="145"/>
      <c r="C211" s="145"/>
      <c r="D211" s="104">
        <f>B5</f>
        <v>35</v>
      </c>
      <c r="E211" s="6" t="s">
        <v>63</v>
      </c>
      <c r="F211" s="92">
        <f>$E$5</f>
        <v>0.1</v>
      </c>
      <c r="I211" s="16"/>
      <c r="J211" s="16"/>
      <c r="K211" s="4"/>
    </row>
    <row r="212" spans="1:11" ht="15.75" thickBot="1" x14ac:dyDescent="0.3">
      <c r="A212" s="42" t="s">
        <v>12</v>
      </c>
      <c r="B212" s="43"/>
      <c r="C212" s="43"/>
      <c r="D212" s="105">
        <f>B6</f>
        <v>16</v>
      </c>
      <c r="E212" s="38" t="s">
        <v>64</v>
      </c>
      <c r="F212" s="93">
        <f>$E$6</f>
        <v>0.5</v>
      </c>
      <c r="G212" s="16"/>
      <c r="H212" s="16"/>
      <c r="I212" s="16"/>
      <c r="J212" s="16"/>
      <c r="K212" s="4"/>
    </row>
    <row r="213" spans="1:11" x14ac:dyDescent="0.25">
      <c r="A213" s="42" t="s">
        <v>13</v>
      </c>
      <c r="B213" s="43"/>
      <c r="C213" s="43"/>
      <c r="D213" s="105">
        <f>B7</f>
        <v>20</v>
      </c>
      <c r="E213" s="16"/>
      <c r="F213" s="16"/>
      <c r="G213" s="16"/>
      <c r="H213" s="16"/>
      <c r="I213" s="16"/>
      <c r="J213" s="16"/>
      <c r="K213" s="4"/>
    </row>
    <row r="214" spans="1:11" ht="15.75" thickBot="1" x14ac:dyDescent="0.3">
      <c r="A214" s="74" t="s">
        <v>39</v>
      </c>
      <c r="B214" s="19"/>
      <c r="C214" s="37"/>
      <c r="D214" s="106">
        <f>B9</f>
        <v>21</v>
      </c>
      <c r="E214" s="16"/>
      <c r="F214" s="16"/>
      <c r="G214" s="16"/>
      <c r="H214" s="16"/>
      <c r="I214" s="16"/>
      <c r="J214" s="16"/>
      <c r="K214" s="4"/>
    </row>
    <row r="215" spans="1:11" ht="15.75" thickBot="1" x14ac:dyDescent="0.3">
      <c r="A215" s="42"/>
      <c r="B215" s="43"/>
      <c r="C215" s="43"/>
      <c r="D215" s="16"/>
      <c r="E215" s="16"/>
      <c r="F215" s="16"/>
      <c r="G215" s="16"/>
      <c r="H215" s="16"/>
      <c r="I215" s="16"/>
      <c r="J215" s="16"/>
      <c r="K215" s="4"/>
    </row>
    <row r="216" spans="1:11" ht="15.75" thickBot="1" x14ac:dyDescent="0.3">
      <c r="A216" s="142" t="s">
        <v>73</v>
      </c>
      <c r="B216" s="143"/>
      <c r="C216" s="58" t="s">
        <v>16</v>
      </c>
      <c r="D216" s="50"/>
      <c r="E216" s="50"/>
      <c r="F216" s="50"/>
      <c r="G216" s="59"/>
      <c r="H216" s="16"/>
      <c r="I216" s="16"/>
      <c r="J216" s="16"/>
      <c r="K216" s="4"/>
    </row>
    <row r="217" spans="1:11" x14ac:dyDescent="0.25">
      <c r="A217" s="55" t="s">
        <v>69</v>
      </c>
      <c r="B217" s="22" t="s">
        <v>1</v>
      </c>
      <c r="C217" s="22" t="s">
        <v>2</v>
      </c>
      <c r="D217" s="22" t="s">
        <v>3</v>
      </c>
      <c r="E217" s="22" t="s">
        <v>14</v>
      </c>
      <c r="F217" s="43" t="s">
        <v>5</v>
      </c>
      <c r="G217" s="53"/>
      <c r="H217" s="16"/>
      <c r="I217" s="16"/>
      <c r="J217" s="16"/>
      <c r="K217" s="4"/>
    </row>
    <row r="218" spans="1:11" x14ac:dyDescent="0.25">
      <c r="A218" s="56">
        <v>1</v>
      </c>
      <c r="B218" s="22">
        <v>3.5</v>
      </c>
      <c r="C218" s="22">
        <v>0.3</v>
      </c>
      <c r="D218" s="22">
        <v>0.2</v>
      </c>
      <c r="E218" s="22">
        <v>0.4</v>
      </c>
      <c r="F218" s="22">
        <f>SUM(C218:E218)</f>
        <v>0.9</v>
      </c>
      <c r="G218" s="25"/>
      <c r="H218" s="16"/>
      <c r="I218" s="16"/>
      <c r="J218" s="16"/>
      <c r="K218" s="4"/>
    </row>
    <row r="219" spans="1:11" ht="15.75" thickBot="1" x14ac:dyDescent="0.3">
      <c r="A219" s="57">
        <v>2</v>
      </c>
      <c r="B219" s="32">
        <v>2</v>
      </c>
      <c r="C219" s="32">
        <v>0.1</v>
      </c>
      <c r="D219" s="32">
        <v>0.35</v>
      </c>
      <c r="E219" s="32">
        <v>0.4</v>
      </c>
      <c r="F219" s="32">
        <f>SUM(C219:E219)</f>
        <v>0.85</v>
      </c>
      <c r="G219" s="35"/>
      <c r="H219" s="16"/>
      <c r="I219" s="16"/>
      <c r="J219" s="16"/>
      <c r="K219" s="4"/>
    </row>
    <row r="220" spans="1:11" ht="15.75" thickBot="1" x14ac:dyDescent="0.3">
      <c r="A220" s="45"/>
      <c r="B220" s="16"/>
      <c r="C220" s="16"/>
      <c r="D220" s="16"/>
      <c r="E220" s="16"/>
      <c r="F220" s="16"/>
      <c r="G220" s="16"/>
      <c r="H220" s="16"/>
      <c r="I220" s="16"/>
      <c r="J220" s="16"/>
      <c r="K220" s="4"/>
    </row>
    <row r="221" spans="1:11" ht="15.75" thickBot="1" x14ac:dyDescent="0.3">
      <c r="A221" s="49" t="s">
        <v>74</v>
      </c>
      <c r="B221" s="50"/>
      <c r="C221" s="50"/>
      <c r="D221" s="59"/>
      <c r="E221" s="16"/>
      <c r="F221" s="16"/>
      <c r="G221" s="16"/>
      <c r="H221" s="16"/>
      <c r="I221" s="16"/>
      <c r="J221" s="16"/>
      <c r="K221" s="4"/>
    </row>
    <row r="222" spans="1:11" x14ac:dyDescent="0.25">
      <c r="A222" s="44" t="s">
        <v>69</v>
      </c>
      <c r="B222" s="22" t="s">
        <v>6</v>
      </c>
      <c r="C222" s="22" t="s">
        <v>7</v>
      </c>
      <c r="D222" s="25" t="s">
        <v>8</v>
      </c>
      <c r="E222" s="3"/>
      <c r="F222" s="16"/>
      <c r="G222" s="16"/>
      <c r="H222" s="16"/>
      <c r="I222" s="16"/>
      <c r="J222" s="16"/>
      <c r="K222" s="4"/>
    </row>
    <row r="223" spans="1:11" x14ac:dyDescent="0.25">
      <c r="A223" s="56">
        <v>1</v>
      </c>
      <c r="B223" s="22">
        <f>((B228/B218)*(C218/$D$211)^(D218+E218)*($D$212/D218)^D218*($D$213/E218)^E218)^(1/F218)</f>
        <v>0.62090654958419667</v>
      </c>
      <c r="C223" s="22">
        <f>((B228/B218)*(D218/$D$212)^(C218+E218)*($D$211/C218)^C218*($D$213/E218)^E218)^(1/F218)</f>
        <v>0.9054887181436212</v>
      </c>
      <c r="D223" s="25">
        <f>((B228/B218)*(E218/$D$213)^(C218+D218)*($D$211/C218)^C218*($D$212/D218)^D218)^(1/F218)</f>
        <v>1.4487819490297931</v>
      </c>
      <c r="E223" s="16"/>
      <c r="F223" s="16"/>
      <c r="G223" s="16"/>
      <c r="H223" s="16"/>
      <c r="I223" s="16"/>
      <c r="J223" s="16"/>
      <c r="K223" s="4"/>
    </row>
    <row r="224" spans="1:11" ht="15.75" thickBot="1" x14ac:dyDescent="0.3">
      <c r="A224" s="57">
        <v>2</v>
      </c>
      <c r="B224" s="32">
        <f>(B229/B219*(C219/$D$211)^(D219+E219)*($D$212/D219)^D219*($D$213/E219)^E219)^(1/F219)</f>
        <v>1.5048989105472805E-2</v>
      </c>
      <c r="C224" s="32">
        <f>(B229/B219*(D219/$D$212)^(C219+E219)*($D$211/C219)^C219*($D$213/E219)^E219)^(1/F219)</f>
        <v>0.11521882283877606</v>
      </c>
      <c r="D224" s="35">
        <f>((B229/B219)*(E219/$D$213)^(C219+D219)*($D$211/C219)^C219*($D$212/D219)^D219)^(1/F219)</f>
        <v>0.10534292373830961</v>
      </c>
      <c r="E224" s="16"/>
      <c r="F224" s="16"/>
      <c r="G224" s="16"/>
      <c r="H224" s="16"/>
      <c r="I224" s="16"/>
      <c r="J224" s="16"/>
      <c r="K224" s="4"/>
    </row>
    <row r="225" spans="1:11" ht="15.75" thickBot="1" x14ac:dyDescent="0.3">
      <c r="A225" s="54"/>
      <c r="B225" s="22"/>
      <c r="C225" s="22"/>
      <c r="D225" s="22"/>
      <c r="E225" s="3"/>
      <c r="F225" s="16"/>
      <c r="G225" s="16"/>
      <c r="H225" s="16"/>
      <c r="I225" s="16"/>
      <c r="J225" s="16"/>
      <c r="K225" s="4"/>
    </row>
    <row r="226" spans="1:11" ht="15.75" thickBot="1" x14ac:dyDescent="0.3">
      <c r="A226" s="49" t="s">
        <v>75</v>
      </c>
      <c r="B226" s="50"/>
      <c r="C226" s="50"/>
      <c r="D226" s="50"/>
      <c r="E226" s="59"/>
      <c r="F226" s="16"/>
      <c r="G226" s="16"/>
      <c r="H226" s="16"/>
      <c r="I226" s="16"/>
      <c r="J226" s="16"/>
      <c r="K226" s="4"/>
    </row>
    <row r="227" spans="1:11" x14ac:dyDescent="0.25">
      <c r="A227" s="44" t="s">
        <v>69</v>
      </c>
      <c r="B227" s="60" t="s">
        <v>11</v>
      </c>
      <c r="C227" s="60"/>
      <c r="D227" s="60" t="s">
        <v>31</v>
      </c>
      <c r="E227" s="61"/>
      <c r="F227" s="16"/>
      <c r="G227" s="16"/>
      <c r="H227" s="16"/>
      <c r="I227" s="16"/>
      <c r="J227" s="16"/>
      <c r="K227" s="4"/>
    </row>
    <row r="228" spans="1:11" x14ac:dyDescent="0.25">
      <c r="A228" s="56">
        <v>1</v>
      </c>
      <c r="B228" s="115">
        <f>(D214*B218^(1/F218)*C218^(C218/F218)*D218^(D218/F218)*E218^(E218/F218)*$D$211^(-C218/F218)*$D$212^(-D218/F218)*$D$213^(-E218/F218))^(F218/(1-F218))</f>
        <v>3.4494808310233158</v>
      </c>
      <c r="C228" s="22"/>
      <c r="D228" s="22">
        <f>B218*(B223^C218)*(C223^D218)*(D223^E218)</f>
        <v>3.4494808310233163</v>
      </c>
      <c r="E228" s="17"/>
      <c r="F228" s="16"/>
      <c r="G228" s="16"/>
      <c r="H228" s="16"/>
      <c r="I228" s="16"/>
      <c r="J228" s="16"/>
      <c r="K228" s="4"/>
    </row>
    <row r="229" spans="1:11" ht="15.75" thickBot="1" x14ac:dyDescent="0.3">
      <c r="A229" s="57">
        <v>2</v>
      </c>
      <c r="B229" s="32">
        <f>(D214*B219^(1/F219)*C219^(C219/(F219))*D219^(D219/(F219))*E219^(E219/(F219))*$D$211^(-C219/(F219))*$D$212^(-D219/(F219))*$D$213^(-E219/(F219)))^(F219/(1-F219))</f>
        <v>0.25081648509121329</v>
      </c>
      <c r="C229" s="32"/>
      <c r="D229" s="32">
        <f>B219*B224^C219*C224^D219*D224^E219</f>
        <v>0.25081648509121329</v>
      </c>
      <c r="E229" s="20"/>
      <c r="F229" s="16"/>
      <c r="G229" s="16"/>
      <c r="H229" s="16"/>
      <c r="I229" s="16"/>
      <c r="J229" s="16"/>
      <c r="K229" s="4"/>
    </row>
    <row r="230" spans="1:11" ht="15.75" thickBot="1" x14ac:dyDescent="0.3">
      <c r="A230" s="56"/>
      <c r="B230" s="22"/>
      <c r="C230" s="22"/>
      <c r="D230" s="22"/>
      <c r="E230" s="16"/>
      <c r="F230" s="16"/>
      <c r="G230" s="16"/>
      <c r="H230" s="16"/>
      <c r="I230" s="16"/>
      <c r="J230" s="16"/>
      <c r="K230" s="4"/>
    </row>
    <row r="231" spans="1:11" ht="15.75" thickBot="1" x14ac:dyDescent="0.3">
      <c r="A231" s="49" t="s">
        <v>81</v>
      </c>
      <c r="B231" s="50"/>
      <c r="C231" s="50"/>
      <c r="D231" s="59"/>
      <c r="E231" s="16"/>
      <c r="F231" s="16"/>
      <c r="G231" s="16"/>
      <c r="H231" s="16"/>
      <c r="I231" s="16"/>
      <c r="J231" s="16"/>
      <c r="K231" s="4"/>
    </row>
    <row r="232" spans="1:11" x14ac:dyDescent="0.25">
      <c r="A232" s="75" t="s">
        <v>69</v>
      </c>
      <c r="B232" s="102" t="s">
        <v>91</v>
      </c>
      <c r="C232" s="112" t="s">
        <v>84</v>
      </c>
      <c r="D232" s="96" t="s">
        <v>66</v>
      </c>
      <c r="E232" s="16"/>
      <c r="F232" s="16"/>
      <c r="G232" s="16"/>
      <c r="H232" s="16"/>
      <c r="I232" s="16"/>
      <c r="J232" s="16"/>
      <c r="K232" s="4"/>
    </row>
    <row r="233" spans="1:11" x14ac:dyDescent="0.25">
      <c r="A233" s="56">
        <v>1</v>
      </c>
      <c r="B233" s="22">
        <f>D214*B228-D211*B223-D212*C223-D213*D223</f>
        <v>7.2439097451489474</v>
      </c>
      <c r="C233" s="22">
        <f>(1-$F$54)*B233-$F$55</f>
        <v>6.0195187706340532</v>
      </c>
      <c r="D233" s="25">
        <f>$F$54*B233+$F$55</f>
        <v>1.2243909745148946</v>
      </c>
      <c r="E233" s="16"/>
      <c r="F233" s="16"/>
      <c r="G233" s="16"/>
      <c r="H233" s="16"/>
      <c r="I233" s="16"/>
      <c r="J233" s="16"/>
      <c r="K233" s="4"/>
    </row>
    <row r="234" spans="1:11" ht="15.75" thickBot="1" x14ac:dyDescent="0.3">
      <c r="A234" s="57">
        <v>2</v>
      </c>
      <c r="B234" s="32">
        <f>D214*B229-D211*B224-D212*C224-D213*D224</f>
        <v>0.79007192803732185</v>
      </c>
      <c r="C234" s="32">
        <f>(1-$F$54)*B234-$F$55</f>
        <v>0.21106473523358971</v>
      </c>
      <c r="D234" s="35">
        <f>$F$54*B234+$F$55</f>
        <v>0.57900719280373214</v>
      </c>
      <c r="E234" s="16"/>
      <c r="F234" s="16"/>
      <c r="G234" s="16"/>
      <c r="H234" s="16"/>
      <c r="I234" s="16"/>
      <c r="J234" s="16"/>
      <c r="K234" s="4"/>
    </row>
    <row r="235" spans="1:11" ht="15.75" thickBot="1" x14ac:dyDescent="0.3">
      <c r="A235" s="45"/>
      <c r="B235" s="16"/>
      <c r="C235" s="16"/>
      <c r="D235" s="16"/>
      <c r="E235" s="16"/>
      <c r="F235" s="16"/>
      <c r="G235" s="16"/>
      <c r="H235" s="16"/>
      <c r="I235" s="16"/>
      <c r="J235" s="16"/>
      <c r="K235" s="4"/>
    </row>
    <row r="236" spans="1:11" ht="15.75" thickBot="1" x14ac:dyDescent="0.3">
      <c r="A236" s="49" t="s">
        <v>76</v>
      </c>
      <c r="B236" s="50"/>
      <c r="C236" s="50"/>
      <c r="D236" s="50"/>
      <c r="E236" s="50"/>
      <c r="F236" s="50"/>
      <c r="G236" s="50"/>
      <c r="H236" s="50"/>
      <c r="I236" s="50"/>
      <c r="J236" s="50"/>
      <c r="K236" s="9"/>
    </row>
    <row r="237" spans="1:11" x14ac:dyDescent="0.25">
      <c r="A237" s="151" t="s">
        <v>69</v>
      </c>
      <c r="B237" s="113" t="s">
        <v>43</v>
      </c>
      <c r="C237" s="114" t="s">
        <v>44</v>
      </c>
      <c r="D237" s="113" t="s">
        <v>40</v>
      </c>
      <c r="E237" s="114" t="s">
        <v>45</v>
      </c>
      <c r="F237" s="113" t="s">
        <v>85</v>
      </c>
      <c r="G237" s="102" t="s">
        <v>86</v>
      </c>
      <c r="H237" s="102" t="s">
        <v>86</v>
      </c>
      <c r="I237" s="102" t="s">
        <v>86</v>
      </c>
      <c r="J237" s="96" t="s">
        <v>87</v>
      </c>
      <c r="K237" s="25"/>
    </row>
    <row r="238" spans="1:11" x14ac:dyDescent="0.25">
      <c r="A238" s="136"/>
      <c r="B238" s="21" t="s">
        <v>17</v>
      </c>
      <c r="C238" s="23" t="s">
        <v>18</v>
      </c>
      <c r="D238" s="21" t="s">
        <v>20</v>
      </c>
      <c r="E238" s="23" t="s">
        <v>32</v>
      </c>
      <c r="F238" s="21" t="s">
        <v>21</v>
      </c>
      <c r="G238" s="22" t="s">
        <v>18</v>
      </c>
      <c r="H238" s="40" t="s">
        <v>90</v>
      </c>
      <c r="I238" s="22" t="s">
        <v>88</v>
      </c>
      <c r="J238" s="25" t="s">
        <v>92</v>
      </c>
      <c r="K238" s="25"/>
    </row>
    <row r="239" spans="1:11" x14ac:dyDescent="0.25">
      <c r="A239" s="62">
        <v>1</v>
      </c>
      <c r="B239" s="21">
        <f>D214*F218*B228</f>
        <v>65.195187706340676</v>
      </c>
      <c r="C239" s="23">
        <f>D211*B223+D212*C223+D213*D223</f>
        <v>65.195187706340676</v>
      </c>
      <c r="D239" s="21">
        <f>F218*B228</f>
        <v>3.1045327479209841</v>
      </c>
      <c r="E239" s="23">
        <f>B228-B233/D214</f>
        <v>3.104532747920985</v>
      </c>
      <c r="F239" s="21">
        <f>D214*B228</f>
        <v>72.43909745148963</v>
      </c>
      <c r="G239" s="22">
        <f>D211*B223+D212*C223+D213*D223</f>
        <v>65.195187706340676</v>
      </c>
      <c r="H239" s="22">
        <f>D233</f>
        <v>1.2243909745148946</v>
      </c>
      <c r="I239" s="22">
        <f>C233</f>
        <v>6.0195187706340532</v>
      </c>
      <c r="J239" s="25">
        <f>G239+H239+I239</f>
        <v>72.439097451489616</v>
      </c>
      <c r="K239" s="25"/>
    </row>
    <row r="240" spans="1:11" ht="15.75" thickBot="1" x14ac:dyDescent="0.3">
      <c r="A240" s="63">
        <v>2</v>
      </c>
      <c r="B240" s="31">
        <f>D214*F219*B229</f>
        <v>4.4770742588781571</v>
      </c>
      <c r="C240" s="33">
        <f>D211*B224+D212*C224+D213*D224</f>
        <v>4.477074258878158</v>
      </c>
      <c r="D240" s="31">
        <f>F219*B229</f>
        <v>0.2131940123275313</v>
      </c>
      <c r="E240" s="33">
        <f>B229-B234/D214</f>
        <v>0.2131940123275313</v>
      </c>
      <c r="F240" s="31">
        <f>D214*B229</f>
        <v>5.267146186915479</v>
      </c>
      <c r="G240" s="32">
        <f>D211*B224+D212*C224+D213*D224</f>
        <v>4.477074258878158</v>
      </c>
      <c r="H240" s="32">
        <f>D234</f>
        <v>0.57900719280373214</v>
      </c>
      <c r="I240" s="32">
        <f>C234</f>
        <v>0.21106473523358971</v>
      </c>
      <c r="J240" s="35">
        <f>G240+H240+I240</f>
        <v>5.2671461869154799</v>
      </c>
      <c r="K240" s="35"/>
    </row>
    <row r="241" spans="1:11" ht="15.75" thickBot="1" x14ac:dyDescent="0.3">
      <c r="A241" s="45"/>
      <c r="B241" s="16"/>
      <c r="C241" s="16"/>
      <c r="D241" s="16"/>
      <c r="E241" s="16"/>
      <c r="F241" s="16"/>
      <c r="G241" s="16"/>
      <c r="H241" s="16"/>
      <c r="I241" s="16"/>
      <c r="J241" s="16"/>
      <c r="K241" s="17"/>
    </row>
    <row r="242" spans="1:11" ht="15.75" thickBot="1" x14ac:dyDescent="0.3">
      <c r="A242" s="49" t="s">
        <v>77</v>
      </c>
      <c r="B242" s="79" t="s">
        <v>95</v>
      </c>
      <c r="C242" s="16"/>
      <c r="D242" s="16"/>
      <c r="E242" s="16"/>
      <c r="F242" s="16"/>
      <c r="G242" s="16"/>
      <c r="H242" s="16"/>
      <c r="I242" s="16"/>
      <c r="J242" s="16"/>
      <c r="K242" s="4"/>
    </row>
    <row r="243" spans="1:11" x14ac:dyDescent="0.25">
      <c r="A243" s="44" t="s">
        <v>23</v>
      </c>
      <c r="B243" s="25">
        <f>F239+F240</f>
        <v>77.706243638405113</v>
      </c>
      <c r="C243" s="16"/>
      <c r="D243" s="16"/>
      <c r="E243" s="16"/>
      <c r="F243" s="16"/>
      <c r="G243" s="16"/>
      <c r="H243" s="16"/>
      <c r="I243" s="16"/>
      <c r="J243" s="16"/>
      <c r="K243" s="4"/>
    </row>
    <row r="244" spans="1:11" x14ac:dyDescent="0.25">
      <c r="A244" s="44" t="s">
        <v>52</v>
      </c>
      <c r="B244" s="25">
        <f>G239+G240</f>
        <v>69.672261965218837</v>
      </c>
      <c r="C244" s="16"/>
      <c r="D244" s="16"/>
      <c r="E244" s="16"/>
      <c r="F244" s="16"/>
      <c r="G244" s="16"/>
      <c r="H244" s="16"/>
      <c r="I244" s="16"/>
      <c r="J244" s="16"/>
      <c r="K244" s="4"/>
    </row>
    <row r="245" spans="1:11" x14ac:dyDescent="0.25">
      <c r="A245" s="44" t="s">
        <v>94</v>
      </c>
      <c r="B245" s="25">
        <f>H239+H240</f>
        <v>1.8033981673186268</v>
      </c>
      <c r="C245" s="3"/>
      <c r="D245" s="16"/>
      <c r="E245" s="16"/>
      <c r="F245" s="16"/>
      <c r="G245" s="16"/>
      <c r="H245" s="16"/>
      <c r="I245" s="16"/>
      <c r="J245" s="16"/>
      <c r="K245" s="4"/>
    </row>
    <row r="246" spans="1:11" x14ac:dyDescent="0.25">
      <c r="A246" s="44" t="s">
        <v>93</v>
      </c>
      <c r="B246" s="25">
        <f>I239+I240</f>
        <v>6.2305835058676431</v>
      </c>
      <c r="C246" s="16"/>
      <c r="D246" s="16"/>
      <c r="E246" s="16"/>
      <c r="F246" s="16"/>
      <c r="G246" s="16"/>
      <c r="H246" s="16"/>
      <c r="I246" s="16"/>
      <c r="J246" s="16"/>
      <c r="K246" s="4"/>
    </row>
    <row r="247" spans="1:11" ht="15.75" thickBot="1" x14ac:dyDescent="0.3">
      <c r="A247" s="46" t="s">
        <v>96</v>
      </c>
      <c r="B247" s="35">
        <f>B244+B246+B245</f>
        <v>77.706243638405113</v>
      </c>
      <c r="C247" s="37"/>
      <c r="D247" s="37"/>
      <c r="E247" s="37"/>
      <c r="F247" s="37"/>
      <c r="G247" s="37"/>
      <c r="H247" s="37"/>
      <c r="I247" s="37"/>
      <c r="J247" s="37"/>
      <c r="K247" s="41"/>
    </row>
  </sheetData>
  <mergeCells count="35">
    <mergeCell ref="A216:B216"/>
    <mergeCell ref="A237:A238"/>
    <mergeCell ref="I12:I13"/>
    <mergeCell ref="I22:I23"/>
    <mergeCell ref="A157:A158"/>
    <mergeCell ref="A171:C171"/>
    <mergeCell ref="A176:B176"/>
    <mergeCell ref="A197:A198"/>
    <mergeCell ref="A211:C211"/>
    <mergeCell ref="A93:C93"/>
    <mergeCell ref="A97:B97"/>
    <mergeCell ref="A118:A119"/>
    <mergeCell ref="A132:C132"/>
    <mergeCell ref="A136:B136"/>
    <mergeCell ref="H22:H23"/>
    <mergeCell ref="C12:E12"/>
    <mergeCell ref="A14:A16"/>
    <mergeCell ref="A24:A26"/>
    <mergeCell ref="A18:B18"/>
    <mergeCell ref="A28:B28"/>
    <mergeCell ref="A17:B17"/>
    <mergeCell ref="A27:B27"/>
    <mergeCell ref="F12:G12"/>
    <mergeCell ref="H12:H13"/>
    <mergeCell ref="J12:J13"/>
    <mergeCell ref="C22:E22"/>
    <mergeCell ref="F22:G22"/>
    <mergeCell ref="J22:J23"/>
    <mergeCell ref="A79:A80"/>
    <mergeCell ref="A19:B19"/>
    <mergeCell ref="A29:B29"/>
    <mergeCell ref="A32:C32"/>
    <mergeCell ref="D32:E32"/>
    <mergeCell ref="A54:C54"/>
    <mergeCell ref="A58:B58"/>
  </mergeCells>
  <conditionalFormatting sqref="F218">
    <cfRule type="cellIs" dxfId="23" priority="1" operator="notEqual">
      <formula>#REF!</formula>
    </cfRule>
    <cfRule type="cellIs" priority="2" operator="notEqual">
      <formula>#REF!</formula>
    </cfRule>
  </conditionalFormatting>
  <conditionalFormatting sqref="F60">
    <cfRule type="cellIs" dxfId="22" priority="13" operator="notEqual">
      <formula>#REF!</formula>
    </cfRule>
    <cfRule type="cellIs" priority="14" operator="notEqual">
      <formula>#REF!</formula>
    </cfRule>
  </conditionalFormatting>
  <conditionalFormatting sqref="F61:F62">
    <cfRule type="cellIs" dxfId="21" priority="15" operator="notEqual">
      <formula>#REF!</formula>
    </cfRule>
  </conditionalFormatting>
  <conditionalFormatting sqref="F99">
    <cfRule type="cellIs" dxfId="20" priority="10" operator="notEqual">
      <formula>#REF!</formula>
    </cfRule>
    <cfRule type="cellIs" priority="11" operator="notEqual">
      <formula>#REF!</formula>
    </cfRule>
  </conditionalFormatting>
  <conditionalFormatting sqref="F100:F101">
    <cfRule type="cellIs" dxfId="19" priority="12" operator="notEqual">
      <formula>#REF!</formula>
    </cfRule>
  </conditionalFormatting>
  <conditionalFormatting sqref="F138">
    <cfRule type="cellIs" dxfId="18" priority="7" operator="notEqual">
      <formula>#REF!</formula>
    </cfRule>
    <cfRule type="cellIs" priority="8" operator="notEqual">
      <formula>#REF!</formula>
    </cfRule>
  </conditionalFormatting>
  <conditionalFormatting sqref="F139:F140">
    <cfRule type="cellIs" dxfId="17" priority="9" operator="notEqual">
      <formula>#REF!</formula>
    </cfRule>
  </conditionalFormatting>
  <conditionalFormatting sqref="F178">
    <cfRule type="cellIs" dxfId="16" priority="4" operator="notEqual">
      <formula>#REF!</formula>
    </cfRule>
    <cfRule type="cellIs" priority="5" operator="notEqual">
      <formula>#REF!</formula>
    </cfRule>
  </conditionalFormatting>
  <conditionalFormatting sqref="F179:F180">
    <cfRule type="cellIs" dxfId="15" priority="6" operator="notEqual">
      <formula>#REF!</formula>
    </cfRule>
  </conditionalFormatting>
  <conditionalFormatting sqref="F219:F220">
    <cfRule type="cellIs" dxfId="14" priority="3" operator="notEqual">
      <formula>#REF!</formula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F7A6C3-38C6-4B5F-8C37-122004967ECD}">
  <dimension ref="A1:Y323"/>
  <sheetViews>
    <sheetView workbookViewId="0">
      <selection activeCell="I19" sqref="I19"/>
    </sheetView>
  </sheetViews>
  <sheetFormatPr baseColWidth="10" defaultColWidth="9.140625" defaultRowHeight="15" x14ac:dyDescent="0.25"/>
  <cols>
    <col min="1" max="1" width="14.5703125" style="5" customWidth="1"/>
    <col min="2" max="2" width="11.85546875" style="5" customWidth="1"/>
    <col min="3" max="3" width="11.42578125" style="5" customWidth="1"/>
    <col min="4" max="4" width="9.85546875" style="5" customWidth="1"/>
    <col min="5" max="5" width="9.7109375" style="5" customWidth="1"/>
    <col min="6" max="7" width="9.140625" style="5"/>
    <col min="8" max="9" width="10.7109375" style="5" bestFit="1" customWidth="1"/>
    <col min="10" max="10" width="12.28515625" style="5" customWidth="1"/>
    <col min="11" max="14" width="9.140625" style="5"/>
    <col min="15" max="15" width="11" style="5" bestFit="1" customWidth="1"/>
    <col min="16" max="17" width="9.140625" style="5"/>
    <col min="18" max="18" width="10.7109375" style="5" bestFit="1" customWidth="1"/>
    <col min="19" max="16384" width="9.140625" style="5"/>
  </cols>
  <sheetData>
    <row r="1" spans="1:23" x14ac:dyDescent="0.25">
      <c r="A1" s="5" t="s">
        <v>140</v>
      </c>
      <c r="V1" s="3"/>
    </row>
    <row r="2" spans="1:23" ht="15.75" thickBot="1" x14ac:dyDescent="0.3">
      <c r="L2" s="3"/>
      <c r="T2" s="3"/>
      <c r="U2" s="3"/>
      <c r="V2" s="3"/>
    </row>
    <row r="3" spans="1:23" ht="15.75" thickBot="1" x14ac:dyDescent="0.3">
      <c r="A3" s="72" t="s">
        <v>121</v>
      </c>
      <c r="B3" s="73"/>
      <c r="C3" s="73"/>
      <c r="D3" s="73"/>
      <c r="E3" s="73"/>
      <c r="F3" s="73"/>
      <c r="G3" s="73"/>
      <c r="H3" s="73"/>
      <c r="I3" s="73"/>
      <c r="J3" s="73"/>
      <c r="K3" s="77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3" ht="15.75" thickBot="1" x14ac:dyDescent="0.3">
      <c r="A4" s="7" t="s">
        <v>72</v>
      </c>
      <c r="B4" s="99" t="s">
        <v>51</v>
      </c>
      <c r="C4" s="100" t="s">
        <v>50</v>
      </c>
      <c r="D4" s="7" t="s">
        <v>62</v>
      </c>
      <c r="E4" s="103" t="s">
        <v>65</v>
      </c>
      <c r="F4" s="128" t="s">
        <v>139</v>
      </c>
      <c r="G4" s="9"/>
      <c r="H4" s="1"/>
      <c r="I4" s="1"/>
      <c r="J4" s="1"/>
      <c r="K4" s="2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3" x14ac:dyDescent="0.25">
      <c r="A5" s="125" t="s">
        <v>6</v>
      </c>
      <c r="B5" s="112">
        <v>35</v>
      </c>
      <c r="C5" s="96">
        <f>C21/B5</f>
        <v>17.370067472977066</v>
      </c>
      <c r="D5" s="3" t="s">
        <v>63</v>
      </c>
      <c r="E5" s="92">
        <v>0.1</v>
      </c>
      <c r="F5" s="6" t="s">
        <v>137</v>
      </c>
      <c r="G5" s="17">
        <f>H21+I21</f>
        <v>184.60694119661517</v>
      </c>
      <c r="H5" s="3"/>
      <c r="I5" s="3"/>
      <c r="J5" s="3"/>
      <c r="K5" s="4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3" ht="15.75" thickBot="1" x14ac:dyDescent="0.3">
      <c r="A6" s="6" t="s">
        <v>7</v>
      </c>
      <c r="B6" s="40">
        <v>16</v>
      </c>
      <c r="C6" s="25">
        <f>D21/B6</f>
        <v>29.271878443615233</v>
      </c>
      <c r="D6" s="37" t="s">
        <v>64</v>
      </c>
      <c r="E6" s="93">
        <v>0.5</v>
      </c>
      <c r="F6" s="38" t="s">
        <v>138</v>
      </c>
      <c r="G6" s="20">
        <f>L16+L17+L18</f>
        <v>184.6069411966152</v>
      </c>
      <c r="H6" s="3"/>
      <c r="I6" s="3"/>
      <c r="J6" s="3"/>
      <c r="K6" s="4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3" x14ac:dyDescent="0.25">
      <c r="A7" s="6" t="s">
        <v>8</v>
      </c>
      <c r="B7" s="40">
        <v>20</v>
      </c>
      <c r="C7" s="25">
        <f>E21/B7</f>
        <v>12.316369639370407</v>
      </c>
      <c r="D7" s="3"/>
      <c r="E7" s="3"/>
      <c r="F7" s="3"/>
      <c r="G7" s="3"/>
      <c r="H7" s="3"/>
      <c r="I7" s="3"/>
      <c r="J7" s="3"/>
      <c r="K7" s="4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3" x14ac:dyDescent="0.25">
      <c r="A8" s="6" t="s">
        <v>9</v>
      </c>
      <c r="B8" s="40">
        <v>27</v>
      </c>
      <c r="C8" s="25">
        <f>F21/B8</f>
        <v>1.144848004141783</v>
      </c>
      <c r="D8" s="3"/>
      <c r="E8" s="3"/>
      <c r="F8" s="3"/>
      <c r="G8" s="3"/>
      <c r="H8" s="16"/>
      <c r="I8" s="3"/>
      <c r="J8" s="3"/>
      <c r="K8" s="4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3" x14ac:dyDescent="0.25">
      <c r="A9" s="6" t="s">
        <v>10</v>
      </c>
      <c r="B9" s="40">
        <v>21</v>
      </c>
      <c r="C9" s="25">
        <f>G21/B9</f>
        <v>3.7002973161145292</v>
      </c>
      <c r="D9" s="3"/>
      <c r="E9" s="3"/>
      <c r="F9" s="3"/>
      <c r="G9" s="3"/>
      <c r="H9" s="3"/>
      <c r="I9" s="3"/>
      <c r="J9" s="3"/>
      <c r="K9" s="4"/>
      <c r="L9" s="3"/>
      <c r="M9" s="3"/>
      <c r="N9" s="3"/>
      <c r="O9" s="3"/>
      <c r="P9" s="3"/>
      <c r="Q9" s="3"/>
      <c r="R9" s="3"/>
      <c r="S9" s="3"/>
      <c r="T9" s="3"/>
      <c r="U9" s="3"/>
    </row>
    <row r="10" spans="1:23" x14ac:dyDescent="0.25">
      <c r="A10" s="6" t="s">
        <v>118</v>
      </c>
      <c r="B10" s="40">
        <v>15</v>
      </c>
      <c r="C10" s="25">
        <f>H21/B10</f>
        <v>11.748621146439424</v>
      </c>
      <c r="D10" s="3"/>
      <c r="E10" s="3"/>
      <c r="F10" s="3"/>
      <c r="G10" s="3"/>
      <c r="H10" s="3"/>
      <c r="I10" s="3"/>
      <c r="J10" s="3"/>
      <c r="K10" s="4"/>
      <c r="L10" s="3"/>
      <c r="M10" s="3"/>
      <c r="N10" s="3"/>
      <c r="O10" s="3"/>
      <c r="P10" s="3"/>
      <c r="Q10" s="3"/>
      <c r="R10" s="3"/>
      <c r="S10" s="3"/>
      <c r="T10" s="3"/>
      <c r="U10" s="3"/>
    </row>
    <row r="11" spans="1:23" ht="15.75" thickBot="1" x14ac:dyDescent="0.3">
      <c r="A11" s="38" t="s">
        <v>119</v>
      </c>
      <c r="B11" s="47">
        <v>10</v>
      </c>
      <c r="C11" s="35">
        <f>I21/B11</f>
        <v>0.83776240000238111</v>
      </c>
      <c r="D11" s="3"/>
      <c r="E11" s="3"/>
      <c r="F11" s="3"/>
      <c r="G11" s="3"/>
      <c r="H11" s="3"/>
      <c r="I11" s="3"/>
      <c r="J11" s="3"/>
      <c r="K11" s="4"/>
      <c r="L11" s="38"/>
      <c r="M11" s="3"/>
      <c r="N11" s="3"/>
      <c r="O11" s="3"/>
      <c r="P11" s="3"/>
      <c r="Q11" s="3"/>
      <c r="R11" s="3"/>
      <c r="S11" s="3"/>
      <c r="T11" s="3"/>
      <c r="U11" s="3"/>
    </row>
    <row r="12" spans="1:23" ht="15.75" thickBot="1" x14ac:dyDescent="0.3">
      <c r="A12" s="38"/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9"/>
      <c r="N12" s="3"/>
      <c r="O12" s="3"/>
      <c r="P12" s="3"/>
      <c r="Q12" s="3"/>
      <c r="R12" s="3"/>
      <c r="S12" s="3"/>
      <c r="T12" s="3"/>
      <c r="U12" s="3"/>
      <c r="V12" s="3"/>
    </row>
    <row r="13" spans="1:23" ht="15.75" thickBot="1" x14ac:dyDescent="0.3">
      <c r="A13" s="7" t="s">
        <v>98</v>
      </c>
      <c r="B13" s="8"/>
      <c r="C13" s="8"/>
      <c r="D13" s="8"/>
      <c r="E13" s="8"/>
      <c r="F13" s="8"/>
      <c r="G13" s="8"/>
      <c r="H13" s="8"/>
      <c r="I13" s="8"/>
      <c r="J13" s="8"/>
      <c r="K13" s="9"/>
      <c r="L13" s="8"/>
      <c r="M13" s="9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x14ac:dyDescent="0.25">
      <c r="A14" s="6"/>
      <c r="B14" s="10"/>
      <c r="C14" s="133" t="s">
        <v>49</v>
      </c>
      <c r="D14" s="135"/>
      <c r="E14" s="134"/>
      <c r="F14" s="133" t="s">
        <v>25</v>
      </c>
      <c r="G14" s="134"/>
      <c r="H14" s="133" t="s">
        <v>120</v>
      </c>
      <c r="I14" s="134"/>
      <c r="J14" s="131" t="s">
        <v>83</v>
      </c>
      <c r="K14" s="157" t="s">
        <v>82</v>
      </c>
      <c r="L14" s="155" t="s">
        <v>129</v>
      </c>
      <c r="M14" s="129" t="s">
        <v>26</v>
      </c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x14ac:dyDescent="0.25">
      <c r="A15" s="11"/>
      <c r="B15" s="12"/>
      <c r="C15" s="13">
        <v>1</v>
      </c>
      <c r="D15" s="14">
        <v>2</v>
      </c>
      <c r="E15" s="124">
        <v>3</v>
      </c>
      <c r="F15" s="13">
        <v>1</v>
      </c>
      <c r="G15" s="124">
        <v>2</v>
      </c>
      <c r="H15" s="13">
        <v>1</v>
      </c>
      <c r="I15" s="124">
        <v>2</v>
      </c>
      <c r="J15" s="132"/>
      <c r="K15" s="158"/>
      <c r="L15" s="156"/>
      <c r="M15" s="130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x14ac:dyDescent="0.25">
      <c r="A16" s="137" t="s">
        <v>27</v>
      </c>
      <c r="B16" s="15">
        <v>1</v>
      </c>
      <c r="C16" s="21">
        <f>B5*(B61+B62)</f>
        <v>212.64907930279446</v>
      </c>
      <c r="D16" s="22">
        <f>B5*(B100+B101)</f>
        <v>128.80215938649599</v>
      </c>
      <c r="E16" s="22">
        <f>B5*(B139+B140)</f>
        <v>102.35741737014665</v>
      </c>
      <c r="F16" s="21">
        <f>B5*(B179+B180)</f>
        <v>11.212103409373215</v>
      </c>
      <c r="G16" s="23">
        <f>B5*(B219+B220)</f>
        <v>22.258443854138431</v>
      </c>
      <c r="H16" s="21">
        <f>B5*(B259+B260)</f>
        <v>61.680261018807016</v>
      </c>
      <c r="I16" s="23">
        <f>B5*(B299+B300)</f>
        <v>1.9342310036185908</v>
      </c>
      <c r="J16" s="24">
        <f>C21-SUM(C16:I16)-K16+L16</f>
        <v>133.6133337729307</v>
      </c>
      <c r="K16" s="121">
        <v>24.448754152533422</v>
      </c>
      <c r="L16" s="23">
        <f>G5/71*B5</f>
        <v>91.003421716641284</v>
      </c>
      <c r="M16" s="25">
        <f>SUM(C16:K16)-L16</f>
        <v>607.9523615541973</v>
      </c>
      <c r="N16" s="3"/>
      <c r="O16" s="22"/>
      <c r="P16" s="3"/>
      <c r="Q16" s="3"/>
      <c r="R16" s="3"/>
      <c r="S16" s="3"/>
      <c r="T16" s="3"/>
      <c r="U16" s="3"/>
      <c r="V16" s="3"/>
      <c r="W16" s="3"/>
    </row>
    <row r="17" spans="1:25" x14ac:dyDescent="0.25">
      <c r="A17" s="137"/>
      <c r="B17" s="18">
        <v>2</v>
      </c>
      <c r="C17" s="21">
        <f>B6*(C61+C62)</f>
        <v>151.85384314737473</v>
      </c>
      <c r="D17" s="22">
        <f>B6*(C100+C101)</f>
        <v>222.47217040606481</v>
      </c>
      <c r="E17" s="22">
        <f>B6*(C139+C140)</f>
        <v>24.632739278740836</v>
      </c>
      <c r="F17" s="21">
        <f>B6*(C179+C180)</f>
        <v>5.0299241870075919</v>
      </c>
      <c r="G17" s="23">
        <f>B6*(C219+C220)</f>
        <v>16.331320655718358</v>
      </c>
      <c r="H17" s="21">
        <f>B6*(C259+C260)</f>
        <v>31.504999980401628</v>
      </c>
      <c r="I17" s="23">
        <f>B6*(C299+C300)</f>
        <v>1.5769935927782952</v>
      </c>
      <c r="J17" s="24">
        <f>D21-SUM(C17:I17)-K17+L17</f>
        <v>46.735151144665579</v>
      </c>
      <c r="K17" s="121">
        <v>9.8144769184136429</v>
      </c>
      <c r="L17" s="23">
        <f>G5/71*B6</f>
        <v>41.60156421332173</v>
      </c>
      <c r="M17" s="25">
        <f>SUM(C17:K17)-L17</f>
        <v>468.35005509784366</v>
      </c>
      <c r="N17" s="3"/>
      <c r="O17" s="22"/>
      <c r="P17" s="3"/>
      <c r="Q17" s="3"/>
      <c r="R17" s="3"/>
      <c r="S17" s="3"/>
      <c r="T17" s="3"/>
      <c r="U17" s="3"/>
      <c r="V17" s="3"/>
      <c r="W17" s="3"/>
    </row>
    <row r="18" spans="1:25" x14ac:dyDescent="0.25">
      <c r="A18" s="137"/>
      <c r="B18" s="18">
        <v>3</v>
      </c>
      <c r="C18" s="21">
        <f>B7*(D61+D62)</f>
        <v>91.327101474304357</v>
      </c>
      <c r="D18" s="22">
        <f>B7*(D100+D101)</f>
        <v>58.537862652641543</v>
      </c>
      <c r="E18" s="22">
        <f>B7*(D139+D140)</f>
        <v>31.747539162221862</v>
      </c>
      <c r="F18" s="21">
        <f>B7*(D179+D180)</f>
        <v>6.5478547172569437</v>
      </c>
      <c r="G18" s="23">
        <f>B7*(D219+D220)</f>
        <v>31.082497455362056</v>
      </c>
      <c r="H18" s="21">
        <f>B7*(D259+D260)</f>
        <v>66.435244957906264</v>
      </c>
      <c r="I18" s="23">
        <f>B7*(D299+D300)</f>
        <v>2.1929372072324189</v>
      </c>
      <c r="J18" s="24">
        <f>E21-SUM(C18:I18)-K18+L18</f>
        <v>4.3528248814907684</v>
      </c>
      <c r="K18" s="121">
        <v>6.1054855456440924</v>
      </c>
      <c r="L18" s="23">
        <f>G5/71*B7</f>
        <v>52.001955266652161</v>
      </c>
      <c r="M18" s="25">
        <f>SUM(C18:K18)-L18</f>
        <v>246.3273927874082</v>
      </c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5" x14ac:dyDescent="0.25">
      <c r="A19" s="138" t="s">
        <v>66</v>
      </c>
      <c r="B19" s="139"/>
      <c r="C19" s="26">
        <f>D71+D72</f>
        <v>16.212233762972382</v>
      </c>
      <c r="D19" s="27">
        <f>D110+D111</f>
        <v>6.8537862652641381</v>
      </c>
      <c r="E19" s="28">
        <f>D149+D150</f>
        <v>9.7589696976298814</v>
      </c>
      <c r="F19" s="26">
        <f>D189+D190</f>
        <v>1.8121013798190393</v>
      </c>
      <c r="G19" s="28">
        <f>D229+D230</f>
        <v>1.8033981673186268</v>
      </c>
      <c r="H19" s="26">
        <f>D269+D270</f>
        <v>2.6608811239476462</v>
      </c>
      <c r="I19" s="28">
        <f>D309+D310</f>
        <v>1.2673462196394505</v>
      </c>
      <c r="J19" s="29"/>
      <c r="K19" s="30"/>
      <c r="L19" s="28"/>
      <c r="M19" s="30">
        <f>SUM(C19:I19)</f>
        <v>40.368716616591165</v>
      </c>
      <c r="N19" s="3"/>
      <c r="O19" s="16"/>
      <c r="P19" s="3"/>
      <c r="Q19" s="3"/>
      <c r="R19" s="3"/>
      <c r="S19" s="3"/>
      <c r="T19" s="3"/>
      <c r="U19" s="3"/>
      <c r="V19" s="3"/>
      <c r="W19" s="3"/>
    </row>
    <row r="20" spans="1:25" x14ac:dyDescent="0.25">
      <c r="A20" s="138" t="s">
        <v>67</v>
      </c>
      <c r="B20" s="139"/>
      <c r="C20" s="26">
        <f>C71+C72</f>
        <v>135.91010386675143</v>
      </c>
      <c r="D20" s="27">
        <f>C110+C111</f>
        <v>51.684076387377246</v>
      </c>
      <c r="E20" s="28">
        <f>C149+C150</f>
        <v>77.830727278668917</v>
      </c>
      <c r="F20" s="26">
        <f>C189+C190</f>
        <v>6.3089124183713521</v>
      </c>
      <c r="G20" s="28">
        <f>C229+C230</f>
        <v>6.2305835058676431</v>
      </c>
      <c r="H20" s="26">
        <f>C269+C270</f>
        <v>13.947930115528818</v>
      </c>
      <c r="I20" s="28">
        <f>C309+C310</f>
        <v>1.4061159767550551</v>
      </c>
      <c r="J20" s="29"/>
      <c r="K20" s="30"/>
      <c r="L20" s="28"/>
      <c r="M20" s="30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5" ht="15.75" thickBot="1" x14ac:dyDescent="0.3">
      <c r="A21" s="146" t="s">
        <v>23</v>
      </c>
      <c r="B21" s="147"/>
      <c r="C21" s="31">
        <f>F77+F78</f>
        <v>607.9523615541973</v>
      </c>
      <c r="D21" s="32">
        <f>F116+F117</f>
        <v>468.35005509784372</v>
      </c>
      <c r="E21" s="33">
        <f>F155+F156</f>
        <v>246.32739278740814</v>
      </c>
      <c r="F21" s="31">
        <f>F195+F196</f>
        <v>30.910896111828141</v>
      </c>
      <c r="G21" s="33">
        <f>F235+F236</f>
        <v>77.706243638405113</v>
      </c>
      <c r="H21" s="31">
        <f>F275+F276</f>
        <v>176.22931719659135</v>
      </c>
      <c r="I21" s="33">
        <f>F315+F316</f>
        <v>8.3776240000238111</v>
      </c>
      <c r="J21" s="34"/>
      <c r="K21" s="120">
        <f>SUM(K16:K18)</f>
        <v>40.368716616591158</v>
      </c>
      <c r="L21" s="33"/>
      <c r="M21" s="35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5" ht="15.75" thickBot="1" x14ac:dyDescent="0.3">
      <c r="A22" s="39"/>
      <c r="B22" s="40"/>
      <c r="C22" s="22"/>
      <c r="D22" s="22"/>
      <c r="E22" s="22"/>
      <c r="F22" s="22"/>
      <c r="G22" s="22"/>
      <c r="H22" s="22"/>
      <c r="I22" s="22"/>
      <c r="J22" s="22"/>
      <c r="K22" s="22"/>
      <c r="L22" s="82"/>
      <c r="M22" s="22"/>
      <c r="N22" s="6"/>
      <c r="O22" s="40"/>
      <c r="P22" s="40"/>
      <c r="Q22" s="22"/>
      <c r="R22" s="22"/>
      <c r="S22" s="22"/>
      <c r="T22" s="22"/>
      <c r="U22" s="22"/>
      <c r="V22" s="22"/>
      <c r="W22" s="22"/>
      <c r="X22" s="22"/>
      <c r="Y22" s="3"/>
    </row>
    <row r="23" spans="1:25" ht="15.75" thickBot="1" x14ac:dyDescent="0.3">
      <c r="A23" s="7" t="s">
        <v>106</v>
      </c>
      <c r="B23" s="8"/>
      <c r="C23" s="8"/>
      <c r="D23" s="8"/>
      <c r="E23" s="8"/>
      <c r="F23" s="8"/>
      <c r="G23" s="8"/>
      <c r="H23" s="8"/>
      <c r="I23" s="8"/>
      <c r="J23" s="8"/>
      <c r="K23" s="9"/>
      <c r="L23" s="8"/>
      <c r="M23" s="9"/>
      <c r="N23" s="3"/>
      <c r="O23" s="40"/>
      <c r="P23" s="40"/>
      <c r="Q23" s="22"/>
      <c r="R23" s="22"/>
      <c r="S23" s="22"/>
      <c r="T23" s="22"/>
      <c r="U23" s="22"/>
      <c r="V23" s="22"/>
      <c r="W23" s="22"/>
      <c r="X23" s="22"/>
      <c r="Y23" s="3"/>
    </row>
    <row r="24" spans="1:25" x14ac:dyDescent="0.25">
      <c r="A24" s="6"/>
      <c r="B24" s="10"/>
      <c r="C24" s="133" t="s">
        <v>49</v>
      </c>
      <c r="D24" s="135"/>
      <c r="E24" s="134"/>
      <c r="F24" s="133" t="s">
        <v>25</v>
      </c>
      <c r="G24" s="134"/>
      <c r="H24" s="133" t="s">
        <v>120</v>
      </c>
      <c r="I24" s="134"/>
      <c r="J24" s="154" t="s">
        <v>83</v>
      </c>
      <c r="K24" s="159" t="s">
        <v>82</v>
      </c>
      <c r="L24" s="155" t="s">
        <v>129</v>
      </c>
      <c r="M24" s="129" t="s">
        <v>26</v>
      </c>
      <c r="N24" s="3"/>
      <c r="O24" s="40"/>
      <c r="P24" s="40"/>
      <c r="Q24" s="22"/>
      <c r="R24" s="22"/>
      <c r="S24" s="22"/>
      <c r="T24" s="22"/>
      <c r="U24" s="22"/>
      <c r="V24" s="22"/>
      <c r="W24" s="22"/>
      <c r="X24" s="22"/>
      <c r="Y24" s="3"/>
    </row>
    <row r="25" spans="1:25" x14ac:dyDescent="0.25">
      <c r="A25" s="11"/>
      <c r="B25" s="12"/>
      <c r="C25" s="13">
        <v>1</v>
      </c>
      <c r="D25" s="14">
        <v>2</v>
      </c>
      <c r="E25" s="124">
        <v>3</v>
      </c>
      <c r="F25" s="13">
        <v>1</v>
      </c>
      <c r="G25" s="124">
        <v>2</v>
      </c>
      <c r="H25" s="13">
        <v>1</v>
      </c>
      <c r="I25" s="124">
        <v>2</v>
      </c>
      <c r="J25" s="132"/>
      <c r="K25" s="160"/>
      <c r="L25" s="156"/>
      <c r="M25" s="130"/>
      <c r="N25" s="3"/>
      <c r="O25" s="40"/>
      <c r="P25" s="40"/>
      <c r="Q25" s="22"/>
      <c r="R25" s="22"/>
      <c r="S25" s="22"/>
      <c r="T25" s="22"/>
      <c r="U25" s="22"/>
      <c r="V25" s="22"/>
      <c r="W25" s="22"/>
      <c r="X25" s="22"/>
      <c r="Y25" s="3"/>
    </row>
    <row r="26" spans="1:25" x14ac:dyDescent="0.25">
      <c r="A26" s="137" t="s">
        <v>27</v>
      </c>
      <c r="B26" s="15">
        <v>1</v>
      </c>
      <c r="C26" s="21">
        <f>C16/$C$21</f>
        <v>0.34977918131474744</v>
      </c>
      <c r="D26" s="22">
        <f t="shared" ref="D26:D31" si="0">D16/$D$21</f>
        <v>0.27501258510493337</v>
      </c>
      <c r="E26" s="22">
        <f t="shared" ref="E26:E31" si="1">E16/$E$21</f>
        <v>0.41553404277081679</v>
      </c>
      <c r="F26" s="21">
        <f t="shared" ref="F26:F31" si="2">F16/$F$21</f>
        <v>0.36272333771271265</v>
      </c>
      <c r="G26" s="23">
        <f t="shared" ref="G26:G31" si="3">G16/$G$21</f>
        <v>0.28644344150406903</v>
      </c>
      <c r="H26" s="21">
        <f>H16/$H$21</f>
        <v>0.35000000000000026</v>
      </c>
      <c r="I26" s="23">
        <f>I16/$I$21</f>
        <v>0.23088061765640153</v>
      </c>
      <c r="J26" s="24" t="s">
        <v>97</v>
      </c>
      <c r="K26" s="121" t="s">
        <v>97</v>
      </c>
      <c r="L26" s="23" t="s">
        <v>97</v>
      </c>
      <c r="M26" s="25">
        <f>M16/C21</f>
        <v>1</v>
      </c>
      <c r="N26" s="3"/>
      <c r="O26" s="40"/>
      <c r="P26" s="40"/>
      <c r="Q26" s="22"/>
      <c r="R26" s="22"/>
      <c r="S26" s="22"/>
      <c r="T26" s="22"/>
      <c r="U26" s="22"/>
      <c r="V26" s="22"/>
      <c r="W26" s="22"/>
      <c r="X26" s="22"/>
      <c r="Y26" s="3"/>
    </row>
    <row r="27" spans="1:25" x14ac:dyDescent="0.25">
      <c r="A27" s="137"/>
      <c r="B27" s="18">
        <v>2</v>
      </c>
      <c r="C27" s="21">
        <f>C17/$C$21</f>
        <v>0.24977918131474744</v>
      </c>
      <c r="D27" s="22">
        <f t="shared" si="0"/>
        <v>0.47501258510493355</v>
      </c>
      <c r="E27" s="22">
        <f t="shared" si="1"/>
        <v>0.10000000000000009</v>
      </c>
      <c r="F27" s="21">
        <f t="shared" si="2"/>
        <v>0.1627233377127128</v>
      </c>
      <c r="G27" s="23">
        <f t="shared" si="3"/>
        <v>0.21016741887194834</v>
      </c>
      <c r="H27" s="21">
        <f t="shared" ref="H27:H31" si="4">H17/$H$21</f>
        <v>0.17877275178486024</v>
      </c>
      <c r="I27" s="23">
        <f t="shared" ref="I27:I31" si="5">I17/$I$21</f>
        <v>0.18823876468719689</v>
      </c>
      <c r="J27" s="24" t="s">
        <v>97</v>
      </c>
      <c r="K27" s="121" t="s">
        <v>97</v>
      </c>
      <c r="L27" s="23" t="s">
        <v>97</v>
      </c>
      <c r="M27" s="25">
        <f>M17/D21</f>
        <v>0.99999999999999989</v>
      </c>
      <c r="N27" s="3"/>
      <c r="O27" s="40"/>
      <c r="P27" s="40"/>
      <c r="Q27" s="22"/>
      <c r="R27" s="22"/>
      <c r="S27" s="22"/>
      <c r="T27" s="22"/>
      <c r="U27" s="22"/>
      <c r="V27" s="22"/>
      <c r="W27" s="22"/>
      <c r="X27" s="22"/>
      <c r="Y27" s="3"/>
    </row>
    <row r="28" spans="1:25" x14ac:dyDescent="0.25">
      <c r="A28" s="137"/>
      <c r="B28" s="18">
        <v>3</v>
      </c>
      <c r="C28" s="21">
        <f>C18/$C$21</f>
        <v>0.15022081868525286</v>
      </c>
      <c r="D28" s="22">
        <f t="shared" si="0"/>
        <v>0.12498741489506671</v>
      </c>
      <c r="E28" s="22">
        <f t="shared" si="1"/>
        <v>0.12888351069270418</v>
      </c>
      <c r="F28" s="21">
        <f t="shared" si="2"/>
        <v>0.21182998686186225</v>
      </c>
      <c r="G28" s="23">
        <f t="shared" si="3"/>
        <v>0.40000000000000013</v>
      </c>
      <c r="H28" s="21">
        <f t="shared" si="4"/>
        <v>0.37698179857211217</v>
      </c>
      <c r="I28" s="23">
        <f t="shared" si="5"/>
        <v>0.26176123531280304</v>
      </c>
      <c r="J28" s="24" t="s">
        <v>97</v>
      </c>
      <c r="K28" s="121" t="s">
        <v>97</v>
      </c>
      <c r="L28" s="23" t="s">
        <v>97</v>
      </c>
      <c r="M28" s="25">
        <f>M18/E21</f>
        <v>1.0000000000000002</v>
      </c>
      <c r="N28" s="3"/>
      <c r="O28" s="40"/>
      <c r="P28" s="40"/>
      <c r="Q28" s="22"/>
      <c r="R28" s="22"/>
      <c r="S28" s="22"/>
      <c r="T28" s="22"/>
      <c r="U28" s="22"/>
      <c r="V28" s="22"/>
      <c r="W28" s="22"/>
      <c r="X28" s="22"/>
      <c r="Y28" s="3"/>
    </row>
    <row r="29" spans="1:25" x14ac:dyDescent="0.25">
      <c r="A29" s="138" t="s">
        <v>66</v>
      </c>
      <c r="B29" s="139"/>
      <c r="C29" s="26">
        <f>C19/$C$21</f>
        <v>2.6666947590312313E-2</v>
      </c>
      <c r="D29" s="27">
        <f t="shared" si="0"/>
        <v>1.4633896570872194E-2</v>
      </c>
      <c r="E29" s="28">
        <f t="shared" si="1"/>
        <v>3.9617882474209117E-2</v>
      </c>
      <c r="F29" s="26">
        <f t="shared" si="2"/>
        <v>5.8623385529274048E-2</v>
      </c>
      <c r="G29" s="28">
        <f t="shared" si="3"/>
        <v>2.3207892736528124E-2</v>
      </c>
      <c r="H29" s="26">
        <f t="shared" si="4"/>
        <v>1.5098969718978819E-2</v>
      </c>
      <c r="I29" s="28">
        <f t="shared" si="5"/>
        <v>0.1512775244670623</v>
      </c>
      <c r="J29" s="29"/>
      <c r="K29" s="30"/>
      <c r="L29" s="28"/>
      <c r="M29" s="30" t="s">
        <v>97</v>
      </c>
      <c r="N29" s="3"/>
      <c r="O29" s="40"/>
      <c r="P29" s="40"/>
      <c r="Q29" s="22"/>
      <c r="R29" s="22"/>
      <c r="S29" s="22"/>
      <c r="T29" s="22"/>
      <c r="U29" s="22"/>
      <c r="V29" s="22"/>
      <c r="W29" s="22"/>
      <c r="X29" s="22"/>
      <c r="Y29" s="3"/>
    </row>
    <row r="30" spans="1:25" x14ac:dyDescent="0.25">
      <c r="A30" s="138" t="s">
        <v>67</v>
      </c>
      <c r="B30" s="139"/>
      <c r="C30" s="26">
        <f>C20/$C$21</f>
        <v>0.22355387109494007</v>
      </c>
      <c r="D30" s="27">
        <f t="shared" si="0"/>
        <v>0.11035351832419417</v>
      </c>
      <c r="E30" s="28">
        <f t="shared" si="1"/>
        <v>0.3159645640622698</v>
      </c>
      <c r="F30" s="26">
        <f t="shared" si="2"/>
        <v>0.20409995218343829</v>
      </c>
      <c r="G30" s="28">
        <f t="shared" si="3"/>
        <v>8.0181246887454399E-2</v>
      </c>
      <c r="H30" s="26">
        <f t="shared" si="4"/>
        <v>7.9146479924048649E-2</v>
      </c>
      <c r="I30" s="28">
        <f t="shared" si="5"/>
        <v>0.16784185787653619</v>
      </c>
      <c r="J30" s="29"/>
      <c r="K30" s="30"/>
      <c r="L30" s="28"/>
      <c r="M30" s="30"/>
      <c r="N30" s="3"/>
      <c r="O30" s="40"/>
      <c r="P30" s="40"/>
      <c r="Q30" s="22"/>
      <c r="R30" s="22"/>
      <c r="S30" s="22"/>
      <c r="T30" s="22"/>
      <c r="U30" s="22"/>
      <c r="V30" s="22"/>
      <c r="W30" s="22"/>
      <c r="X30" s="22"/>
      <c r="Y30" s="3"/>
    </row>
    <row r="31" spans="1:25" ht="15.75" thickBot="1" x14ac:dyDescent="0.3">
      <c r="A31" s="146" t="s">
        <v>23</v>
      </c>
      <c r="B31" s="147"/>
      <c r="C31" s="31">
        <f>C21/C21</f>
        <v>1</v>
      </c>
      <c r="D31" s="32">
        <f t="shared" si="0"/>
        <v>1</v>
      </c>
      <c r="E31" s="33">
        <f t="shared" si="1"/>
        <v>1</v>
      </c>
      <c r="F31" s="31">
        <f t="shared" si="2"/>
        <v>1</v>
      </c>
      <c r="G31" s="33">
        <f t="shared" si="3"/>
        <v>1</v>
      </c>
      <c r="H31" s="31">
        <f t="shared" si="4"/>
        <v>1</v>
      </c>
      <c r="I31" s="33">
        <f t="shared" si="5"/>
        <v>1</v>
      </c>
      <c r="J31" s="34"/>
      <c r="K31" s="120" t="s">
        <v>97</v>
      </c>
      <c r="L31" s="33"/>
      <c r="M31" s="35"/>
      <c r="N31" s="3"/>
      <c r="O31" s="40"/>
      <c r="P31" s="40"/>
      <c r="Q31" s="22"/>
      <c r="R31" s="22"/>
      <c r="S31" s="22"/>
      <c r="T31" s="22"/>
      <c r="U31" s="22"/>
      <c r="V31" s="22"/>
      <c r="W31" s="22"/>
      <c r="X31" s="22"/>
      <c r="Y31" s="3"/>
    </row>
    <row r="32" spans="1:25" ht="15.75" thickBot="1" x14ac:dyDescent="0.3">
      <c r="A32" s="127"/>
      <c r="B32" s="112"/>
      <c r="C32" s="102"/>
      <c r="D32" s="102"/>
      <c r="E32" s="102"/>
      <c r="F32" s="102"/>
      <c r="G32" s="102"/>
      <c r="H32" s="102"/>
      <c r="I32" s="102"/>
      <c r="J32" s="102"/>
      <c r="K32" s="1"/>
      <c r="L32" s="78"/>
      <c r="M32" s="126"/>
      <c r="N32" s="22"/>
      <c r="O32" s="22"/>
      <c r="P32" s="22"/>
      <c r="Q32" s="22"/>
      <c r="R32" s="22"/>
      <c r="S32" s="22"/>
      <c r="T32" s="22"/>
      <c r="U32" s="22"/>
      <c r="V32" s="3"/>
    </row>
    <row r="33" spans="1:22" ht="15.75" thickBot="1" x14ac:dyDescent="0.3">
      <c r="A33" s="87" t="s">
        <v>79</v>
      </c>
      <c r="B33" s="78"/>
      <c r="C33" s="82"/>
      <c r="D33" s="82"/>
      <c r="E33" s="82"/>
      <c r="F33" s="8"/>
      <c r="G33" s="8"/>
      <c r="H33" s="82"/>
      <c r="I33" s="82"/>
      <c r="J33" s="82"/>
      <c r="K33" s="79"/>
      <c r="L33" s="78"/>
      <c r="M33" s="126"/>
      <c r="N33" s="22"/>
      <c r="O33" s="22"/>
      <c r="P33" s="22"/>
      <c r="Q33" s="22"/>
      <c r="R33" s="22"/>
      <c r="S33" s="22"/>
      <c r="T33" s="22"/>
      <c r="U33" s="22"/>
      <c r="V33" s="3"/>
    </row>
    <row r="34" spans="1:22" x14ac:dyDescent="0.25">
      <c r="A34" s="150" t="s">
        <v>54</v>
      </c>
      <c r="B34" s="135"/>
      <c r="C34" s="134"/>
      <c r="D34" s="148" t="s">
        <v>55</v>
      </c>
      <c r="E34" s="149"/>
      <c r="F34" s="148" t="s">
        <v>130</v>
      </c>
      <c r="G34" s="149"/>
      <c r="H34" s="119" t="s">
        <v>56</v>
      </c>
      <c r="I34" s="116" t="s">
        <v>57</v>
      </c>
      <c r="J34" s="86" t="s">
        <v>131</v>
      </c>
      <c r="K34" s="121" t="s">
        <v>100</v>
      </c>
      <c r="L34" s="116" t="s">
        <v>99</v>
      </c>
      <c r="M34" s="123" t="s">
        <v>132</v>
      </c>
      <c r="N34" s="22"/>
      <c r="O34" s="22"/>
      <c r="P34" s="22"/>
      <c r="Q34" s="22"/>
      <c r="R34" s="22"/>
      <c r="S34" s="22"/>
      <c r="T34" s="22"/>
      <c r="U34" s="22"/>
      <c r="V34" s="3"/>
    </row>
    <row r="35" spans="1:22" x14ac:dyDescent="0.25">
      <c r="A35" s="80">
        <f t="shared" ref="A35:E37" si="6">C26</f>
        <v>0.34977918131474744</v>
      </c>
      <c r="B35" s="22">
        <f t="shared" si="6"/>
        <v>0.27501258510493337</v>
      </c>
      <c r="C35" s="66">
        <f t="shared" si="6"/>
        <v>0.41553404277081679</v>
      </c>
      <c r="D35" s="65">
        <f t="shared" si="6"/>
        <v>0.36272333771271265</v>
      </c>
      <c r="E35" s="66">
        <f t="shared" si="6"/>
        <v>0.28644344150406903</v>
      </c>
      <c r="F35" s="65">
        <f t="shared" ref="F35:F37" si="7">H26</f>
        <v>0.35000000000000026</v>
      </c>
      <c r="G35" s="66">
        <f t="shared" ref="G35:G37" si="8">I26</f>
        <v>0.23088061765640153</v>
      </c>
      <c r="H35" s="85">
        <f>C21</f>
        <v>607.9523615541973</v>
      </c>
      <c r="I35" s="22">
        <f>F21</f>
        <v>30.910896111828141</v>
      </c>
      <c r="J35" s="24">
        <f>H21</f>
        <v>176.22931719659135</v>
      </c>
      <c r="K35" s="122">
        <f t="shared" ref="K35:M37" si="9">J16</f>
        <v>133.6133337729307</v>
      </c>
      <c r="L35" s="67">
        <f t="shared" si="9"/>
        <v>24.448754152533422</v>
      </c>
      <c r="M35" s="121">
        <f t="shared" si="9"/>
        <v>91.003421716641284</v>
      </c>
      <c r="N35" s="22"/>
      <c r="O35" s="22"/>
      <c r="P35" s="22"/>
      <c r="Q35" s="22"/>
      <c r="R35" s="22"/>
      <c r="S35" s="22"/>
      <c r="T35" s="22"/>
    </row>
    <row r="36" spans="1:22" x14ac:dyDescent="0.25">
      <c r="A36" s="80">
        <f t="shared" si="6"/>
        <v>0.24977918131474744</v>
      </c>
      <c r="B36" s="22">
        <f t="shared" si="6"/>
        <v>0.47501258510493355</v>
      </c>
      <c r="C36" s="23">
        <f t="shared" si="6"/>
        <v>0.10000000000000009</v>
      </c>
      <c r="D36" s="21">
        <f t="shared" si="6"/>
        <v>0.1627233377127128</v>
      </c>
      <c r="E36" s="23">
        <f t="shared" si="6"/>
        <v>0.21016741887194834</v>
      </c>
      <c r="F36" s="21">
        <f t="shared" si="7"/>
        <v>0.17877275178486024</v>
      </c>
      <c r="G36" s="23">
        <f t="shared" si="8"/>
        <v>0.18823876468719689</v>
      </c>
      <c r="H36" s="24">
        <f>D21</f>
        <v>468.35005509784372</v>
      </c>
      <c r="I36" s="22">
        <f>G21</f>
        <v>77.706243638405113</v>
      </c>
      <c r="J36" s="24">
        <f>I21</f>
        <v>8.3776240000238111</v>
      </c>
      <c r="K36" s="121">
        <f t="shared" si="9"/>
        <v>46.735151144665579</v>
      </c>
      <c r="L36" s="22">
        <f t="shared" si="9"/>
        <v>9.8144769184136429</v>
      </c>
      <c r="M36" s="121">
        <f t="shared" si="9"/>
        <v>41.60156421332173</v>
      </c>
      <c r="N36" s="22"/>
      <c r="O36" s="22"/>
      <c r="P36" s="22"/>
      <c r="Q36" s="22"/>
      <c r="R36" s="22"/>
      <c r="S36" s="22"/>
      <c r="T36" s="3"/>
    </row>
    <row r="37" spans="1:22" ht="15.75" thickBot="1" x14ac:dyDescent="0.3">
      <c r="A37" s="81">
        <f t="shared" si="6"/>
        <v>0.15022081868525286</v>
      </c>
      <c r="B37" s="32">
        <f t="shared" si="6"/>
        <v>0.12498741489506671</v>
      </c>
      <c r="C37" s="33">
        <f t="shared" si="6"/>
        <v>0.12888351069270418</v>
      </c>
      <c r="D37" s="31">
        <f t="shared" si="6"/>
        <v>0.21182998686186225</v>
      </c>
      <c r="E37" s="33">
        <f t="shared" si="6"/>
        <v>0.40000000000000013</v>
      </c>
      <c r="F37" s="31">
        <f t="shared" si="7"/>
        <v>0.37698179857211217</v>
      </c>
      <c r="G37" s="33">
        <f t="shared" si="8"/>
        <v>0.26176123531280304</v>
      </c>
      <c r="H37" s="34">
        <f>E21</f>
        <v>246.32739278740814</v>
      </c>
      <c r="I37" s="32"/>
      <c r="J37" s="34"/>
      <c r="K37" s="120">
        <f t="shared" si="9"/>
        <v>4.3528248814907684</v>
      </c>
      <c r="L37" s="32">
        <f t="shared" si="9"/>
        <v>6.1054855456440924</v>
      </c>
      <c r="M37" s="120">
        <f t="shared" si="9"/>
        <v>52.001955266652161</v>
      </c>
      <c r="N37" s="22"/>
      <c r="O37" s="22"/>
      <c r="P37" s="22"/>
      <c r="Q37" s="22"/>
      <c r="R37" s="22"/>
      <c r="S37" s="22"/>
      <c r="T37" s="3"/>
    </row>
    <row r="38" spans="1:22" ht="15.75" thickBot="1" x14ac:dyDescent="0.3">
      <c r="A38" s="117" t="s">
        <v>135</v>
      </c>
      <c r="B38" s="116" t="s">
        <v>36</v>
      </c>
      <c r="C38" s="118" t="s">
        <v>37</v>
      </c>
      <c r="D38" s="16"/>
      <c r="E38" s="16"/>
      <c r="F38" s="16"/>
      <c r="G38" s="16"/>
      <c r="H38" s="16"/>
      <c r="I38" s="16"/>
      <c r="J38" s="3"/>
      <c r="K38" s="40"/>
      <c r="L38" s="78"/>
      <c r="M38" s="16"/>
      <c r="N38" s="44"/>
      <c r="O38" s="16"/>
      <c r="P38" s="16"/>
      <c r="Q38" s="16"/>
      <c r="R38" s="16"/>
      <c r="S38" s="16"/>
      <c r="T38" s="3"/>
    </row>
    <row r="39" spans="1:22" x14ac:dyDescent="0.25">
      <c r="A39" s="88"/>
      <c r="B39" s="22" cm="1">
        <f t="array" ref="B39:B41">MMULT(A35:C37,H35:H37)+MMULT(D35:E37,I35:I36)+MMULT(F35:G37,J35:J36)+K35:K37+L35:L37-M35:M37</f>
        <v>607.95236155419718</v>
      </c>
      <c r="C39" s="25" cm="1">
        <f t="array" ref="C39:C41">H35:H37</f>
        <v>607.9523615541973</v>
      </c>
      <c r="D39" s="16"/>
      <c r="E39" s="16"/>
      <c r="F39" s="16"/>
      <c r="G39" s="16"/>
      <c r="H39" s="16"/>
      <c r="I39" s="16"/>
      <c r="J39" s="3"/>
      <c r="K39" s="36"/>
      <c r="L39" s="40"/>
      <c r="M39" s="108"/>
      <c r="N39" s="16"/>
      <c r="O39" s="16"/>
      <c r="P39" s="16"/>
      <c r="Q39" s="16"/>
      <c r="R39" s="16"/>
      <c r="S39" s="16"/>
      <c r="T39" s="3"/>
    </row>
    <row r="40" spans="1:22" x14ac:dyDescent="0.25">
      <c r="A40" s="88"/>
      <c r="B40" s="22">
        <v>468.35005509784372</v>
      </c>
      <c r="C40" s="25">
        <v>468.35005509784372</v>
      </c>
      <c r="D40" s="16"/>
      <c r="E40" s="16"/>
      <c r="F40" s="16"/>
      <c r="G40" s="16"/>
      <c r="H40" s="16"/>
      <c r="I40" s="16"/>
      <c r="J40" s="3"/>
      <c r="K40" s="36"/>
      <c r="L40" s="40"/>
      <c r="M40" s="16"/>
      <c r="N40" s="16"/>
      <c r="O40" s="16"/>
      <c r="P40" s="16"/>
      <c r="Q40" s="16"/>
      <c r="R40" s="16"/>
      <c r="S40" s="16"/>
      <c r="T40" s="3"/>
    </row>
    <row r="41" spans="1:22" ht="15.75" thickBot="1" x14ac:dyDescent="0.3">
      <c r="A41" s="89"/>
      <c r="B41" s="32">
        <v>246.32739278740826</v>
      </c>
      <c r="C41" s="35">
        <v>246.32739278740814</v>
      </c>
      <c r="D41" s="16"/>
      <c r="E41" s="16"/>
      <c r="F41" s="16"/>
      <c r="G41" s="16"/>
      <c r="H41" s="16"/>
      <c r="I41" s="16"/>
      <c r="J41" s="3"/>
      <c r="K41" s="36"/>
      <c r="L41" s="40"/>
      <c r="M41" s="16"/>
      <c r="N41" s="16"/>
      <c r="O41" s="16"/>
      <c r="P41" s="16"/>
      <c r="Q41" s="16"/>
      <c r="R41" s="16"/>
      <c r="S41" s="16"/>
      <c r="T41" s="3"/>
    </row>
    <row r="42" spans="1:22" x14ac:dyDescent="0.25">
      <c r="A42" s="90" t="s">
        <v>136</v>
      </c>
      <c r="B42" s="83" t="s">
        <v>36</v>
      </c>
      <c r="C42" s="84" t="s">
        <v>37</v>
      </c>
      <c r="D42" s="16"/>
      <c r="E42" s="16"/>
      <c r="F42" s="16"/>
      <c r="G42" s="16"/>
      <c r="H42" s="16"/>
      <c r="I42" s="16"/>
      <c r="J42" s="3"/>
      <c r="K42" s="36"/>
      <c r="L42" s="40"/>
      <c r="M42" s="16"/>
      <c r="N42" s="16"/>
      <c r="O42" s="16"/>
      <c r="P42" s="16"/>
      <c r="Q42" s="16"/>
      <c r="R42" s="16"/>
      <c r="S42" s="16"/>
      <c r="T42" s="3"/>
    </row>
    <row r="43" spans="1:22" x14ac:dyDescent="0.25">
      <c r="A43" s="88"/>
      <c r="B43" s="22" cm="1">
        <f t="array" ref="B43:B45">H35:H37</f>
        <v>607.9523615541973</v>
      </c>
      <c r="C43" s="25" cm="1">
        <f t="array" ref="C43:C45">MMULT(MINVERSE(_xlfn.MUNIT(3)-A35:C37),MMULT(D35:E37,I35:I36)+MMULT(F35:G37,J35:J36)+K35:K37+L35:L37-M35:M37)</f>
        <v>607.95236155419718</v>
      </c>
      <c r="D43" s="16"/>
      <c r="E43" s="16"/>
      <c r="F43" s="16"/>
      <c r="G43" s="16"/>
      <c r="H43" s="16"/>
      <c r="I43" s="16"/>
      <c r="J43" s="3"/>
      <c r="K43" s="36"/>
      <c r="L43" s="40"/>
      <c r="M43" s="16"/>
      <c r="N43" s="16"/>
      <c r="O43" s="16"/>
      <c r="P43" s="16"/>
      <c r="Q43" s="16"/>
      <c r="R43" s="16"/>
      <c r="S43" s="16"/>
      <c r="T43" s="3"/>
    </row>
    <row r="44" spans="1:22" x14ac:dyDescent="0.25">
      <c r="A44" s="88"/>
      <c r="B44" s="22">
        <v>468.35005509784372</v>
      </c>
      <c r="C44" s="25">
        <v>468.35005509784389</v>
      </c>
      <c r="D44" s="16"/>
      <c r="E44" s="16"/>
      <c r="F44" s="16"/>
      <c r="G44" s="16"/>
      <c r="H44" s="16"/>
      <c r="I44" s="16"/>
      <c r="J44" s="3"/>
      <c r="K44" s="36"/>
      <c r="L44" s="40"/>
      <c r="M44" s="16"/>
      <c r="N44" s="16"/>
      <c r="O44" s="16"/>
      <c r="P44" s="16"/>
      <c r="Q44" s="16"/>
      <c r="R44" s="16"/>
      <c r="S44" s="16"/>
      <c r="T44" s="3"/>
    </row>
    <row r="45" spans="1:22" ht="15.75" thickBot="1" x14ac:dyDescent="0.3">
      <c r="A45" s="91"/>
      <c r="B45" s="32">
        <v>246.32739278740814</v>
      </c>
      <c r="C45" s="35">
        <v>246.32739278740814</v>
      </c>
      <c r="D45" s="19"/>
      <c r="E45" s="19"/>
      <c r="F45" s="19"/>
      <c r="G45" s="19"/>
      <c r="H45" s="19"/>
      <c r="I45" s="19"/>
      <c r="J45" s="37"/>
      <c r="K45" s="93"/>
      <c r="L45" s="40"/>
      <c r="M45" s="16"/>
      <c r="N45" s="16"/>
      <c r="O45" s="16"/>
      <c r="P45" s="16"/>
      <c r="Q45" s="16"/>
      <c r="R45" s="16"/>
      <c r="S45" s="16"/>
      <c r="T45" s="3"/>
    </row>
    <row r="46" spans="1:22" x14ac:dyDescent="0.25">
      <c r="A46" s="39"/>
      <c r="B46" s="40"/>
      <c r="C46" s="16"/>
      <c r="D46" s="16"/>
      <c r="E46" s="16"/>
      <c r="F46" s="16"/>
      <c r="G46" s="16"/>
      <c r="H46" s="16"/>
      <c r="I46" s="16"/>
      <c r="J46" s="3"/>
      <c r="K46" s="40"/>
      <c r="L46" s="40"/>
      <c r="M46" s="16"/>
      <c r="N46" s="16"/>
      <c r="O46" s="16"/>
      <c r="P46" s="16"/>
      <c r="Q46" s="16"/>
      <c r="R46" s="16"/>
      <c r="S46" s="16"/>
      <c r="T46" s="3"/>
    </row>
    <row r="47" spans="1:22" ht="15.75" thickBot="1" x14ac:dyDescent="0.3"/>
    <row r="48" spans="1:22" ht="15.75" thickBot="1" x14ac:dyDescent="0.3">
      <c r="A48" s="69" t="s">
        <v>122</v>
      </c>
      <c r="B48" s="70"/>
      <c r="C48" s="70"/>
      <c r="D48" s="70"/>
      <c r="E48" s="70"/>
      <c r="F48" s="70"/>
      <c r="G48" s="70"/>
      <c r="H48" s="70"/>
      <c r="I48" s="70"/>
      <c r="J48" s="70"/>
      <c r="K48" s="71"/>
      <c r="L48" s="3"/>
      <c r="M48" s="3"/>
      <c r="N48" s="3"/>
      <c r="O48" s="3"/>
      <c r="P48" s="3"/>
      <c r="Q48" s="3"/>
      <c r="R48" s="3"/>
      <c r="S48" s="3"/>
    </row>
    <row r="49" spans="1:19" ht="15.75" thickBot="1" x14ac:dyDescent="0.3">
      <c r="A49" s="7" t="s">
        <v>72</v>
      </c>
      <c r="B49" s="101"/>
      <c r="C49" s="101"/>
      <c r="D49" s="100" t="s">
        <v>51</v>
      </c>
      <c r="E49" s="7" t="s">
        <v>62</v>
      </c>
      <c r="F49" s="103" t="s">
        <v>65</v>
      </c>
      <c r="G49" s="3"/>
      <c r="H49" s="3"/>
      <c r="I49" s="3"/>
      <c r="J49" s="3"/>
      <c r="K49" s="4"/>
      <c r="L49" s="3"/>
      <c r="M49" s="3"/>
      <c r="N49" s="3"/>
      <c r="O49" s="3"/>
      <c r="P49" s="3"/>
      <c r="Q49" s="3"/>
      <c r="R49" s="3"/>
      <c r="S49" s="3"/>
    </row>
    <row r="50" spans="1:19" x14ac:dyDescent="0.25">
      <c r="A50" s="140" t="s">
        <v>15</v>
      </c>
      <c r="B50" s="141"/>
      <c r="C50" s="141"/>
      <c r="D50" s="104">
        <f>B5</f>
        <v>35</v>
      </c>
      <c r="E50" s="6" t="s">
        <v>63</v>
      </c>
      <c r="F50" s="92">
        <f>$E$5</f>
        <v>0.1</v>
      </c>
      <c r="G50" s="16"/>
      <c r="H50" s="16"/>
      <c r="I50" s="16"/>
      <c r="J50" s="16"/>
      <c r="K50" s="4"/>
      <c r="L50" s="3"/>
      <c r="M50" s="3"/>
      <c r="N50" s="3"/>
      <c r="O50" s="3"/>
      <c r="P50" s="3"/>
      <c r="Q50" s="3"/>
      <c r="R50" s="3"/>
      <c r="S50" s="3"/>
    </row>
    <row r="51" spans="1:19" ht="15.75" thickBot="1" x14ac:dyDescent="0.3">
      <c r="A51" s="88" t="s">
        <v>12</v>
      </c>
      <c r="B51" s="97"/>
      <c r="C51" s="97"/>
      <c r="D51" s="105">
        <f>B6</f>
        <v>16</v>
      </c>
      <c r="E51" s="38" t="s">
        <v>64</v>
      </c>
      <c r="F51" s="93">
        <f>$E$6</f>
        <v>0.5</v>
      </c>
      <c r="G51" s="16"/>
      <c r="H51" s="16"/>
      <c r="I51" s="16"/>
      <c r="J51" s="16"/>
      <c r="K51" s="4"/>
      <c r="L51" s="3"/>
      <c r="M51" s="3"/>
      <c r="N51" s="3"/>
      <c r="O51" s="3"/>
      <c r="P51" s="3"/>
      <c r="Q51" s="3"/>
      <c r="R51" s="3"/>
      <c r="S51" s="3"/>
    </row>
    <row r="52" spans="1:19" ht="15.75" thickBot="1" x14ac:dyDescent="0.3">
      <c r="A52" s="89" t="s">
        <v>13</v>
      </c>
      <c r="B52" s="98"/>
      <c r="C52" s="98"/>
      <c r="D52" s="106">
        <f>B7</f>
        <v>20</v>
      </c>
      <c r="E52" s="16"/>
      <c r="F52" s="16"/>
      <c r="G52" s="16"/>
      <c r="H52" s="16"/>
      <c r="I52" s="16"/>
      <c r="J52" s="16"/>
      <c r="K52" s="4"/>
      <c r="L52" s="3"/>
      <c r="M52" s="3"/>
      <c r="N52" s="3"/>
      <c r="O52" s="3"/>
      <c r="P52" s="3"/>
      <c r="Q52" s="3"/>
      <c r="R52" s="3"/>
      <c r="S52" s="3"/>
    </row>
    <row r="53" spans="1:19" ht="15.75" thickBot="1" x14ac:dyDescent="0.3">
      <c r="A53" s="42"/>
      <c r="B53" s="43"/>
      <c r="C53" s="43"/>
      <c r="D53" s="16"/>
      <c r="E53" s="16"/>
      <c r="F53" s="16"/>
      <c r="G53" s="16"/>
      <c r="H53" s="16"/>
      <c r="I53" s="16"/>
      <c r="J53" s="16"/>
      <c r="K53" s="4"/>
      <c r="L53" s="3"/>
      <c r="M53" s="3"/>
      <c r="N53" s="3"/>
      <c r="O53" s="3"/>
      <c r="P53" s="3"/>
      <c r="Q53" s="3"/>
      <c r="R53" s="3"/>
      <c r="S53" s="3"/>
    </row>
    <row r="54" spans="1:19" ht="15.75" thickBot="1" x14ac:dyDescent="0.3">
      <c r="A54" s="142" t="s">
        <v>73</v>
      </c>
      <c r="B54" s="143"/>
      <c r="C54" s="58" t="s">
        <v>16</v>
      </c>
      <c r="D54" s="50"/>
      <c r="E54" s="50"/>
      <c r="F54" s="50"/>
      <c r="G54" s="59"/>
      <c r="H54" s="16"/>
      <c r="I54" s="16"/>
      <c r="J54" s="16"/>
      <c r="K54" s="4"/>
      <c r="L54" s="3"/>
      <c r="M54" s="3"/>
      <c r="N54" s="3"/>
      <c r="O54" s="3"/>
      <c r="P54" s="3"/>
      <c r="Q54" s="3"/>
      <c r="R54" s="3"/>
      <c r="S54" s="3"/>
    </row>
    <row r="55" spans="1:19" x14ac:dyDescent="0.25">
      <c r="A55" s="55" t="s">
        <v>69</v>
      </c>
      <c r="B55" s="22" t="s">
        <v>1</v>
      </c>
      <c r="C55" s="22" t="s">
        <v>2</v>
      </c>
      <c r="D55" s="22" t="s">
        <v>3</v>
      </c>
      <c r="E55" s="22" t="s">
        <v>14</v>
      </c>
      <c r="F55" s="43" t="s">
        <v>5</v>
      </c>
      <c r="G55" s="53"/>
      <c r="H55" s="16"/>
      <c r="I55" s="16"/>
      <c r="J55" s="16"/>
      <c r="K55" s="4"/>
      <c r="L55" s="3"/>
      <c r="M55" s="3"/>
      <c r="N55" s="3"/>
      <c r="O55" s="3"/>
      <c r="P55" s="3"/>
      <c r="Q55" s="3"/>
      <c r="R55" s="3"/>
      <c r="S55" s="3"/>
    </row>
    <row r="56" spans="1:19" x14ac:dyDescent="0.25">
      <c r="A56" s="56">
        <v>1</v>
      </c>
      <c r="B56" s="22">
        <v>4</v>
      </c>
      <c r="C56" s="22">
        <v>0.3</v>
      </c>
      <c r="D56" s="22">
        <v>0.2</v>
      </c>
      <c r="E56" s="22">
        <v>0.2</v>
      </c>
      <c r="F56" s="22">
        <f>SUM(C56:E56)</f>
        <v>0.7</v>
      </c>
      <c r="G56" s="25"/>
      <c r="H56" s="16"/>
      <c r="I56" s="16"/>
      <c r="J56" s="16"/>
      <c r="K56" s="4"/>
      <c r="L56" s="3"/>
      <c r="M56" s="3"/>
      <c r="N56" s="3"/>
      <c r="O56" s="3"/>
      <c r="P56" s="3"/>
      <c r="Q56" s="3"/>
      <c r="R56" s="3"/>
      <c r="S56" s="3"/>
    </row>
    <row r="57" spans="1:19" ht="15.75" thickBot="1" x14ac:dyDescent="0.3">
      <c r="A57" s="57">
        <v>2</v>
      </c>
      <c r="B57" s="32">
        <v>3</v>
      </c>
      <c r="C57" s="32">
        <v>0.4</v>
      </c>
      <c r="D57" s="32">
        <v>0.3</v>
      </c>
      <c r="E57" s="32">
        <v>0.1</v>
      </c>
      <c r="F57" s="32">
        <f>SUM(C57:E57)</f>
        <v>0.79999999999999993</v>
      </c>
      <c r="G57" s="35"/>
      <c r="H57" s="16"/>
      <c r="I57" s="16"/>
      <c r="J57" s="16"/>
      <c r="K57" s="4"/>
      <c r="L57" s="3"/>
      <c r="M57" s="3"/>
      <c r="N57" s="3"/>
      <c r="O57" s="3"/>
      <c r="P57" s="3"/>
      <c r="Q57" s="3"/>
      <c r="R57" s="3"/>
      <c r="S57" s="3"/>
    </row>
    <row r="58" spans="1:19" ht="15.75" thickBot="1" x14ac:dyDescent="0.3">
      <c r="A58" s="45"/>
      <c r="B58" s="16"/>
      <c r="C58" s="16"/>
      <c r="D58" s="16"/>
      <c r="E58" s="16"/>
      <c r="F58" s="16"/>
      <c r="G58" s="16"/>
      <c r="H58" s="16"/>
      <c r="I58" s="16"/>
      <c r="J58" s="16"/>
      <c r="K58" s="4"/>
      <c r="L58" s="3"/>
      <c r="M58" s="3"/>
      <c r="N58" s="3"/>
      <c r="O58" s="3"/>
      <c r="P58" s="3"/>
      <c r="Q58" s="3"/>
      <c r="R58" s="3"/>
      <c r="S58" s="3"/>
    </row>
    <row r="59" spans="1:19" ht="15.75" thickBot="1" x14ac:dyDescent="0.3">
      <c r="A59" s="49" t="s">
        <v>74</v>
      </c>
      <c r="B59" s="50"/>
      <c r="C59" s="50"/>
      <c r="D59" s="59"/>
      <c r="E59" s="16"/>
      <c r="F59" s="16"/>
      <c r="G59" s="16"/>
      <c r="H59" s="16"/>
      <c r="I59" s="16"/>
      <c r="J59" s="16"/>
      <c r="K59" s="4"/>
      <c r="L59" s="3"/>
      <c r="M59" s="3"/>
      <c r="N59" s="3"/>
      <c r="O59" s="3"/>
      <c r="P59" s="3"/>
      <c r="Q59" s="3"/>
      <c r="R59" s="3"/>
      <c r="S59" s="3"/>
    </row>
    <row r="60" spans="1:19" x14ac:dyDescent="0.25">
      <c r="A60" s="75" t="s">
        <v>69</v>
      </c>
      <c r="B60" s="102" t="s">
        <v>6</v>
      </c>
      <c r="C60" s="102" t="s">
        <v>7</v>
      </c>
      <c r="D60" s="96" t="s">
        <v>8</v>
      </c>
      <c r="E60" s="3"/>
      <c r="F60" s="16"/>
      <c r="G60" s="16"/>
      <c r="H60" s="16"/>
      <c r="I60" s="16"/>
      <c r="J60" s="16"/>
      <c r="K60" s="4"/>
      <c r="L60" s="3"/>
      <c r="M60" s="3"/>
      <c r="N60" s="3"/>
      <c r="O60" s="3"/>
      <c r="P60" s="3"/>
      <c r="Q60" s="3"/>
      <c r="R60" s="3"/>
      <c r="S60" s="3"/>
    </row>
    <row r="61" spans="1:19" x14ac:dyDescent="0.25">
      <c r="A61" s="56">
        <v>1</v>
      </c>
      <c r="B61" s="22">
        <f>((B66/B56)*(C56/$D$50)^(D56+E56)*($D$51/D56)^D56*($D$52/E56)^E56)^(1/F56)</f>
        <v>2.6170170273329609</v>
      </c>
      <c r="C61" s="22">
        <f>((B66/B56)*(D56/$D$51)^(C56+E56)*($D$50/C56)^C56*($D$52/E56)^E56)^(1/F56)</f>
        <v>3.8164831648605699</v>
      </c>
      <c r="D61" s="25">
        <f>((B66/B56)*(E56/$D$52)^(C56+D56)*($D$50/C56)^C56*($D$51/D56)^D56)^(1/F56)</f>
        <v>3.0531865318884561</v>
      </c>
      <c r="E61" s="3"/>
      <c r="F61" s="16"/>
      <c r="G61" s="16"/>
      <c r="H61" s="16"/>
      <c r="I61" s="16"/>
      <c r="J61" s="16"/>
      <c r="K61" s="4"/>
      <c r="L61" s="3"/>
      <c r="M61" s="3"/>
      <c r="N61" s="3"/>
      <c r="O61" s="3"/>
      <c r="P61" s="3"/>
      <c r="Q61" s="3"/>
      <c r="R61" s="3"/>
      <c r="S61" s="3"/>
    </row>
    <row r="62" spans="1:19" ht="15.75" thickBot="1" x14ac:dyDescent="0.3">
      <c r="A62" s="57">
        <v>2</v>
      </c>
      <c r="B62" s="32">
        <f>((B67/B57)*(C57/$D$50)^(D57+E57)*($D$51/D57)^D57*($D$52/E57)^E57)^(1/F57)</f>
        <v>3.4586709527468802</v>
      </c>
      <c r="C62" s="32">
        <f>(B67/B57*(D57/$D$51)^(C57+E57)*($D$50/C57)^C57*($D$52/E57)^E57)^(1/F57)</f>
        <v>5.6743820318503504</v>
      </c>
      <c r="D62" s="35">
        <f>((B67/B57)*(E57/$D$52)^(C57+D57)*($D$50/C57)^C57*($D$51/D57)^D57)^(1/F57)</f>
        <v>1.5131685418267617</v>
      </c>
      <c r="E62" s="3"/>
      <c r="F62" s="16"/>
      <c r="G62" s="16"/>
      <c r="H62" s="16"/>
      <c r="I62" s="16"/>
      <c r="J62" s="16"/>
      <c r="K62" s="4"/>
      <c r="L62" s="3"/>
      <c r="M62" s="3"/>
      <c r="N62" s="3"/>
      <c r="O62" s="3"/>
      <c r="P62" s="3"/>
      <c r="Q62" s="3"/>
      <c r="R62" s="3"/>
      <c r="S62" s="3"/>
    </row>
    <row r="63" spans="1:19" ht="15.75" thickBot="1" x14ac:dyDescent="0.3">
      <c r="A63" s="54"/>
      <c r="B63" s="22"/>
      <c r="C63" s="22"/>
      <c r="D63" s="22"/>
      <c r="E63" s="3"/>
      <c r="F63" s="16"/>
      <c r="G63" s="16"/>
      <c r="H63" s="16"/>
      <c r="I63" s="16"/>
      <c r="J63" s="16"/>
      <c r="K63" s="4"/>
      <c r="L63" s="3"/>
      <c r="M63" s="3"/>
      <c r="N63" s="3"/>
      <c r="O63" s="3"/>
      <c r="P63" s="3"/>
      <c r="Q63" s="3"/>
      <c r="R63" s="3"/>
      <c r="S63" s="3"/>
    </row>
    <row r="64" spans="1:19" ht="15.75" thickBot="1" x14ac:dyDescent="0.3">
      <c r="A64" s="49" t="s">
        <v>75</v>
      </c>
      <c r="B64" s="50"/>
      <c r="C64" s="50"/>
      <c r="D64" s="50"/>
      <c r="E64" s="59"/>
      <c r="F64" s="16"/>
      <c r="G64" s="16"/>
      <c r="H64" s="16"/>
      <c r="I64" s="16"/>
      <c r="J64" s="16"/>
      <c r="K64" s="4"/>
      <c r="L64" s="3"/>
      <c r="M64" s="3"/>
      <c r="N64" s="3"/>
      <c r="O64" s="3"/>
      <c r="P64" s="3"/>
      <c r="Q64" s="3"/>
      <c r="R64" s="3"/>
      <c r="S64" s="3"/>
    </row>
    <row r="65" spans="1:19" x14ac:dyDescent="0.25">
      <c r="A65" s="75" t="s">
        <v>69</v>
      </c>
      <c r="B65" s="109" t="s">
        <v>11</v>
      </c>
      <c r="C65" s="109"/>
      <c r="D65" s="110" t="s">
        <v>0</v>
      </c>
      <c r="E65" s="76"/>
      <c r="F65" s="16"/>
      <c r="G65" s="16"/>
      <c r="H65" s="16"/>
      <c r="I65" s="16"/>
      <c r="J65" s="16"/>
      <c r="K65" s="4"/>
      <c r="L65" s="3"/>
      <c r="M65" s="3"/>
      <c r="N65" s="3"/>
      <c r="O65" s="3"/>
      <c r="P65" s="3"/>
      <c r="Q65" s="3"/>
      <c r="R65" s="3"/>
      <c r="S65" s="3"/>
    </row>
    <row r="66" spans="1:19" x14ac:dyDescent="0.25">
      <c r="A66" s="56">
        <v>1</v>
      </c>
      <c r="B66" s="22">
        <f>(B56*C56^(C56)*D56^(D56)*E56^(E56)*$D$50^(D56+E56)*$D$51^(-D56)*$D$52^(-E56))^(1/(1-F56))</f>
        <v>8.7233900911098665</v>
      </c>
      <c r="C66" s="22"/>
      <c r="D66" s="22">
        <f>B56*(B61^C56)*(C61^D56)*(D61^E56)</f>
        <v>8.7233900911098665</v>
      </c>
      <c r="E66" s="17"/>
      <c r="F66" s="16"/>
      <c r="G66" s="16"/>
      <c r="H66" s="16"/>
      <c r="I66" s="16"/>
      <c r="J66" s="16"/>
      <c r="K66" s="4"/>
      <c r="L66" s="3"/>
      <c r="M66" s="3"/>
      <c r="N66" s="3"/>
      <c r="O66" s="3"/>
      <c r="P66" s="3"/>
      <c r="Q66" s="3"/>
      <c r="R66" s="3"/>
      <c r="S66" s="3"/>
    </row>
    <row r="67" spans="1:19" ht="15.75" thickBot="1" x14ac:dyDescent="0.3">
      <c r="A67" s="57">
        <v>2</v>
      </c>
      <c r="B67" s="32">
        <f>(B57*C57^(C57)*D57^(D57)*E57^(E57)*$D$50^(D57+E57)*$D$51^(-D57)*$D$52^(-E57))^(1/(1-F57))</f>
        <v>8.6466773818672014</v>
      </c>
      <c r="C67" s="32"/>
      <c r="D67" s="32">
        <f>B57*B62^C57*C62^D57*D62^E57</f>
        <v>8.6466773818671996</v>
      </c>
      <c r="E67" s="20"/>
      <c r="F67" s="16"/>
      <c r="G67" s="16"/>
      <c r="H67" s="16"/>
      <c r="I67" s="16"/>
      <c r="J67" s="16"/>
      <c r="K67" s="4"/>
      <c r="L67" s="3"/>
      <c r="M67" s="3"/>
      <c r="N67" s="3"/>
      <c r="O67" s="3"/>
      <c r="P67" s="3"/>
      <c r="Q67" s="3"/>
      <c r="R67" s="3"/>
      <c r="S67" s="3"/>
    </row>
    <row r="68" spans="1:19" ht="15.75" thickBot="1" x14ac:dyDescent="0.3">
      <c r="A68" s="56"/>
      <c r="B68" s="22"/>
      <c r="C68" s="22"/>
      <c r="D68" s="22"/>
      <c r="E68" s="16"/>
      <c r="F68" s="16"/>
      <c r="G68" s="16"/>
      <c r="H68" s="16"/>
      <c r="I68" s="16"/>
      <c r="J68" s="16"/>
      <c r="K68" s="4"/>
      <c r="L68" s="3"/>
      <c r="M68" s="3"/>
      <c r="N68" s="3"/>
      <c r="O68" s="3"/>
      <c r="P68" s="3"/>
      <c r="Q68" s="3"/>
      <c r="R68" s="3"/>
      <c r="S68" s="3"/>
    </row>
    <row r="69" spans="1:19" ht="15.75" thickBot="1" x14ac:dyDescent="0.3">
      <c r="A69" s="49" t="s">
        <v>81</v>
      </c>
      <c r="B69" s="50"/>
      <c r="C69" s="50"/>
      <c r="D69" s="59"/>
      <c r="E69" s="16"/>
      <c r="F69" s="16"/>
      <c r="G69" s="16"/>
      <c r="H69" s="16"/>
      <c r="I69" s="16"/>
      <c r="J69" s="16"/>
      <c r="K69" s="4"/>
      <c r="L69" s="3"/>
      <c r="M69" s="3"/>
      <c r="N69" s="3"/>
      <c r="O69" s="3"/>
      <c r="P69" s="3"/>
      <c r="Q69" s="3"/>
      <c r="R69" s="3"/>
      <c r="S69" s="3"/>
    </row>
    <row r="70" spans="1:19" x14ac:dyDescent="0.25">
      <c r="A70" s="75" t="s">
        <v>69</v>
      </c>
      <c r="B70" s="102" t="s">
        <v>91</v>
      </c>
      <c r="C70" s="112" t="s">
        <v>84</v>
      </c>
      <c r="D70" s="96" t="s">
        <v>66</v>
      </c>
      <c r="E70" s="16"/>
      <c r="F70" s="16"/>
      <c r="G70" s="16"/>
      <c r="H70" s="16"/>
      <c r="I70" s="16"/>
      <c r="J70" s="16"/>
      <c r="K70" s="4"/>
      <c r="L70" s="3"/>
      <c r="M70" s="3"/>
      <c r="N70" s="3"/>
      <c r="O70" s="3"/>
      <c r="P70" s="3"/>
      <c r="Q70" s="3"/>
      <c r="R70" s="3"/>
      <c r="S70" s="3"/>
    </row>
    <row r="71" spans="1:19" x14ac:dyDescent="0.25">
      <c r="A71" s="56">
        <v>1</v>
      </c>
      <c r="B71" s="22">
        <f>D50*B66-D50*B61-D51*C61-D52*D61</f>
        <v>91.595595956653412</v>
      </c>
      <c r="C71" s="22">
        <f>(1-$F$50)*B71-$F$51</f>
        <v>81.936036360988069</v>
      </c>
      <c r="D71" s="25">
        <f>$F$50*B71+$F$51</f>
        <v>9.6595595956653408</v>
      </c>
      <c r="E71" s="16"/>
      <c r="F71" s="16"/>
      <c r="G71" s="16"/>
      <c r="H71" s="16"/>
      <c r="I71" s="16"/>
      <c r="J71" s="16"/>
      <c r="K71" s="4"/>
      <c r="L71" s="3"/>
      <c r="M71" s="3"/>
      <c r="N71" s="3"/>
      <c r="O71" s="3"/>
      <c r="P71" s="3"/>
      <c r="Q71" s="3"/>
      <c r="R71" s="3"/>
      <c r="S71" s="3"/>
    </row>
    <row r="72" spans="1:19" ht="15.75" thickBot="1" x14ac:dyDescent="0.3">
      <c r="A72" s="57">
        <v>2</v>
      </c>
      <c r="B72" s="32">
        <f>D50*B67-D50*B62-D51*C62-D52*D62</f>
        <v>60.526741673070404</v>
      </c>
      <c r="C72" s="32">
        <f>(1-$F$50)*B72-$F$51</f>
        <v>53.974067505763365</v>
      </c>
      <c r="D72" s="35">
        <f>$F$50*B72+$F$51</f>
        <v>6.5526741673070408</v>
      </c>
      <c r="E72" s="16"/>
      <c r="F72" s="16"/>
      <c r="G72" s="16"/>
      <c r="H72" s="16"/>
      <c r="I72" s="16"/>
      <c r="J72" s="16"/>
      <c r="K72" s="4"/>
      <c r="L72" s="3"/>
      <c r="M72" s="3"/>
      <c r="N72" s="3"/>
      <c r="O72" s="3"/>
      <c r="P72" s="3"/>
      <c r="Q72" s="3"/>
      <c r="R72" s="3"/>
      <c r="S72" s="3"/>
    </row>
    <row r="73" spans="1:19" ht="15.75" thickBot="1" x14ac:dyDescent="0.3">
      <c r="A73" s="45"/>
      <c r="B73" s="16"/>
      <c r="C73" s="16"/>
      <c r="D73" s="16"/>
      <c r="E73" s="16"/>
      <c r="F73" s="16"/>
      <c r="G73" s="16"/>
      <c r="H73" s="16"/>
      <c r="I73" s="16"/>
      <c r="J73" s="16"/>
      <c r="K73" s="4"/>
      <c r="L73" s="3"/>
      <c r="M73" s="3"/>
      <c r="N73" s="3"/>
      <c r="O73" s="3"/>
      <c r="P73" s="3"/>
      <c r="Q73" s="3"/>
      <c r="R73" s="3"/>
      <c r="S73" s="3"/>
    </row>
    <row r="74" spans="1:19" ht="15.75" thickBot="1" x14ac:dyDescent="0.3">
      <c r="A74" s="49" t="s">
        <v>76</v>
      </c>
      <c r="B74" s="50"/>
      <c r="C74" s="50"/>
      <c r="D74" s="50"/>
      <c r="E74" s="50"/>
      <c r="F74" s="50"/>
      <c r="G74" s="50"/>
      <c r="H74" s="50"/>
      <c r="I74" s="50"/>
      <c r="J74" s="50"/>
      <c r="K74" s="9"/>
      <c r="L74" s="3"/>
      <c r="M74" s="3"/>
      <c r="N74" s="3"/>
      <c r="O74" s="3"/>
      <c r="P74" s="3"/>
      <c r="Q74" s="3"/>
      <c r="R74" s="3"/>
      <c r="S74" s="3"/>
    </row>
    <row r="75" spans="1:19" x14ac:dyDescent="0.25">
      <c r="A75" s="151" t="s">
        <v>69</v>
      </c>
      <c r="B75" s="113" t="s">
        <v>43</v>
      </c>
      <c r="C75" s="114" t="s">
        <v>44</v>
      </c>
      <c r="D75" s="113" t="s">
        <v>40</v>
      </c>
      <c r="E75" s="114" t="s">
        <v>45</v>
      </c>
      <c r="F75" s="113" t="s">
        <v>85</v>
      </c>
      <c r="G75" s="102" t="s">
        <v>86</v>
      </c>
      <c r="H75" s="102" t="s">
        <v>86</v>
      </c>
      <c r="I75" s="102" t="s">
        <v>86</v>
      </c>
      <c r="J75" s="96" t="s">
        <v>87</v>
      </c>
      <c r="K75" s="25"/>
      <c r="L75" s="3"/>
      <c r="M75" s="3"/>
      <c r="N75" s="3"/>
      <c r="O75" s="3"/>
      <c r="P75" s="3"/>
      <c r="Q75" s="3"/>
      <c r="R75" s="3"/>
      <c r="S75" s="3"/>
    </row>
    <row r="76" spans="1:19" x14ac:dyDescent="0.25">
      <c r="A76" s="136"/>
      <c r="B76" s="21" t="s">
        <v>17</v>
      </c>
      <c r="C76" s="23" t="s">
        <v>18</v>
      </c>
      <c r="D76" s="21" t="s">
        <v>20</v>
      </c>
      <c r="E76" s="23" t="s">
        <v>32</v>
      </c>
      <c r="F76" s="21" t="s">
        <v>21</v>
      </c>
      <c r="G76" s="22" t="s">
        <v>18</v>
      </c>
      <c r="H76" s="40" t="s">
        <v>90</v>
      </c>
      <c r="I76" s="22" t="s">
        <v>88</v>
      </c>
      <c r="J76" s="25" t="s">
        <v>92</v>
      </c>
      <c r="K76" s="25"/>
      <c r="L76" s="3"/>
      <c r="M76" s="3"/>
      <c r="N76" s="3"/>
      <c r="O76" s="3"/>
      <c r="P76" s="3"/>
      <c r="Q76" s="3"/>
      <c r="R76" s="3"/>
      <c r="S76" s="3"/>
    </row>
    <row r="77" spans="1:19" x14ac:dyDescent="0.25">
      <c r="A77" s="62">
        <v>1</v>
      </c>
      <c r="B77" s="21">
        <f>D50*F56*B66</f>
        <v>213.72305723219174</v>
      </c>
      <c r="C77" s="23">
        <f>D50*B61+D51*C61+D52*D61</f>
        <v>213.72305723219188</v>
      </c>
      <c r="D77" s="21">
        <f>F56*B66</f>
        <v>6.106373063776906</v>
      </c>
      <c r="E77" s="23">
        <f>B66-B71/D50</f>
        <v>6.1063730637769122</v>
      </c>
      <c r="F77" s="21">
        <f>D50*B66</f>
        <v>305.3186531888453</v>
      </c>
      <c r="G77" s="22">
        <f>D50*B61+D51*C61+D52*D61</f>
        <v>213.72305723219188</v>
      </c>
      <c r="H77" s="22">
        <f>D71</f>
        <v>9.6595595956653408</v>
      </c>
      <c r="I77" s="22">
        <f>C71</f>
        <v>81.936036360988069</v>
      </c>
      <c r="J77" s="25">
        <f>G77+H77+I77</f>
        <v>305.3186531888453</v>
      </c>
      <c r="K77" s="25"/>
      <c r="L77" s="3"/>
      <c r="M77" s="3"/>
      <c r="N77" s="3"/>
      <c r="O77" s="3"/>
      <c r="P77" s="3"/>
      <c r="Q77" s="3"/>
      <c r="R77" s="3"/>
      <c r="S77" s="3"/>
    </row>
    <row r="78" spans="1:19" ht="15.75" thickBot="1" x14ac:dyDescent="0.3">
      <c r="A78" s="63">
        <v>2</v>
      </c>
      <c r="B78" s="31">
        <f>D50*F57*B67</f>
        <v>242.10696669228162</v>
      </c>
      <c r="C78" s="33">
        <f>D50*B62+D51*C62+D52*D62</f>
        <v>242.10696669228165</v>
      </c>
      <c r="D78" s="31">
        <f>F57*B67</f>
        <v>6.9173419054937604</v>
      </c>
      <c r="E78" s="33">
        <f>B67-B72/D50</f>
        <v>6.9173419054937613</v>
      </c>
      <c r="F78" s="31">
        <f>D50*B67</f>
        <v>302.63370836535205</v>
      </c>
      <c r="G78" s="32">
        <f>D50*B62+D51*C62+D52*D62</f>
        <v>242.10696669228165</v>
      </c>
      <c r="H78" s="32">
        <f>D72</f>
        <v>6.5526741673070408</v>
      </c>
      <c r="I78" s="32">
        <f>C72</f>
        <v>53.974067505763365</v>
      </c>
      <c r="J78" s="35">
        <f>G78+H78+I78</f>
        <v>302.63370836535205</v>
      </c>
      <c r="K78" s="35"/>
      <c r="L78" s="3"/>
      <c r="M78" s="3"/>
      <c r="N78" s="3"/>
      <c r="O78" s="3"/>
      <c r="P78" s="3"/>
      <c r="Q78" s="3"/>
      <c r="R78" s="3"/>
      <c r="S78" s="3"/>
    </row>
    <row r="79" spans="1:19" ht="15.75" thickBot="1" x14ac:dyDescent="0.3">
      <c r="A79" s="45"/>
      <c r="B79" s="16"/>
      <c r="C79" s="16"/>
      <c r="D79" s="16"/>
      <c r="E79" s="16"/>
      <c r="F79" s="16"/>
      <c r="G79" s="16"/>
      <c r="H79" s="16"/>
      <c r="I79" s="16"/>
      <c r="J79" s="16"/>
      <c r="K79" s="17"/>
      <c r="L79" s="3"/>
      <c r="M79" s="3"/>
      <c r="N79" s="3"/>
      <c r="O79" s="3"/>
      <c r="P79" s="3"/>
      <c r="Q79" s="3"/>
      <c r="R79" s="3"/>
      <c r="S79" s="3"/>
    </row>
    <row r="80" spans="1:19" ht="15.75" thickBot="1" x14ac:dyDescent="0.3">
      <c r="A80" s="49" t="s">
        <v>77</v>
      </c>
      <c r="B80" s="79" t="s">
        <v>95</v>
      </c>
      <c r="C80" s="16"/>
      <c r="D80" s="16"/>
      <c r="E80" s="16"/>
      <c r="F80" s="16"/>
      <c r="G80" s="16"/>
      <c r="H80" s="16"/>
      <c r="I80" s="16"/>
      <c r="J80" s="16"/>
      <c r="K80" s="4"/>
      <c r="L80" s="3"/>
      <c r="M80" s="3"/>
      <c r="N80" s="3"/>
      <c r="O80" s="3"/>
      <c r="P80" s="3"/>
      <c r="Q80" s="3"/>
      <c r="R80" s="3"/>
      <c r="S80" s="3"/>
    </row>
    <row r="81" spans="1:19" x14ac:dyDescent="0.25">
      <c r="A81" s="44" t="s">
        <v>23</v>
      </c>
      <c r="B81" s="25">
        <f>F77+F78</f>
        <v>607.9523615541973</v>
      </c>
      <c r="C81" s="16"/>
      <c r="D81" s="16"/>
      <c r="E81" s="16"/>
      <c r="F81" s="16"/>
      <c r="G81" s="16"/>
      <c r="H81" s="16"/>
      <c r="I81" s="16"/>
      <c r="J81" s="16"/>
      <c r="K81" s="4"/>
      <c r="L81" s="3"/>
      <c r="M81" s="3"/>
      <c r="N81" s="3"/>
      <c r="O81" s="3"/>
      <c r="P81" s="3"/>
      <c r="Q81" s="3"/>
      <c r="R81" s="3"/>
      <c r="S81" s="3"/>
    </row>
    <row r="82" spans="1:19" x14ac:dyDescent="0.25">
      <c r="A82" s="44" t="s">
        <v>52</v>
      </c>
      <c r="B82" s="25">
        <f>G77+G78</f>
        <v>455.83002392447349</v>
      </c>
      <c r="C82" s="3"/>
      <c r="D82" s="16"/>
      <c r="G82" s="16"/>
      <c r="H82" s="16"/>
      <c r="I82" s="16"/>
      <c r="J82" s="16"/>
      <c r="K82" s="4"/>
      <c r="L82" s="3"/>
      <c r="M82" s="3"/>
      <c r="N82" s="3"/>
      <c r="O82" s="3"/>
      <c r="P82" s="3"/>
      <c r="Q82" s="3"/>
      <c r="R82" s="3"/>
      <c r="S82" s="3"/>
    </row>
    <row r="83" spans="1:19" x14ac:dyDescent="0.25">
      <c r="A83" s="44" t="s">
        <v>94</v>
      </c>
      <c r="B83" s="25">
        <f>H77+H78</f>
        <v>16.212233762972382</v>
      </c>
      <c r="C83" s="16"/>
      <c r="D83" s="16"/>
      <c r="E83" s="16"/>
      <c r="F83" s="16"/>
      <c r="G83" s="16"/>
      <c r="H83" s="16"/>
      <c r="I83" s="16"/>
      <c r="J83" s="16"/>
      <c r="K83" s="4"/>
      <c r="L83" s="3"/>
      <c r="M83" s="3"/>
      <c r="N83" s="3"/>
      <c r="O83" s="3"/>
      <c r="P83" s="3"/>
      <c r="Q83" s="3"/>
      <c r="R83" s="3"/>
      <c r="S83" s="3"/>
    </row>
    <row r="84" spans="1:19" x14ac:dyDescent="0.25">
      <c r="A84" s="44" t="s">
        <v>93</v>
      </c>
      <c r="B84" s="25">
        <f>I77+I78</f>
        <v>135.91010386675143</v>
      </c>
      <c r="C84" s="16"/>
      <c r="D84" s="16"/>
      <c r="E84" s="16"/>
      <c r="F84" s="16"/>
      <c r="G84" s="16"/>
      <c r="H84" s="16"/>
      <c r="I84" s="16"/>
      <c r="J84" s="16"/>
      <c r="K84" s="4"/>
      <c r="L84" s="3"/>
      <c r="M84" s="3"/>
      <c r="N84" s="3"/>
      <c r="O84" s="3"/>
      <c r="P84" s="3"/>
      <c r="Q84" s="3"/>
      <c r="R84" s="3"/>
      <c r="S84" s="3"/>
    </row>
    <row r="85" spans="1:19" ht="15.75" thickBot="1" x14ac:dyDescent="0.3">
      <c r="A85" s="46" t="s">
        <v>96</v>
      </c>
      <c r="B85" s="35">
        <f>B82+B84+B83</f>
        <v>607.9523615541973</v>
      </c>
      <c r="C85" s="37"/>
      <c r="D85" s="37"/>
      <c r="E85" s="37"/>
      <c r="F85" s="37"/>
      <c r="G85" s="37"/>
      <c r="H85" s="37"/>
      <c r="I85" s="37"/>
      <c r="J85" s="37"/>
      <c r="K85" s="41"/>
      <c r="L85" s="3"/>
      <c r="M85" s="3"/>
      <c r="N85" s="3"/>
      <c r="O85" s="3"/>
      <c r="P85" s="3"/>
      <c r="Q85" s="3"/>
      <c r="R85" s="3"/>
      <c r="S85" s="3"/>
    </row>
    <row r="86" spans="1:19" ht="15.75" thickBot="1" x14ac:dyDescent="0.3"/>
    <row r="87" spans="1:19" ht="15.75" thickBot="1" x14ac:dyDescent="0.3">
      <c r="A87" s="69" t="s">
        <v>123</v>
      </c>
      <c r="B87" s="70"/>
      <c r="C87" s="70"/>
      <c r="D87" s="70"/>
      <c r="E87" s="70"/>
      <c r="F87" s="70"/>
      <c r="G87" s="70"/>
      <c r="H87" s="70"/>
      <c r="I87" s="70"/>
      <c r="J87" s="70"/>
      <c r="K87" s="71"/>
    </row>
    <row r="88" spans="1:19" ht="15.75" thickBot="1" x14ac:dyDescent="0.3">
      <c r="A88" s="7" t="s">
        <v>72</v>
      </c>
      <c r="B88" s="101"/>
      <c r="C88" s="101"/>
      <c r="D88" s="100" t="s">
        <v>51</v>
      </c>
      <c r="E88" s="7" t="s">
        <v>62</v>
      </c>
      <c r="F88" s="103" t="s">
        <v>65</v>
      </c>
      <c r="G88" s="3"/>
      <c r="H88" s="3"/>
      <c r="I88" s="3"/>
      <c r="J88" s="3"/>
      <c r="K88" s="4"/>
    </row>
    <row r="89" spans="1:19" x14ac:dyDescent="0.25">
      <c r="A89" s="144" t="s">
        <v>28</v>
      </c>
      <c r="B89" s="145"/>
      <c r="C89" s="145"/>
      <c r="D89" s="96">
        <f>B5</f>
        <v>35</v>
      </c>
      <c r="E89" s="6" t="s">
        <v>63</v>
      </c>
      <c r="F89" s="92">
        <f>$E$5</f>
        <v>0.1</v>
      </c>
      <c r="G89" s="16"/>
      <c r="H89" s="16"/>
      <c r="I89" s="16"/>
      <c r="J89" s="16"/>
      <c r="K89" s="4"/>
    </row>
    <row r="90" spans="1:19" ht="15.75" thickBot="1" x14ac:dyDescent="0.3">
      <c r="A90" s="42" t="s">
        <v>29</v>
      </c>
      <c r="B90" s="43"/>
      <c r="C90" s="43"/>
      <c r="D90" s="25">
        <f>B6</f>
        <v>16</v>
      </c>
      <c r="E90" s="38" t="s">
        <v>64</v>
      </c>
      <c r="F90" s="93">
        <f>$E$6</f>
        <v>0.5</v>
      </c>
      <c r="G90" s="16"/>
      <c r="H90" s="16"/>
      <c r="I90" s="16"/>
      <c r="J90" s="16"/>
      <c r="K90" s="4"/>
    </row>
    <row r="91" spans="1:19" ht="15.75" thickBot="1" x14ac:dyDescent="0.3">
      <c r="A91" s="51" t="s">
        <v>13</v>
      </c>
      <c r="B91" s="52"/>
      <c r="C91" s="52"/>
      <c r="D91" s="35">
        <f>B7</f>
        <v>20</v>
      </c>
      <c r="E91" s="16"/>
      <c r="F91" s="16"/>
      <c r="G91" s="16"/>
      <c r="H91" s="16"/>
      <c r="I91" s="16"/>
      <c r="J91" s="16"/>
      <c r="K91" s="4"/>
    </row>
    <row r="92" spans="1:19" ht="15.75" thickBot="1" x14ac:dyDescent="0.3">
      <c r="A92" s="42"/>
      <c r="B92" s="43"/>
      <c r="C92" s="43"/>
      <c r="D92" s="16"/>
      <c r="E92" s="16"/>
      <c r="F92" s="16"/>
      <c r="G92" s="16"/>
      <c r="H92" s="16"/>
      <c r="I92" s="16"/>
      <c r="J92" s="16"/>
      <c r="K92" s="4"/>
    </row>
    <row r="93" spans="1:19" ht="15.75" thickBot="1" x14ac:dyDescent="0.3">
      <c r="A93" s="142" t="s">
        <v>73</v>
      </c>
      <c r="B93" s="143"/>
      <c r="C93" s="58" t="s">
        <v>16</v>
      </c>
      <c r="D93" s="50"/>
      <c r="E93" s="50"/>
      <c r="F93" s="50"/>
      <c r="G93" s="59"/>
      <c r="H93" s="16"/>
      <c r="I93" s="16"/>
      <c r="J93" s="16"/>
      <c r="K93" s="4"/>
    </row>
    <row r="94" spans="1:19" x14ac:dyDescent="0.25">
      <c r="A94" s="55" t="s">
        <v>69</v>
      </c>
      <c r="B94" s="22" t="s">
        <v>1</v>
      </c>
      <c r="C94" s="22" t="s">
        <v>2</v>
      </c>
      <c r="D94" s="22" t="s">
        <v>3</v>
      </c>
      <c r="E94" s="22" t="s">
        <v>14</v>
      </c>
      <c r="F94" s="43" t="s">
        <v>5</v>
      </c>
      <c r="G94" s="53"/>
      <c r="H94" s="16"/>
      <c r="I94" s="16"/>
      <c r="J94" s="16"/>
      <c r="K94" s="4"/>
    </row>
    <row r="95" spans="1:19" x14ac:dyDescent="0.25">
      <c r="A95" s="56">
        <v>1</v>
      </c>
      <c r="B95" s="22">
        <v>5</v>
      </c>
      <c r="C95" s="22">
        <v>0.2</v>
      </c>
      <c r="D95" s="22">
        <v>0.4</v>
      </c>
      <c r="E95" s="22">
        <v>0.2</v>
      </c>
      <c r="F95" s="22">
        <f>SUM(C95:E95)</f>
        <v>0.8</v>
      </c>
      <c r="G95" s="25"/>
      <c r="H95" s="16"/>
      <c r="I95" s="16"/>
      <c r="J95" s="16"/>
      <c r="K95" s="4"/>
    </row>
    <row r="96" spans="1:19" ht="15.75" thickBot="1" x14ac:dyDescent="0.3">
      <c r="A96" s="57">
        <v>2</v>
      </c>
      <c r="B96" s="32">
        <v>4.5</v>
      </c>
      <c r="C96" s="32">
        <v>0.3</v>
      </c>
      <c r="D96" s="32">
        <v>0.5</v>
      </c>
      <c r="E96" s="32">
        <v>0.1</v>
      </c>
      <c r="F96" s="32">
        <f>SUM(C96:E96)</f>
        <v>0.9</v>
      </c>
      <c r="G96" s="35"/>
      <c r="H96" s="16"/>
      <c r="I96" s="16"/>
      <c r="J96" s="16"/>
      <c r="K96" s="4"/>
    </row>
    <row r="97" spans="1:11" ht="15.75" thickBot="1" x14ac:dyDescent="0.3">
      <c r="A97" s="45"/>
      <c r="B97" s="16"/>
      <c r="C97" s="16"/>
      <c r="D97" s="16"/>
      <c r="E97" s="16"/>
      <c r="F97" s="16"/>
      <c r="G97" s="16"/>
      <c r="H97" s="16"/>
      <c r="I97" s="16"/>
      <c r="J97" s="16"/>
      <c r="K97" s="4"/>
    </row>
    <row r="98" spans="1:11" ht="15.75" thickBot="1" x14ac:dyDescent="0.3">
      <c r="A98" s="49" t="s">
        <v>74</v>
      </c>
      <c r="B98" s="50"/>
      <c r="C98" s="50"/>
      <c r="D98" s="59"/>
      <c r="E98" s="16"/>
      <c r="F98" s="16"/>
      <c r="G98" s="16"/>
      <c r="H98" s="16"/>
      <c r="I98" s="16"/>
      <c r="J98" s="16"/>
      <c r="K98" s="4"/>
    </row>
    <row r="99" spans="1:11" x14ac:dyDescent="0.25">
      <c r="A99" s="44" t="s">
        <v>69</v>
      </c>
      <c r="B99" s="22" t="s">
        <v>6</v>
      </c>
      <c r="C99" s="22" t="s">
        <v>7</v>
      </c>
      <c r="D99" s="25" t="s">
        <v>8</v>
      </c>
      <c r="E99" s="3"/>
      <c r="F99" s="16"/>
      <c r="G99" s="16"/>
      <c r="H99" s="16"/>
      <c r="I99" s="16"/>
      <c r="J99" s="16"/>
      <c r="K99" s="4"/>
    </row>
    <row r="100" spans="1:11" x14ac:dyDescent="0.25">
      <c r="A100" s="56">
        <v>1</v>
      </c>
      <c r="B100" s="22">
        <f>((B105/B95)*(C95/$D$89)^(D95+E95)*($D$90/D95)^D95*($D$91/E95)^E95)^(1/F95)</f>
        <v>0.66873469387755036</v>
      </c>
      <c r="C100" s="22">
        <f>((B105/B95)*(D95/$D$90)^(C95+E95)*($D$89/C95)^C95*($D$91/E95)^E95)^(1/F95)</f>
        <v>2.9257142857142857</v>
      </c>
      <c r="D100" s="25">
        <f>((B105/B95)*(E95/$D$91)^(C95+D95)*($D$89/C95)^C95*($D$90/D95)^D95)^(1/F95)</f>
        <v>1.1702857142857139</v>
      </c>
      <c r="E100" s="3"/>
      <c r="F100" s="16"/>
      <c r="G100" s="16"/>
      <c r="H100" s="16"/>
      <c r="I100" s="16"/>
      <c r="J100" s="16"/>
      <c r="K100" s="4"/>
    </row>
    <row r="101" spans="1:11" ht="15.75" thickBot="1" x14ac:dyDescent="0.3">
      <c r="A101" s="57">
        <v>2</v>
      </c>
      <c r="B101" s="32">
        <f>(B106/B96*(C96/$D$89)^(D96+E96)*($D$90/D96)^D96*($D$91/E96)^E96)^(1/F96)</f>
        <v>3.0113270028794781</v>
      </c>
      <c r="C101" s="32">
        <f>(B106/B96*(D96/$D$90)^(C96+E96)*($D$89/C96)^C96*($D$91/E96)^E96)^(1/F96)</f>
        <v>10.978796364664765</v>
      </c>
      <c r="D101" s="35">
        <f>((B106/B96)*(E96/$D$91)^(C96+D96)*($D$89/C96)^C96*($D$90/D96)^D96)^(1/F96)</f>
        <v>1.7566074183463631</v>
      </c>
      <c r="E101" s="3"/>
      <c r="F101" s="16"/>
      <c r="G101" s="16"/>
      <c r="H101" s="16"/>
      <c r="I101" s="16"/>
      <c r="J101" s="16"/>
      <c r="K101" s="4"/>
    </row>
    <row r="102" spans="1:11" ht="15.75" thickBot="1" x14ac:dyDescent="0.3">
      <c r="A102" s="54"/>
      <c r="B102" s="22"/>
      <c r="C102" s="22"/>
      <c r="D102" s="22"/>
      <c r="E102" s="3"/>
      <c r="F102" s="16"/>
      <c r="G102" s="16"/>
      <c r="H102" s="16"/>
      <c r="I102" s="16"/>
      <c r="J102" s="16"/>
      <c r="K102" s="4"/>
    </row>
    <row r="103" spans="1:11" ht="15.75" thickBot="1" x14ac:dyDescent="0.3">
      <c r="A103" s="49" t="s">
        <v>75</v>
      </c>
      <c r="B103" s="50"/>
      <c r="C103" s="50"/>
      <c r="D103" s="50"/>
      <c r="E103" s="59"/>
      <c r="F103" s="16"/>
      <c r="G103" s="16"/>
      <c r="H103" s="16"/>
      <c r="I103" s="16"/>
      <c r="J103" s="16"/>
      <c r="K103" s="4"/>
    </row>
    <row r="104" spans="1:11" x14ac:dyDescent="0.25">
      <c r="A104" s="44" t="s">
        <v>69</v>
      </c>
      <c r="B104" s="60" t="s">
        <v>11</v>
      </c>
      <c r="C104" s="60"/>
      <c r="D104" s="60" t="s">
        <v>31</v>
      </c>
      <c r="E104" s="61"/>
      <c r="F104" s="16"/>
      <c r="G104" s="16"/>
      <c r="H104" s="16"/>
      <c r="I104" s="16"/>
      <c r="J104" s="16"/>
      <c r="K104" s="4"/>
    </row>
    <row r="105" spans="1:11" x14ac:dyDescent="0.25">
      <c r="A105" s="56">
        <v>1</v>
      </c>
      <c r="B105" s="22">
        <f>(D90*B95^(1/F95)*C95^(C95/F95)*D95^(D95/F95)*E95^(E95/F95)*$D$89^(-C95/F95)*$D$90^(-D95/F95)*$D$91^(-E95/F95))^(F95/(1-F95))</f>
        <v>7.3142857142857105</v>
      </c>
      <c r="C105" s="22"/>
      <c r="D105" s="22">
        <f>B95*(B100^C95)*(C100^D95)*(D100^E95)</f>
        <v>7.3142857142857132</v>
      </c>
      <c r="E105" s="17"/>
      <c r="F105" s="16"/>
      <c r="G105" s="16"/>
      <c r="H105" s="16"/>
      <c r="I105" s="16"/>
      <c r="J105" s="16"/>
      <c r="K105" s="4"/>
    </row>
    <row r="106" spans="1:11" ht="15.75" thickBot="1" x14ac:dyDescent="0.3">
      <c r="A106" s="57">
        <v>2</v>
      </c>
      <c r="B106" s="32">
        <f>(D90*B96^(1/F96)*C96^(C96/(F96))*D96^(D96/(F96))*E96^(E96/(F96))*$D$89^(-C96/(F96))*$D$90^(-D96/(F96))*$D$91^(-E96/(F96)))^(F96/(1-F96))</f>
        <v>21.957592729329523</v>
      </c>
      <c r="C106" s="32"/>
      <c r="D106" s="32">
        <f>B96*B101^C96*C101^D96*D101^E96</f>
        <v>21.957592729329519</v>
      </c>
      <c r="E106" s="20"/>
      <c r="F106" s="16"/>
      <c r="G106" s="16"/>
      <c r="H106" s="16"/>
      <c r="I106" s="16"/>
      <c r="J106" s="16"/>
      <c r="K106" s="4"/>
    </row>
    <row r="107" spans="1:11" ht="15.75" thickBot="1" x14ac:dyDescent="0.3">
      <c r="A107" s="56"/>
      <c r="B107" s="22"/>
      <c r="C107" s="22"/>
      <c r="D107" s="22"/>
      <c r="E107" s="16"/>
      <c r="F107" s="16"/>
      <c r="G107" s="16"/>
      <c r="H107" s="16"/>
      <c r="I107" s="16"/>
      <c r="J107" s="16"/>
      <c r="K107" s="4"/>
    </row>
    <row r="108" spans="1:11" ht="15.75" thickBot="1" x14ac:dyDescent="0.3">
      <c r="A108" s="49" t="s">
        <v>81</v>
      </c>
      <c r="B108" s="50"/>
      <c r="C108" s="50"/>
      <c r="D108" s="59"/>
      <c r="E108" s="16"/>
      <c r="F108" s="16"/>
      <c r="G108" s="16"/>
      <c r="H108" s="16"/>
      <c r="I108" s="16"/>
      <c r="J108" s="16"/>
      <c r="K108" s="4"/>
    </row>
    <row r="109" spans="1:11" x14ac:dyDescent="0.25">
      <c r="A109" s="75" t="s">
        <v>69</v>
      </c>
      <c r="B109" s="102" t="s">
        <v>91</v>
      </c>
      <c r="C109" s="112" t="s">
        <v>84</v>
      </c>
      <c r="D109" s="96" t="s">
        <v>66</v>
      </c>
      <c r="E109" s="16"/>
      <c r="F109" s="16"/>
      <c r="G109" s="16"/>
      <c r="H109" s="16"/>
      <c r="I109" s="16"/>
      <c r="J109" s="16"/>
      <c r="K109" s="4"/>
    </row>
    <row r="110" spans="1:11" x14ac:dyDescent="0.25">
      <c r="A110" s="56">
        <v>1</v>
      </c>
      <c r="B110" s="22">
        <f>D90*B105-D89*B100-D90*C100-D91*D100</f>
        <v>23.40571428571425</v>
      </c>
      <c r="C110" s="22">
        <f>(1-$F$50)*B110-$F$51</f>
        <v>20.565142857142824</v>
      </c>
      <c r="D110" s="25">
        <f>$F$50*B110+$F$51</f>
        <v>2.8405714285714252</v>
      </c>
      <c r="E110" s="16"/>
      <c r="F110" s="16"/>
      <c r="G110" s="16"/>
      <c r="H110" s="16"/>
      <c r="I110" s="16"/>
      <c r="J110" s="16"/>
      <c r="K110" s="4"/>
    </row>
    <row r="111" spans="1:11" ht="15.75" thickBot="1" x14ac:dyDescent="0.3">
      <c r="A111" s="57">
        <v>2</v>
      </c>
      <c r="B111" s="32">
        <f>D90*B106-D89*B101-D90*C101-D91*D101</f>
        <v>35.132148366927133</v>
      </c>
      <c r="C111" s="32">
        <f>(1-$F$50)*B111-$F$51</f>
        <v>31.118933530234422</v>
      </c>
      <c r="D111" s="35">
        <f>$F$50*B111+$F$51</f>
        <v>4.013214836692713</v>
      </c>
      <c r="E111" s="16"/>
      <c r="F111" s="16"/>
      <c r="G111" s="16"/>
      <c r="H111" s="16"/>
      <c r="I111" s="16"/>
      <c r="J111" s="16"/>
      <c r="K111" s="4"/>
    </row>
    <row r="112" spans="1:11" ht="15.75" thickBot="1" x14ac:dyDescent="0.3">
      <c r="A112" s="45"/>
      <c r="B112" s="16"/>
      <c r="C112" s="16"/>
      <c r="D112" s="16"/>
      <c r="E112" s="16"/>
      <c r="F112" s="16"/>
      <c r="G112" s="16"/>
      <c r="H112" s="16"/>
      <c r="I112" s="16"/>
      <c r="J112" s="16"/>
      <c r="K112" s="4"/>
    </row>
    <row r="113" spans="1:11" ht="15.75" thickBot="1" x14ac:dyDescent="0.3">
      <c r="A113" s="49" t="s">
        <v>76</v>
      </c>
      <c r="B113" s="50"/>
      <c r="C113" s="50"/>
      <c r="D113" s="50"/>
      <c r="E113" s="50"/>
      <c r="F113" s="50"/>
      <c r="G113" s="50"/>
      <c r="H113" s="50"/>
      <c r="I113" s="50"/>
      <c r="J113" s="50"/>
      <c r="K113" s="9"/>
    </row>
    <row r="114" spans="1:11" x14ac:dyDescent="0.25">
      <c r="A114" s="151" t="s">
        <v>69</v>
      </c>
      <c r="B114" s="113" t="s">
        <v>43</v>
      </c>
      <c r="C114" s="114" t="s">
        <v>44</v>
      </c>
      <c r="D114" s="113" t="s">
        <v>40</v>
      </c>
      <c r="E114" s="114" t="s">
        <v>45</v>
      </c>
      <c r="F114" s="113" t="s">
        <v>85</v>
      </c>
      <c r="G114" s="102" t="s">
        <v>86</v>
      </c>
      <c r="H114" s="102" t="s">
        <v>86</v>
      </c>
      <c r="I114" s="102" t="s">
        <v>86</v>
      </c>
      <c r="J114" s="96" t="s">
        <v>87</v>
      </c>
      <c r="K114" s="25"/>
    </row>
    <row r="115" spans="1:11" x14ac:dyDescent="0.25">
      <c r="A115" s="136"/>
      <c r="B115" s="21" t="s">
        <v>17</v>
      </c>
      <c r="C115" s="23" t="s">
        <v>18</v>
      </c>
      <c r="D115" s="21" t="s">
        <v>20</v>
      </c>
      <c r="E115" s="23" t="s">
        <v>32</v>
      </c>
      <c r="F115" s="21" t="s">
        <v>21</v>
      </c>
      <c r="G115" s="22" t="s">
        <v>18</v>
      </c>
      <c r="H115" s="40" t="s">
        <v>90</v>
      </c>
      <c r="I115" s="22" t="s">
        <v>88</v>
      </c>
      <c r="J115" s="25" t="s">
        <v>92</v>
      </c>
      <c r="K115" s="25"/>
    </row>
    <row r="116" spans="1:11" x14ac:dyDescent="0.25">
      <c r="A116" s="62">
        <v>1</v>
      </c>
      <c r="B116" s="21">
        <f>D90*F95*B105</f>
        <v>93.6228571428571</v>
      </c>
      <c r="C116" s="23">
        <f>D89*B100+D90*C100+D91*D100</f>
        <v>93.622857142857114</v>
      </c>
      <c r="D116" s="21">
        <f>F95*B105</f>
        <v>5.8514285714285688</v>
      </c>
      <c r="E116" s="23">
        <f>B105-B110/D90</f>
        <v>5.8514285714285696</v>
      </c>
      <c r="F116" s="21">
        <f>D90*B105</f>
        <v>117.02857142857137</v>
      </c>
      <c r="G116" s="22">
        <f>D89*B100+D90*C100+D91*D100</f>
        <v>93.622857142857114</v>
      </c>
      <c r="H116" s="22">
        <f>D110</f>
        <v>2.8405714285714252</v>
      </c>
      <c r="I116" s="22">
        <f>C110</f>
        <v>20.565142857142824</v>
      </c>
      <c r="J116" s="25">
        <f>G116+H116+I116</f>
        <v>117.02857142857135</v>
      </c>
      <c r="K116" s="25"/>
    </row>
    <row r="117" spans="1:11" ht="15.75" thickBot="1" x14ac:dyDescent="0.3">
      <c r="A117" s="63">
        <v>2</v>
      </c>
      <c r="B117" s="31">
        <f>D90*F96*B106</f>
        <v>316.18933530234511</v>
      </c>
      <c r="C117" s="33">
        <f>D89*B101+D90*C101+D91*D101</f>
        <v>316.18933530234523</v>
      </c>
      <c r="D117" s="31">
        <f>F96*B106</f>
        <v>19.76183345639657</v>
      </c>
      <c r="E117" s="33">
        <f>B106-B111/D90</f>
        <v>19.761833456396577</v>
      </c>
      <c r="F117" s="31">
        <f>D90*B106</f>
        <v>351.32148366927237</v>
      </c>
      <c r="G117" s="32">
        <f>D89*B101+D90*C101+D91*D101</f>
        <v>316.18933530234523</v>
      </c>
      <c r="H117" s="32">
        <f>D111</f>
        <v>4.013214836692713</v>
      </c>
      <c r="I117" s="32">
        <f>C111</f>
        <v>31.118933530234422</v>
      </c>
      <c r="J117" s="35">
        <f>G117+H117+I117</f>
        <v>351.32148366927237</v>
      </c>
      <c r="K117" s="35"/>
    </row>
    <row r="118" spans="1:11" ht="15.75" thickBot="1" x14ac:dyDescent="0.3">
      <c r="A118" s="45"/>
      <c r="B118" s="16"/>
      <c r="C118" s="16"/>
      <c r="D118" s="16"/>
      <c r="E118" s="16"/>
      <c r="F118" s="16"/>
      <c r="G118" s="16"/>
      <c r="H118" s="16"/>
      <c r="I118" s="16"/>
      <c r="J118" s="16"/>
      <c r="K118" s="17"/>
    </row>
    <row r="119" spans="1:11" ht="15.75" thickBot="1" x14ac:dyDescent="0.3">
      <c r="A119" s="49" t="s">
        <v>77</v>
      </c>
      <c r="B119" s="79" t="s">
        <v>95</v>
      </c>
      <c r="C119" s="16"/>
      <c r="D119" s="16"/>
      <c r="E119" s="16"/>
      <c r="F119" s="16"/>
      <c r="G119" s="16"/>
      <c r="H119" s="16"/>
      <c r="I119" s="16"/>
      <c r="J119" s="16"/>
      <c r="K119" s="4"/>
    </row>
    <row r="120" spans="1:11" x14ac:dyDescent="0.25">
      <c r="A120" s="44" t="s">
        <v>23</v>
      </c>
      <c r="B120" s="25">
        <f>F116+F117</f>
        <v>468.35005509784372</v>
      </c>
      <c r="C120" s="16"/>
      <c r="D120" s="16"/>
      <c r="E120" s="16"/>
      <c r="F120" s="16"/>
      <c r="G120" s="16"/>
      <c r="H120" s="16"/>
      <c r="I120" s="16"/>
      <c r="J120" s="16"/>
      <c r="K120" s="4"/>
    </row>
    <row r="121" spans="1:11" x14ac:dyDescent="0.25">
      <c r="A121" s="44" t="s">
        <v>52</v>
      </c>
      <c r="B121" s="25">
        <f>G116+G117</f>
        <v>409.81219244520236</v>
      </c>
      <c r="C121" s="16"/>
      <c r="D121" s="16"/>
      <c r="E121" s="16"/>
      <c r="F121" s="16"/>
      <c r="G121" s="16"/>
      <c r="H121" s="16"/>
      <c r="I121" s="16"/>
      <c r="J121" s="16"/>
      <c r="K121" s="4"/>
    </row>
    <row r="122" spans="1:11" x14ac:dyDescent="0.25">
      <c r="A122" s="44" t="s">
        <v>94</v>
      </c>
      <c r="B122" s="25">
        <f>H116+H117</f>
        <v>6.8537862652641381</v>
      </c>
      <c r="C122" s="3"/>
      <c r="D122" s="16"/>
      <c r="E122" s="16"/>
      <c r="F122" s="16"/>
      <c r="G122" s="16"/>
      <c r="H122" s="16"/>
      <c r="I122" s="16"/>
      <c r="J122" s="16"/>
      <c r="K122" s="4"/>
    </row>
    <row r="123" spans="1:11" x14ac:dyDescent="0.25">
      <c r="A123" s="44" t="s">
        <v>93</v>
      </c>
      <c r="B123" s="25">
        <f>I116+I117</f>
        <v>51.684076387377246</v>
      </c>
      <c r="C123" s="16"/>
      <c r="D123" s="16"/>
      <c r="E123" s="16"/>
      <c r="F123" s="16"/>
      <c r="G123" s="16"/>
      <c r="H123" s="16"/>
      <c r="I123" s="16"/>
      <c r="J123" s="16"/>
      <c r="K123" s="4"/>
    </row>
    <row r="124" spans="1:11" ht="15.75" thickBot="1" x14ac:dyDescent="0.3">
      <c r="A124" s="46" t="s">
        <v>96</v>
      </c>
      <c r="B124" s="35">
        <f>B121+B123+B122</f>
        <v>468.35005509784378</v>
      </c>
      <c r="C124" s="37"/>
      <c r="D124" s="37"/>
      <c r="E124" s="37"/>
      <c r="F124" s="37"/>
      <c r="G124" s="37"/>
      <c r="H124" s="37"/>
      <c r="I124" s="37"/>
      <c r="J124" s="37"/>
      <c r="K124" s="41"/>
    </row>
    <row r="125" spans="1:11" ht="15.75" thickBot="1" x14ac:dyDescent="0.3"/>
    <row r="126" spans="1:11" ht="15.75" thickBot="1" x14ac:dyDescent="0.3">
      <c r="A126" s="69" t="s">
        <v>124</v>
      </c>
      <c r="B126" s="70"/>
      <c r="C126" s="70"/>
      <c r="D126" s="70"/>
      <c r="E126" s="70"/>
      <c r="F126" s="70"/>
      <c r="G126" s="70"/>
      <c r="H126" s="70"/>
      <c r="I126" s="70"/>
      <c r="J126" s="70"/>
      <c r="K126" s="71"/>
    </row>
    <row r="127" spans="1:11" ht="15.75" thickBot="1" x14ac:dyDescent="0.3">
      <c r="A127" s="7" t="s">
        <v>72</v>
      </c>
      <c r="B127" s="101"/>
      <c r="C127" s="101"/>
      <c r="D127" s="100" t="s">
        <v>51</v>
      </c>
      <c r="E127" s="7" t="s">
        <v>62</v>
      </c>
      <c r="F127" s="103" t="s">
        <v>65</v>
      </c>
      <c r="G127" s="3"/>
      <c r="H127" s="3"/>
      <c r="I127" s="3"/>
      <c r="J127" s="3"/>
      <c r="K127" s="4"/>
    </row>
    <row r="128" spans="1:11" x14ac:dyDescent="0.25">
      <c r="A128" s="144" t="s">
        <v>28</v>
      </c>
      <c r="B128" s="145"/>
      <c r="C128" s="145"/>
      <c r="D128" s="104">
        <f>B5</f>
        <v>35</v>
      </c>
      <c r="E128" s="6" t="s">
        <v>63</v>
      </c>
      <c r="F128" s="92">
        <f>$E$5</f>
        <v>0.1</v>
      </c>
      <c r="G128" s="16"/>
      <c r="H128" s="16"/>
      <c r="I128" s="16"/>
      <c r="J128" s="16"/>
      <c r="K128" s="4"/>
    </row>
    <row r="129" spans="1:11" ht="15.75" thickBot="1" x14ac:dyDescent="0.3">
      <c r="A129" s="42" t="s">
        <v>12</v>
      </c>
      <c r="B129" s="43"/>
      <c r="C129" s="43"/>
      <c r="D129" s="105">
        <f>B6</f>
        <v>16</v>
      </c>
      <c r="E129" s="38" t="s">
        <v>64</v>
      </c>
      <c r="F129" s="93">
        <f>$E$6</f>
        <v>0.5</v>
      </c>
      <c r="G129" s="16"/>
      <c r="H129" s="16"/>
      <c r="I129" s="16"/>
      <c r="J129" s="16"/>
      <c r="K129" s="4"/>
    </row>
    <row r="130" spans="1:11" ht="15.75" thickBot="1" x14ac:dyDescent="0.3">
      <c r="A130" s="51" t="s">
        <v>30</v>
      </c>
      <c r="B130" s="52"/>
      <c r="C130" s="52"/>
      <c r="D130" s="106">
        <f>B7</f>
        <v>20</v>
      </c>
      <c r="E130" s="16"/>
      <c r="F130" s="16"/>
      <c r="G130" s="16"/>
      <c r="H130" s="16"/>
      <c r="I130" s="16"/>
      <c r="J130" s="16"/>
      <c r="K130" s="4"/>
    </row>
    <row r="131" spans="1:11" ht="15.75" thickBot="1" x14ac:dyDescent="0.3">
      <c r="A131" s="42"/>
      <c r="B131" s="43"/>
      <c r="C131" s="43"/>
      <c r="D131" s="16"/>
      <c r="E131" s="16"/>
      <c r="F131" s="16"/>
      <c r="G131" s="16"/>
      <c r="H131" s="16"/>
      <c r="I131" s="16"/>
      <c r="J131" s="16"/>
      <c r="K131" s="4"/>
    </row>
    <row r="132" spans="1:11" ht="15.75" thickBot="1" x14ac:dyDescent="0.3">
      <c r="A132" s="142" t="s">
        <v>73</v>
      </c>
      <c r="B132" s="143"/>
      <c r="C132" s="58" t="s">
        <v>16</v>
      </c>
      <c r="D132" s="50"/>
      <c r="E132" s="50"/>
      <c r="F132" s="50"/>
      <c r="G132" s="59"/>
      <c r="H132" s="16"/>
      <c r="I132" s="16"/>
      <c r="J132" s="16"/>
      <c r="K132" s="4"/>
    </row>
    <row r="133" spans="1:11" x14ac:dyDescent="0.25">
      <c r="A133" s="55" t="s">
        <v>69</v>
      </c>
      <c r="B133" s="22" t="s">
        <v>1</v>
      </c>
      <c r="C133" s="22" t="s">
        <v>2</v>
      </c>
      <c r="D133" s="22" t="s">
        <v>3</v>
      </c>
      <c r="E133" s="22" t="s">
        <v>14</v>
      </c>
      <c r="F133" s="43" t="s">
        <v>5</v>
      </c>
      <c r="G133" s="53"/>
      <c r="H133" s="16"/>
      <c r="I133" s="16"/>
      <c r="J133" s="16"/>
      <c r="K133" s="4"/>
    </row>
    <row r="134" spans="1:11" x14ac:dyDescent="0.25">
      <c r="A134" s="56">
        <v>1</v>
      </c>
      <c r="B134" s="22">
        <v>6</v>
      </c>
      <c r="C134" s="22">
        <v>0.3</v>
      </c>
      <c r="D134" s="22">
        <v>0.1</v>
      </c>
      <c r="E134" s="22">
        <v>0.1</v>
      </c>
      <c r="F134" s="22">
        <f>SUM(C134:E134)</f>
        <v>0.5</v>
      </c>
      <c r="G134" s="25"/>
      <c r="H134" s="16"/>
      <c r="I134" s="16"/>
      <c r="J134" s="16"/>
      <c r="K134" s="4"/>
    </row>
    <row r="135" spans="1:11" ht="15.75" thickBot="1" x14ac:dyDescent="0.3">
      <c r="A135" s="57">
        <v>2</v>
      </c>
      <c r="B135" s="32">
        <v>5</v>
      </c>
      <c r="C135" s="32">
        <v>0.5</v>
      </c>
      <c r="D135" s="32">
        <v>0.1</v>
      </c>
      <c r="E135" s="32">
        <v>0.15</v>
      </c>
      <c r="F135" s="32">
        <f>SUM(C135:E135)</f>
        <v>0.75</v>
      </c>
      <c r="G135" s="35"/>
      <c r="H135" s="16"/>
      <c r="I135" s="16"/>
      <c r="J135" s="16"/>
      <c r="K135" s="4"/>
    </row>
    <row r="136" spans="1:11" ht="15.75" thickBot="1" x14ac:dyDescent="0.3">
      <c r="A136" s="45"/>
      <c r="B136" s="16"/>
      <c r="C136" s="16"/>
      <c r="D136" s="16"/>
      <c r="E136" s="16"/>
      <c r="F136" s="16"/>
      <c r="G136" s="16"/>
      <c r="H136" s="16"/>
      <c r="I136" s="16"/>
      <c r="J136" s="16"/>
      <c r="K136" s="4"/>
    </row>
    <row r="137" spans="1:11" ht="15.75" thickBot="1" x14ac:dyDescent="0.3">
      <c r="A137" s="49" t="s">
        <v>74</v>
      </c>
      <c r="B137" s="50"/>
      <c r="C137" s="50"/>
      <c r="D137" s="59"/>
      <c r="E137" s="16"/>
      <c r="F137" s="16"/>
      <c r="G137" s="16"/>
      <c r="H137" s="16"/>
      <c r="I137" s="16"/>
      <c r="J137" s="16"/>
      <c r="K137" s="4"/>
    </row>
    <row r="138" spans="1:11" x14ac:dyDescent="0.25">
      <c r="A138" s="44" t="s">
        <v>69</v>
      </c>
      <c r="B138" s="22" t="s">
        <v>6</v>
      </c>
      <c r="C138" s="22" t="s">
        <v>7</v>
      </c>
      <c r="D138" s="25" t="s">
        <v>8</v>
      </c>
      <c r="E138" s="3"/>
      <c r="F138" s="16"/>
      <c r="G138" s="16"/>
      <c r="H138" s="16"/>
      <c r="I138" s="16"/>
      <c r="J138" s="16"/>
      <c r="K138" s="4"/>
    </row>
    <row r="139" spans="1:11" x14ac:dyDescent="0.25">
      <c r="A139" s="56">
        <v>1</v>
      </c>
      <c r="B139" s="22">
        <f>((B144/B134)*(C134/$D$128)^(D134+E134)*($D$129/D134)^D134*($D$130/E134)^E134)^(1/F134)</f>
        <v>0.89169767243817566</v>
      </c>
      <c r="C139" s="22">
        <f>((B144/B134)*(D134/$D$129)^(C134+E134)*($D$128/C134)^C134*($D$130/E134)^E134)^(1/F134)</f>
        <v>0.65019621948617057</v>
      </c>
      <c r="D139" s="25">
        <f>((B144/B134)*(E134/$D$130)^(C134+D134)*($D$128/C134)^C134*($D$129/D134)^D134)^(1/F134)</f>
        <v>0.52015697558893625</v>
      </c>
      <c r="E139" s="3"/>
      <c r="F139" s="16"/>
      <c r="G139" s="16"/>
      <c r="H139" s="16"/>
      <c r="I139" s="16"/>
      <c r="J139" s="16"/>
      <c r="K139" s="4"/>
    </row>
    <row r="140" spans="1:11" ht="15.75" thickBot="1" x14ac:dyDescent="0.3">
      <c r="A140" s="57">
        <v>2</v>
      </c>
      <c r="B140" s="32">
        <f>(B145/B135*(C135/$D$128)^(D135+E135)*($D$129/D135)^D135*($D$130/E135)^E135)^(1/F135)</f>
        <v>2.0327999667088714</v>
      </c>
      <c r="C140" s="32">
        <f>(B145/B135*(D135/$D$129)^(C135+E135)*($D$128/C135)^C135*($D$130/E135)^E135)^(1/F135)</f>
        <v>0.88934998543513166</v>
      </c>
      <c r="D140" s="35">
        <f>((B145/B135)*(E135/$D$130)^(C135+D135)*($D$128/C135)^C135*($D$129/D135)^D135)^(1/F135)</f>
        <v>1.0672199825221569</v>
      </c>
      <c r="E140" s="3"/>
      <c r="F140" s="16"/>
      <c r="G140" s="16"/>
      <c r="H140" s="16"/>
      <c r="I140" s="16"/>
      <c r="J140" s="16"/>
      <c r="K140" s="4"/>
    </row>
    <row r="141" spans="1:11" ht="15.75" thickBot="1" x14ac:dyDescent="0.3">
      <c r="A141" s="54"/>
      <c r="B141" s="22"/>
      <c r="C141" s="22"/>
      <c r="D141" s="22"/>
      <c r="E141" s="3"/>
      <c r="F141" s="16"/>
      <c r="G141" s="16"/>
      <c r="H141" s="16"/>
      <c r="I141" s="16"/>
      <c r="J141" s="16"/>
      <c r="K141" s="4"/>
    </row>
    <row r="142" spans="1:11" ht="15.75" thickBot="1" x14ac:dyDescent="0.3">
      <c r="A142" s="49" t="s">
        <v>75</v>
      </c>
      <c r="B142" s="50"/>
      <c r="C142" s="50"/>
      <c r="D142" s="50"/>
      <c r="E142" s="59"/>
      <c r="F142" s="16"/>
      <c r="G142" s="16"/>
      <c r="H142" s="16"/>
      <c r="I142" s="16"/>
      <c r="J142" s="16"/>
      <c r="K142" s="4"/>
    </row>
    <row r="143" spans="1:11" x14ac:dyDescent="0.25">
      <c r="A143" s="44" t="s">
        <v>69</v>
      </c>
      <c r="B143" s="60" t="s">
        <v>11</v>
      </c>
      <c r="C143" s="60"/>
      <c r="D143" s="60" t="s">
        <v>31</v>
      </c>
      <c r="E143" s="61"/>
      <c r="F143" s="16"/>
      <c r="G143" s="16"/>
      <c r="H143" s="16"/>
      <c r="I143" s="16"/>
      <c r="J143" s="16"/>
      <c r="K143" s="4"/>
    </row>
    <row r="144" spans="1:11" x14ac:dyDescent="0.25">
      <c r="A144" s="56">
        <v>1</v>
      </c>
      <c r="B144" s="22">
        <f>(D130*B134^(1/F134)*C134^(C134/F134)*D134^(D134/F134)*E134^(E134/F134)*$D$128^(-C134/F134)*$D$129^(-D134/F134)*$D$130^(-E134/F134))^(F134/(1-F134))</f>
        <v>5.2015697558893592</v>
      </c>
      <c r="C144" s="22"/>
      <c r="D144" s="22">
        <f>B134*(B139^C134)*(C139^D134)*(D139^E134)</f>
        <v>5.2015697558893592</v>
      </c>
      <c r="E144" s="17"/>
      <c r="F144" s="16"/>
      <c r="G144" s="16"/>
      <c r="H144" s="16"/>
      <c r="I144" s="16"/>
      <c r="J144" s="16"/>
      <c r="K144" s="4"/>
    </row>
    <row r="145" spans="1:11" ht="15.75" thickBot="1" x14ac:dyDescent="0.3">
      <c r="A145" s="57">
        <v>2</v>
      </c>
      <c r="B145" s="32">
        <f>(D130*B135^(1/F135)*C135^(C135/(F135))*D135^(D135/(F135))*E135^(E135/(F135))*$D$128^(-C135/(F135))*$D$129^(-D135/(F135))*$D$130^(-E135/(F135)))^(F135/(1-F135))</f>
        <v>7.114799883481048</v>
      </c>
      <c r="C145" s="32"/>
      <c r="D145" s="32">
        <f>B135*B140^C135*C140^D135*D140^E135</f>
        <v>7.1147998834810489</v>
      </c>
      <c r="E145" s="20"/>
      <c r="F145" s="16"/>
      <c r="G145" s="16"/>
      <c r="H145" s="16"/>
      <c r="I145" s="16"/>
      <c r="J145" s="16"/>
      <c r="K145" s="4"/>
    </row>
    <row r="146" spans="1:11" ht="15.75" thickBot="1" x14ac:dyDescent="0.3">
      <c r="A146" s="56"/>
      <c r="B146" s="22"/>
      <c r="C146" s="22"/>
      <c r="D146" s="22"/>
      <c r="E146" s="16"/>
      <c r="F146" s="16"/>
      <c r="G146" s="16"/>
      <c r="H146" s="16"/>
      <c r="I146" s="16"/>
      <c r="J146" s="16"/>
      <c r="K146" s="4"/>
    </row>
    <row r="147" spans="1:11" ht="15.75" thickBot="1" x14ac:dyDescent="0.3">
      <c r="A147" s="49" t="s">
        <v>81</v>
      </c>
      <c r="B147" s="50"/>
      <c r="C147" s="50"/>
      <c r="D147" s="59"/>
      <c r="E147" s="16"/>
      <c r="F147" s="16"/>
      <c r="G147" s="16"/>
      <c r="H147" s="16"/>
      <c r="I147" s="16"/>
      <c r="J147" s="16"/>
      <c r="K147" s="4"/>
    </row>
    <row r="148" spans="1:11" x14ac:dyDescent="0.25">
      <c r="A148" s="75" t="s">
        <v>69</v>
      </c>
      <c r="B148" s="102" t="s">
        <v>91</v>
      </c>
      <c r="C148" s="112" t="s">
        <v>84</v>
      </c>
      <c r="D148" s="96" t="s">
        <v>66</v>
      </c>
      <c r="E148" s="16"/>
      <c r="F148" s="16"/>
      <c r="G148" s="16"/>
      <c r="H148" s="16"/>
      <c r="I148" s="16"/>
      <c r="J148" s="16"/>
      <c r="K148" s="4"/>
    </row>
    <row r="149" spans="1:11" x14ac:dyDescent="0.25">
      <c r="A149" s="56">
        <v>1</v>
      </c>
      <c r="B149" s="22">
        <f>D130*B144-D128*B139-D129*C139-D130*D139</f>
        <v>52.015697558893585</v>
      </c>
      <c r="C149" s="22">
        <f>(1-$F$50)*B149-$F$51</f>
        <v>46.314127803004226</v>
      </c>
      <c r="D149" s="25">
        <f>$F$50*B149+$F$51</f>
        <v>5.7015697558893592</v>
      </c>
      <c r="E149" s="16"/>
      <c r="F149" s="16"/>
      <c r="G149" s="16"/>
      <c r="H149" s="16"/>
      <c r="I149" s="16"/>
      <c r="J149" s="16"/>
      <c r="K149" s="4"/>
    </row>
    <row r="150" spans="1:11" ht="15.75" thickBot="1" x14ac:dyDescent="0.3">
      <c r="A150" s="57">
        <v>2</v>
      </c>
      <c r="B150" s="32">
        <f>D130*B145-D128*B140-D129*C140-D130*D140</f>
        <v>35.573999417405219</v>
      </c>
      <c r="C150" s="32">
        <f>(1-$F$50)*B150-$F$51</f>
        <v>31.516599475664698</v>
      </c>
      <c r="D150" s="35">
        <f>$F$50*B150+$F$51</f>
        <v>4.0573999417405222</v>
      </c>
      <c r="E150" s="16"/>
      <c r="F150" s="16"/>
      <c r="G150" s="16"/>
      <c r="H150" s="16"/>
      <c r="I150" s="16"/>
      <c r="J150" s="16"/>
      <c r="K150" s="4"/>
    </row>
    <row r="151" spans="1:11" ht="15.75" thickBot="1" x14ac:dyDescent="0.3">
      <c r="A151" s="45"/>
      <c r="B151" s="16"/>
      <c r="C151" s="16"/>
      <c r="D151" s="16"/>
      <c r="E151" s="16"/>
      <c r="F151" s="16"/>
      <c r="G151" s="16"/>
      <c r="H151" s="16"/>
      <c r="I151" s="16"/>
      <c r="J151" s="16"/>
      <c r="K151" s="4"/>
    </row>
    <row r="152" spans="1:11" ht="15.75" thickBot="1" x14ac:dyDescent="0.3">
      <c r="A152" s="49" t="s">
        <v>76</v>
      </c>
      <c r="B152" s="50"/>
      <c r="C152" s="50"/>
      <c r="D152" s="50"/>
      <c r="E152" s="50"/>
      <c r="F152" s="50"/>
      <c r="G152" s="50"/>
      <c r="H152" s="50"/>
      <c r="I152" s="50"/>
      <c r="J152" s="50"/>
      <c r="K152" s="9"/>
    </row>
    <row r="153" spans="1:11" x14ac:dyDescent="0.25">
      <c r="A153" s="151" t="s">
        <v>69</v>
      </c>
      <c r="B153" s="113" t="s">
        <v>43</v>
      </c>
      <c r="C153" s="114" t="s">
        <v>44</v>
      </c>
      <c r="D153" s="113" t="s">
        <v>40</v>
      </c>
      <c r="E153" s="114" t="s">
        <v>45</v>
      </c>
      <c r="F153" s="113" t="s">
        <v>85</v>
      </c>
      <c r="G153" s="102" t="s">
        <v>86</v>
      </c>
      <c r="H153" s="102" t="s">
        <v>86</v>
      </c>
      <c r="I153" s="102" t="s">
        <v>86</v>
      </c>
      <c r="J153" s="96" t="s">
        <v>87</v>
      </c>
      <c r="K153" s="25"/>
    </row>
    <row r="154" spans="1:11" x14ac:dyDescent="0.25">
      <c r="A154" s="136"/>
      <c r="B154" s="21" t="s">
        <v>17</v>
      </c>
      <c r="C154" s="23" t="s">
        <v>18</v>
      </c>
      <c r="D154" s="21" t="s">
        <v>20</v>
      </c>
      <c r="E154" s="23" t="s">
        <v>32</v>
      </c>
      <c r="F154" s="21" t="s">
        <v>21</v>
      </c>
      <c r="G154" s="22" t="s">
        <v>18</v>
      </c>
      <c r="H154" s="40" t="s">
        <v>90</v>
      </c>
      <c r="I154" s="22" t="s">
        <v>88</v>
      </c>
      <c r="J154" s="25" t="s">
        <v>92</v>
      </c>
      <c r="K154" s="25"/>
    </row>
    <row r="155" spans="1:11" x14ac:dyDescent="0.25">
      <c r="A155" s="62">
        <v>1</v>
      </c>
      <c r="B155" s="21">
        <f>D130*F134*B144</f>
        <v>52.015697558893592</v>
      </c>
      <c r="C155" s="23">
        <f>D128*B139+D129*C139+D130*D139</f>
        <v>52.015697558893599</v>
      </c>
      <c r="D155" s="21">
        <f>F134*B144</f>
        <v>2.6007848779446796</v>
      </c>
      <c r="E155" s="23">
        <f>B144-B149/D130</f>
        <v>2.6007848779446801</v>
      </c>
      <c r="F155" s="21">
        <f>D130*B144</f>
        <v>104.03139511778718</v>
      </c>
      <c r="G155" s="22">
        <f>D128*B139+D129*C139+D130*D139</f>
        <v>52.015697558893599</v>
      </c>
      <c r="H155" s="22">
        <f>D149</f>
        <v>5.7015697558893592</v>
      </c>
      <c r="I155" s="22">
        <f>C149</f>
        <v>46.314127803004226</v>
      </c>
      <c r="J155" s="25">
        <f>G155+H155+I155</f>
        <v>104.03139511778718</v>
      </c>
      <c r="K155" s="25"/>
    </row>
    <row r="156" spans="1:11" ht="15.75" thickBot="1" x14ac:dyDescent="0.3">
      <c r="A156" s="63">
        <v>2</v>
      </c>
      <c r="B156" s="31">
        <f>D130*F135*B145</f>
        <v>106.72199825221571</v>
      </c>
      <c r="C156" s="33">
        <f>D128*B140+D129*C140+D130*D140</f>
        <v>106.72199825221574</v>
      </c>
      <c r="D156" s="31">
        <f>F135*B145</f>
        <v>5.336099912610786</v>
      </c>
      <c r="E156" s="33">
        <f>B145-B150/D130</f>
        <v>5.3360999126107869</v>
      </c>
      <c r="F156" s="31">
        <f>D130*B145</f>
        <v>142.29599766962096</v>
      </c>
      <c r="G156" s="32">
        <f>D128*B140+D129*C140+D130*D140</f>
        <v>106.72199825221574</v>
      </c>
      <c r="H156" s="32">
        <f>D150</f>
        <v>4.0573999417405222</v>
      </c>
      <c r="I156" s="32">
        <f>C150</f>
        <v>31.516599475664698</v>
      </c>
      <c r="J156" s="35">
        <f>G156+H156+I156</f>
        <v>142.29599766962096</v>
      </c>
      <c r="K156" s="35"/>
    </row>
    <row r="157" spans="1:11" ht="15.75" thickBot="1" x14ac:dyDescent="0.3">
      <c r="A157" s="45"/>
      <c r="B157" s="16"/>
      <c r="C157" s="16"/>
      <c r="D157" s="16"/>
      <c r="E157" s="16"/>
      <c r="F157" s="16"/>
      <c r="G157" s="16"/>
      <c r="H157" s="16"/>
      <c r="I157" s="16"/>
      <c r="J157" s="16"/>
      <c r="K157" s="17"/>
    </row>
    <row r="158" spans="1:11" ht="15.75" thickBot="1" x14ac:dyDescent="0.3">
      <c r="A158" s="49" t="s">
        <v>77</v>
      </c>
      <c r="B158" s="79" t="s">
        <v>95</v>
      </c>
      <c r="C158" s="16"/>
      <c r="D158" s="16"/>
      <c r="E158" s="16"/>
      <c r="F158" s="16"/>
      <c r="G158" s="16"/>
      <c r="H158" s="16"/>
      <c r="I158" s="16"/>
      <c r="J158" s="16"/>
      <c r="K158" s="4"/>
    </row>
    <row r="159" spans="1:11" x14ac:dyDescent="0.25">
      <c r="A159" s="44" t="s">
        <v>23</v>
      </c>
      <c r="B159" s="25">
        <f>F155+F156</f>
        <v>246.32739278740814</v>
      </c>
      <c r="C159" s="16"/>
      <c r="D159" s="16"/>
      <c r="E159" s="16"/>
      <c r="F159" s="16"/>
      <c r="G159" s="16"/>
      <c r="H159" s="16"/>
      <c r="I159" s="16"/>
      <c r="J159" s="16"/>
      <c r="K159" s="4"/>
    </row>
    <row r="160" spans="1:11" x14ac:dyDescent="0.25">
      <c r="A160" s="44" t="s">
        <v>52</v>
      </c>
      <c r="B160" s="25">
        <f>G155+G156</f>
        <v>158.73769581110935</v>
      </c>
      <c r="C160" s="16"/>
      <c r="D160" s="16"/>
      <c r="E160" s="16"/>
      <c r="F160" s="16"/>
      <c r="G160" s="16"/>
      <c r="H160" s="16"/>
      <c r="I160" s="16"/>
      <c r="J160" s="16"/>
      <c r="K160" s="4"/>
    </row>
    <row r="161" spans="1:11" x14ac:dyDescent="0.25">
      <c r="A161" s="44" t="s">
        <v>94</v>
      </c>
      <c r="B161" s="25">
        <f>H155+H156</f>
        <v>9.7589696976298814</v>
      </c>
      <c r="C161" s="3"/>
      <c r="D161" s="16"/>
      <c r="E161" s="16"/>
      <c r="F161" s="16"/>
      <c r="G161" s="16"/>
      <c r="H161" s="16"/>
      <c r="I161" s="16"/>
      <c r="J161" s="16"/>
      <c r="K161" s="4"/>
    </row>
    <row r="162" spans="1:11" x14ac:dyDescent="0.25">
      <c r="A162" s="44" t="s">
        <v>93</v>
      </c>
      <c r="B162" s="25">
        <f>I155+I156</f>
        <v>77.830727278668917</v>
      </c>
      <c r="C162" s="16"/>
      <c r="D162" s="16"/>
      <c r="E162" s="16"/>
      <c r="F162" s="16"/>
      <c r="G162" s="16"/>
      <c r="H162" s="16"/>
      <c r="I162" s="16"/>
      <c r="J162" s="16"/>
      <c r="K162" s="4"/>
    </row>
    <row r="163" spans="1:11" ht="15.75" thickBot="1" x14ac:dyDescent="0.3">
      <c r="A163" s="46" t="s">
        <v>96</v>
      </c>
      <c r="B163" s="35">
        <f>B160+B162+B161</f>
        <v>246.32739278740814</v>
      </c>
      <c r="C163" s="37"/>
      <c r="D163" s="37"/>
      <c r="E163" s="37"/>
      <c r="F163" s="37"/>
      <c r="G163" s="37"/>
      <c r="H163" s="37"/>
      <c r="I163" s="37"/>
      <c r="J163" s="37"/>
      <c r="K163" s="41"/>
    </row>
    <row r="164" spans="1:11" ht="15.75" thickBot="1" x14ac:dyDescent="0.3"/>
    <row r="165" spans="1:11" ht="15.75" thickBot="1" x14ac:dyDescent="0.3">
      <c r="A165" s="72" t="s">
        <v>125</v>
      </c>
      <c r="B165" s="73"/>
      <c r="C165" s="73"/>
      <c r="D165" s="73"/>
      <c r="E165" s="70"/>
      <c r="F165" s="70"/>
      <c r="G165" s="70"/>
      <c r="H165" s="70"/>
      <c r="I165" s="70"/>
      <c r="J165" s="70"/>
      <c r="K165" s="71"/>
    </row>
    <row r="166" spans="1:11" ht="15.75" thickBot="1" x14ac:dyDescent="0.3">
      <c r="A166" s="7" t="s">
        <v>72</v>
      </c>
      <c r="B166" s="101"/>
      <c r="C166" s="101"/>
      <c r="D166" s="100" t="s">
        <v>51</v>
      </c>
      <c r="E166" s="7" t="s">
        <v>62</v>
      </c>
      <c r="F166" s="103" t="s">
        <v>65</v>
      </c>
      <c r="G166" s="3"/>
      <c r="H166" s="3"/>
      <c r="I166" s="3"/>
      <c r="J166" s="3"/>
      <c r="K166" s="4"/>
    </row>
    <row r="167" spans="1:11" x14ac:dyDescent="0.25">
      <c r="A167" s="144" t="s">
        <v>28</v>
      </c>
      <c r="B167" s="145"/>
      <c r="C167" s="145"/>
      <c r="D167" s="104">
        <f>B5</f>
        <v>35</v>
      </c>
      <c r="E167" s="6" t="s">
        <v>63</v>
      </c>
      <c r="F167" s="92">
        <f>$E$5</f>
        <v>0.1</v>
      </c>
      <c r="G167" s="16"/>
      <c r="I167" s="16"/>
      <c r="J167" s="16"/>
      <c r="K167" s="4"/>
    </row>
    <row r="168" spans="1:11" ht="15.75" thickBot="1" x14ac:dyDescent="0.3">
      <c r="A168" s="42" t="s">
        <v>12</v>
      </c>
      <c r="B168" s="43"/>
      <c r="C168" s="43"/>
      <c r="D168" s="105">
        <f>B6</f>
        <v>16</v>
      </c>
      <c r="E168" s="38" t="s">
        <v>64</v>
      </c>
      <c r="F168" s="93">
        <f>$E$6</f>
        <v>0.5</v>
      </c>
      <c r="G168" s="16"/>
      <c r="H168" s="16"/>
      <c r="I168" s="16"/>
      <c r="J168" s="16"/>
      <c r="K168" s="4"/>
    </row>
    <row r="169" spans="1:11" x14ac:dyDescent="0.25">
      <c r="A169" s="42" t="s">
        <v>13</v>
      </c>
      <c r="B169" s="43"/>
      <c r="C169" s="43"/>
      <c r="D169" s="105">
        <f>B7</f>
        <v>20</v>
      </c>
      <c r="E169" s="16"/>
      <c r="F169" s="16"/>
      <c r="G169" s="16"/>
      <c r="H169" s="16"/>
      <c r="I169" s="16"/>
      <c r="J169" s="16"/>
      <c r="K169" s="4"/>
    </row>
    <row r="170" spans="1:11" ht="15.75" thickBot="1" x14ac:dyDescent="0.3">
      <c r="A170" s="74" t="s">
        <v>38</v>
      </c>
      <c r="B170" s="19"/>
      <c r="C170" s="37"/>
      <c r="D170" s="106">
        <f>B8</f>
        <v>27</v>
      </c>
      <c r="E170" s="16"/>
      <c r="F170" s="16"/>
      <c r="G170" s="16"/>
      <c r="H170" s="16"/>
      <c r="I170" s="16"/>
      <c r="J170" s="16"/>
      <c r="K170" s="4"/>
    </row>
    <row r="171" spans="1:11" ht="15.75" thickBot="1" x14ac:dyDescent="0.3">
      <c r="A171" s="42"/>
      <c r="B171" s="43"/>
      <c r="C171" s="43"/>
      <c r="D171" s="16"/>
      <c r="E171" s="16"/>
      <c r="F171" s="16"/>
      <c r="G171" s="16"/>
      <c r="H171" s="16"/>
      <c r="I171" s="16"/>
      <c r="J171" s="16"/>
      <c r="K171" s="4"/>
    </row>
    <row r="172" spans="1:11" ht="15.75" thickBot="1" x14ac:dyDescent="0.3">
      <c r="A172" s="142" t="s">
        <v>73</v>
      </c>
      <c r="B172" s="143"/>
      <c r="C172" s="58" t="s">
        <v>16</v>
      </c>
      <c r="D172" s="50"/>
      <c r="E172" s="50"/>
      <c r="F172" s="50"/>
      <c r="G172" s="59"/>
      <c r="H172" s="16"/>
      <c r="I172" s="16"/>
      <c r="J172" s="16"/>
      <c r="K172" s="4"/>
    </row>
    <row r="173" spans="1:11" x14ac:dyDescent="0.25">
      <c r="A173" s="55" t="s">
        <v>69</v>
      </c>
      <c r="B173" s="22" t="s">
        <v>1</v>
      </c>
      <c r="C173" s="22" t="s">
        <v>2</v>
      </c>
      <c r="D173" s="22" t="s">
        <v>3</v>
      </c>
      <c r="E173" s="22" t="s">
        <v>14</v>
      </c>
      <c r="F173" s="43" t="s">
        <v>5</v>
      </c>
      <c r="G173" s="53"/>
      <c r="H173" s="16"/>
      <c r="I173" s="16"/>
      <c r="J173" s="16"/>
      <c r="K173" s="4"/>
    </row>
    <row r="174" spans="1:11" x14ac:dyDescent="0.25">
      <c r="A174" s="56">
        <v>1</v>
      </c>
      <c r="B174" s="22">
        <v>2.2000000000000002</v>
      </c>
      <c r="C174" s="22">
        <v>0.4</v>
      </c>
      <c r="D174" s="22">
        <v>0.2</v>
      </c>
      <c r="E174" s="22">
        <v>0.1</v>
      </c>
      <c r="F174" s="22">
        <f>SUM(C174:E174)</f>
        <v>0.70000000000000007</v>
      </c>
      <c r="G174" s="25"/>
      <c r="H174" s="16"/>
      <c r="I174" s="16"/>
      <c r="J174" s="16"/>
      <c r="K174" s="4"/>
    </row>
    <row r="175" spans="1:11" ht="15.75" thickBot="1" x14ac:dyDescent="0.3">
      <c r="A175" s="57">
        <v>2</v>
      </c>
      <c r="B175" s="32">
        <v>2</v>
      </c>
      <c r="C175" s="32">
        <v>0.3</v>
      </c>
      <c r="D175" s="32">
        <v>0.1</v>
      </c>
      <c r="E175" s="32">
        <v>0.4</v>
      </c>
      <c r="F175" s="32">
        <f>SUM(C175:E175)</f>
        <v>0.8</v>
      </c>
      <c r="G175" s="35"/>
      <c r="H175" s="16"/>
      <c r="I175" s="16"/>
      <c r="J175" s="16"/>
      <c r="K175" s="4"/>
    </row>
    <row r="176" spans="1:11" ht="15.75" thickBot="1" x14ac:dyDescent="0.3">
      <c r="A176" s="45"/>
      <c r="B176" s="16"/>
      <c r="C176" s="16"/>
      <c r="D176" s="16"/>
      <c r="E176" s="16"/>
      <c r="F176" s="16"/>
      <c r="G176" s="16"/>
      <c r="H176" s="16"/>
      <c r="I176" s="16"/>
      <c r="J176" s="16"/>
      <c r="K176" s="4"/>
    </row>
    <row r="177" spans="1:11" ht="15.75" thickBot="1" x14ac:dyDescent="0.3">
      <c r="A177" s="49" t="s">
        <v>74</v>
      </c>
      <c r="B177" s="50"/>
      <c r="C177" s="50"/>
      <c r="D177" s="59"/>
      <c r="E177" s="16"/>
      <c r="F177" s="16"/>
      <c r="G177" s="16"/>
      <c r="H177" s="16"/>
      <c r="I177" s="16"/>
      <c r="J177" s="16"/>
      <c r="K177" s="4"/>
    </row>
    <row r="178" spans="1:11" x14ac:dyDescent="0.25">
      <c r="A178" s="44" t="s">
        <v>69</v>
      </c>
      <c r="B178" s="22" t="s">
        <v>6</v>
      </c>
      <c r="C178" s="22" t="s">
        <v>7</v>
      </c>
      <c r="D178" s="25" t="s">
        <v>8</v>
      </c>
      <c r="E178" s="3"/>
      <c r="F178" s="16"/>
      <c r="G178" s="16"/>
      <c r="H178" s="16"/>
      <c r="I178" s="16"/>
      <c r="J178" s="16"/>
      <c r="K178" s="4"/>
    </row>
    <row r="179" spans="1:11" x14ac:dyDescent="0.25">
      <c r="A179" s="56">
        <v>1</v>
      </c>
      <c r="B179" s="22">
        <f>((B184/B174)*(C174/$D$167)^(D174+E174)*($D$168/D174)^D174*($D$169/E174)^E174)^(1/F174)</f>
        <v>0.22158109437997392</v>
      </c>
      <c r="C179" s="22">
        <f>((B184/B174)*(D174/$D$168)^(C174+E174)*($D$167/C174)^C174*($D$169/E174)^E174)^(1/F174)</f>
        <v>0.24235432197809675</v>
      </c>
      <c r="D179" s="25">
        <f>((B184/B174)*(E174/$D$169)^(C174+D174)*($D$167/C174)^C174*($D$168/D174)^D174)^(1/F174)</f>
        <v>9.6941728791238649E-2</v>
      </c>
      <c r="E179" s="16"/>
      <c r="F179" s="16"/>
      <c r="G179" s="16"/>
      <c r="H179" s="16"/>
      <c r="I179" s="16"/>
      <c r="J179" s="16"/>
      <c r="K179" s="4"/>
    </row>
    <row r="180" spans="1:11" ht="15.75" thickBot="1" x14ac:dyDescent="0.3">
      <c r="A180" s="57">
        <v>2</v>
      </c>
      <c r="B180" s="32">
        <f>(B185/B175*(C175/$D$167)^(D175+E175)*($D$168/D175)^D175*($D$169/E175)^E175)^(1/F175)</f>
        <v>9.8764717316403669E-2</v>
      </c>
      <c r="C180" s="32">
        <f>(B185/B175*(D175/$D$168)^(C175+E175)*($D$167/C175)^C175*($D$169/E175)^E175)^(1/F175)</f>
        <v>7.2015939709877741E-2</v>
      </c>
      <c r="D180" s="35">
        <f>((B185/B175)*(E175/$D$169)^(C175+D175)*($D$167/C175)^C175*($D$168/D175)^D175)^(1/F175)</f>
        <v>0.23045100707160851</v>
      </c>
      <c r="E180" s="16"/>
      <c r="F180" s="16"/>
      <c r="G180" s="16"/>
      <c r="H180" s="16"/>
      <c r="I180" s="16"/>
      <c r="J180" s="16"/>
      <c r="K180" s="4"/>
    </row>
    <row r="181" spans="1:11" ht="15.75" thickBot="1" x14ac:dyDescent="0.3">
      <c r="A181" s="54"/>
      <c r="B181" s="22"/>
      <c r="C181" s="22"/>
      <c r="D181" s="22"/>
      <c r="E181" s="3"/>
      <c r="F181" s="16"/>
      <c r="G181" s="16"/>
      <c r="H181" s="16"/>
      <c r="I181" s="16"/>
      <c r="J181" s="16"/>
      <c r="K181" s="4"/>
    </row>
    <row r="182" spans="1:11" ht="15.75" thickBot="1" x14ac:dyDescent="0.3">
      <c r="A182" s="49" t="s">
        <v>75</v>
      </c>
      <c r="B182" s="50"/>
      <c r="C182" s="50"/>
      <c r="D182" s="50"/>
      <c r="E182" s="59"/>
      <c r="F182" s="16"/>
      <c r="G182" s="16"/>
      <c r="H182" s="16"/>
      <c r="I182" s="16"/>
      <c r="J182" s="16"/>
      <c r="K182" s="4"/>
    </row>
    <row r="183" spans="1:11" x14ac:dyDescent="0.25">
      <c r="A183" s="44" t="s">
        <v>69</v>
      </c>
      <c r="B183" s="60" t="s">
        <v>11</v>
      </c>
      <c r="C183" s="60"/>
      <c r="D183" s="60" t="s">
        <v>31</v>
      </c>
      <c r="E183" s="61"/>
      <c r="F183" s="16"/>
      <c r="G183" s="16"/>
      <c r="H183" s="16"/>
      <c r="I183" s="16"/>
      <c r="J183" s="16"/>
      <c r="K183" s="4"/>
    </row>
    <row r="184" spans="1:11" x14ac:dyDescent="0.25">
      <c r="A184" s="56">
        <v>1</v>
      </c>
      <c r="B184" s="115">
        <f>(D170*B174^(1/F174)*C174^(C174/F174)*D174^(D174/F174)*E174^(E174/F174)*$D$167^(-C174/F174)*$D$168^(-D174/F174)*$D$169^(-E174/F174))^(F174/(1-F174))</f>
        <v>0.71808687993510079</v>
      </c>
      <c r="C184" s="22"/>
      <c r="D184" s="22">
        <f>B174*(B179^C174)*(C179^D174)*(D179^E174)</f>
        <v>0.71808687993510067</v>
      </c>
      <c r="E184" s="17"/>
      <c r="F184" s="16"/>
      <c r="G184" s="16"/>
      <c r="H184" s="16"/>
      <c r="I184" s="16"/>
      <c r="J184" s="16"/>
      <c r="K184" s="4"/>
    </row>
    <row r="185" spans="1:11" ht="15.75" thickBot="1" x14ac:dyDescent="0.3">
      <c r="A185" s="57">
        <v>2</v>
      </c>
      <c r="B185" s="32">
        <f>(D170*B175^(1/F175)*C175^(C175/(F175))*D175^(D175/(F175))*E175^(E175/(F175))*$D$167^(-C175/(F175))*$D$168^(-D175/(F175))*$D$169^(-E175/(F175)))^(F175/(1-F175))</f>
        <v>0.42676112420668222</v>
      </c>
      <c r="C185" s="32"/>
      <c r="D185" s="32">
        <f>B175*B180^C175*C180^D175*D180^E175</f>
        <v>0.42676112420668222</v>
      </c>
      <c r="E185" s="20"/>
      <c r="F185" s="16"/>
      <c r="G185" s="16"/>
      <c r="H185" s="16"/>
      <c r="I185" s="16"/>
      <c r="J185" s="16"/>
      <c r="K185" s="4"/>
    </row>
    <row r="186" spans="1:11" ht="15.75" thickBot="1" x14ac:dyDescent="0.3">
      <c r="A186" s="56"/>
      <c r="B186" s="22"/>
      <c r="C186" s="22"/>
      <c r="D186" s="22"/>
      <c r="E186" s="16"/>
      <c r="F186" s="16"/>
      <c r="G186" s="16"/>
      <c r="H186" s="16"/>
      <c r="I186" s="16"/>
      <c r="J186" s="16"/>
      <c r="K186" s="4"/>
    </row>
    <row r="187" spans="1:11" ht="15.75" thickBot="1" x14ac:dyDescent="0.3">
      <c r="A187" s="49" t="s">
        <v>81</v>
      </c>
      <c r="B187" s="50"/>
      <c r="C187" s="50"/>
      <c r="D187" s="59"/>
      <c r="E187" s="16"/>
      <c r="F187" s="16"/>
      <c r="G187" s="16"/>
      <c r="H187" s="16"/>
      <c r="I187" s="16"/>
      <c r="J187" s="16"/>
      <c r="K187" s="4"/>
    </row>
    <row r="188" spans="1:11" x14ac:dyDescent="0.25">
      <c r="A188" s="75" t="s">
        <v>69</v>
      </c>
      <c r="B188" s="102" t="s">
        <v>91</v>
      </c>
      <c r="C188" s="112" t="s">
        <v>84</v>
      </c>
      <c r="D188" s="96" t="s">
        <v>66</v>
      </c>
      <c r="E188" s="16"/>
      <c r="F188" s="16"/>
      <c r="G188" s="16"/>
      <c r="H188" s="16"/>
      <c r="I188" s="16"/>
      <c r="J188" s="16"/>
      <c r="K188" s="4"/>
    </row>
    <row r="189" spans="1:11" x14ac:dyDescent="0.25">
      <c r="A189" s="56">
        <v>1</v>
      </c>
      <c r="B189" s="22">
        <f>D170*B184-D167*B179-D168*C179-D169*D179</f>
        <v>5.8165037274743119</v>
      </c>
      <c r="C189" s="22">
        <f>(1-$F$50)*B189-$F$51</f>
        <v>4.734853354726881</v>
      </c>
      <c r="D189" s="25">
        <f>$F$50*B189+$F$51</f>
        <v>1.0816503727474314</v>
      </c>
      <c r="E189" s="16"/>
      <c r="F189" s="16"/>
      <c r="G189" s="16"/>
      <c r="H189" s="16"/>
      <c r="I189" s="16"/>
      <c r="J189" s="16"/>
      <c r="K189" s="4"/>
    </row>
    <row r="190" spans="1:11" ht="15.75" thickBot="1" x14ac:dyDescent="0.3">
      <c r="A190" s="57">
        <v>2</v>
      </c>
      <c r="B190" s="32">
        <f>D170*B185-D167*B180-D168*C180-D169*D180</f>
        <v>2.3045100707160788</v>
      </c>
      <c r="C190" s="32">
        <f>(1-$F$50)*B190-$F$51</f>
        <v>1.5740590636444711</v>
      </c>
      <c r="D190" s="35">
        <f>$F$50*B190+$F$51</f>
        <v>0.73045100707160793</v>
      </c>
      <c r="E190" s="16"/>
      <c r="F190" s="16"/>
      <c r="G190" s="16"/>
      <c r="H190" s="16"/>
      <c r="I190" s="16"/>
      <c r="J190" s="16"/>
      <c r="K190" s="4"/>
    </row>
    <row r="191" spans="1:11" ht="15.75" thickBot="1" x14ac:dyDescent="0.3">
      <c r="A191" s="45"/>
      <c r="B191" s="16"/>
      <c r="C191" s="16"/>
      <c r="D191" s="16"/>
      <c r="E191" s="16"/>
      <c r="F191" s="16"/>
      <c r="G191" s="16"/>
      <c r="H191" s="16"/>
      <c r="I191" s="16"/>
      <c r="J191" s="16"/>
      <c r="K191" s="4"/>
    </row>
    <row r="192" spans="1:11" ht="15.75" thickBot="1" x14ac:dyDescent="0.3">
      <c r="A192" s="49" t="s">
        <v>76</v>
      </c>
      <c r="B192" s="50"/>
      <c r="C192" s="50"/>
      <c r="D192" s="50"/>
      <c r="E192" s="50"/>
      <c r="F192" s="50"/>
      <c r="G192" s="50"/>
      <c r="H192" s="50"/>
      <c r="I192" s="50"/>
      <c r="J192" s="50"/>
      <c r="K192" s="9"/>
    </row>
    <row r="193" spans="1:11" x14ac:dyDescent="0.25">
      <c r="A193" s="151" t="s">
        <v>69</v>
      </c>
      <c r="B193" s="113" t="s">
        <v>43</v>
      </c>
      <c r="C193" s="114" t="s">
        <v>44</v>
      </c>
      <c r="D193" s="113" t="s">
        <v>40</v>
      </c>
      <c r="E193" s="114" t="s">
        <v>45</v>
      </c>
      <c r="F193" s="113" t="s">
        <v>85</v>
      </c>
      <c r="G193" s="102" t="s">
        <v>86</v>
      </c>
      <c r="H193" s="102" t="s">
        <v>86</v>
      </c>
      <c r="I193" s="102" t="s">
        <v>86</v>
      </c>
      <c r="J193" s="96" t="s">
        <v>87</v>
      </c>
      <c r="K193" s="25"/>
    </row>
    <row r="194" spans="1:11" x14ac:dyDescent="0.25">
      <c r="A194" s="136"/>
      <c r="B194" s="21" t="s">
        <v>17</v>
      </c>
      <c r="C194" s="23" t="s">
        <v>18</v>
      </c>
      <c r="D194" s="21" t="s">
        <v>20</v>
      </c>
      <c r="E194" s="23" t="s">
        <v>32</v>
      </c>
      <c r="F194" s="21" t="s">
        <v>21</v>
      </c>
      <c r="G194" s="22" t="s">
        <v>18</v>
      </c>
      <c r="H194" s="40" t="s">
        <v>90</v>
      </c>
      <c r="I194" s="22" t="s">
        <v>88</v>
      </c>
      <c r="J194" s="25" t="s">
        <v>92</v>
      </c>
      <c r="K194" s="25"/>
    </row>
    <row r="195" spans="1:11" x14ac:dyDescent="0.25">
      <c r="A195" s="62">
        <v>1</v>
      </c>
      <c r="B195" s="21">
        <f>D170*F174*B184</f>
        <v>13.571842030773407</v>
      </c>
      <c r="C195" s="23">
        <f>D167*B179+D168*C179+D169*D179</f>
        <v>13.571842030773409</v>
      </c>
      <c r="D195" s="21">
        <f>F174*B184</f>
        <v>0.50266081595457057</v>
      </c>
      <c r="E195" s="23">
        <f>B184-B189/D170</f>
        <v>0.50266081595457068</v>
      </c>
      <c r="F195" s="21">
        <f>D170*B184</f>
        <v>19.38834575824772</v>
      </c>
      <c r="G195" s="22">
        <f>D167*B179+D168*C179+D169*D179</f>
        <v>13.571842030773409</v>
      </c>
      <c r="H195" s="22">
        <f>D189</f>
        <v>1.0816503727474314</v>
      </c>
      <c r="I195" s="22">
        <f>C189</f>
        <v>4.734853354726881</v>
      </c>
      <c r="J195" s="25">
        <f>G195+H195+I195</f>
        <v>19.38834575824772</v>
      </c>
      <c r="K195" s="25"/>
    </row>
    <row r="196" spans="1:11" ht="15.75" thickBot="1" x14ac:dyDescent="0.3">
      <c r="A196" s="63">
        <v>2</v>
      </c>
      <c r="B196" s="31">
        <f>D170*F175*B185</f>
        <v>9.2180402828643366</v>
      </c>
      <c r="C196" s="33">
        <f>D167*B180+D168*C180+D169*D180</f>
        <v>9.218040282864342</v>
      </c>
      <c r="D196" s="31">
        <f>F175*B185</f>
        <v>0.3414088993653458</v>
      </c>
      <c r="E196" s="33">
        <f>B185-B190/D170</f>
        <v>0.34140889936534596</v>
      </c>
      <c r="F196" s="31">
        <f>D170*B185</f>
        <v>11.522550353580421</v>
      </c>
      <c r="G196" s="32">
        <f>D167*B180+D168*C180+D169*D180</f>
        <v>9.218040282864342</v>
      </c>
      <c r="H196" s="32">
        <f>D190</f>
        <v>0.73045100707160793</v>
      </c>
      <c r="I196" s="32">
        <f>C190</f>
        <v>1.5740590636444711</v>
      </c>
      <c r="J196" s="35">
        <f>G196+H196+I196</f>
        <v>11.522550353580421</v>
      </c>
      <c r="K196" s="35"/>
    </row>
    <row r="197" spans="1:11" ht="15.75" thickBot="1" x14ac:dyDescent="0.3">
      <c r="A197" s="45"/>
      <c r="B197" s="16"/>
      <c r="C197" s="16"/>
      <c r="D197" s="16"/>
      <c r="E197" s="16"/>
      <c r="F197" s="16"/>
      <c r="G197" s="16"/>
      <c r="H197" s="16"/>
      <c r="I197" s="16"/>
      <c r="J197" s="16"/>
      <c r="K197" s="17"/>
    </row>
    <row r="198" spans="1:11" ht="15.75" thickBot="1" x14ac:dyDescent="0.3">
      <c r="A198" s="49" t="s">
        <v>77</v>
      </c>
      <c r="B198" s="79" t="s">
        <v>95</v>
      </c>
      <c r="C198" s="16"/>
      <c r="D198" s="16"/>
      <c r="E198" s="16"/>
      <c r="F198" s="16"/>
      <c r="G198" s="16"/>
      <c r="H198" s="16"/>
      <c r="I198" s="16"/>
      <c r="J198" s="16"/>
      <c r="K198" s="4"/>
    </row>
    <row r="199" spans="1:11" x14ac:dyDescent="0.25">
      <c r="A199" s="44" t="s">
        <v>23</v>
      </c>
      <c r="B199" s="25">
        <f>F195+F196</f>
        <v>30.910896111828141</v>
      </c>
      <c r="C199" s="16"/>
      <c r="D199" s="16"/>
      <c r="E199" s="16"/>
      <c r="F199" s="16"/>
      <c r="G199" s="16"/>
      <c r="H199" s="16"/>
      <c r="I199" s="16"/>
      <c r="J199" s="16"/>
      <c r="K199" s="4"/>
    </row>
    <row r="200" spans="1:11" x14ac:dyDescent="0.25">
      <c r="A200" s="44" t="s">
        <v>52</v>
      </c>
      <c r="B200" s="25">
        <f>G195+G196</f>
        <v>22.789882313637751</v>
      </c>
      <c r="C200" s="16"/>
      <c r="D200" s="16"/>
      <c r="E200" s="16"/>
      <c r="F200" s="16"/>
      <c r="G200" s="16"/>
      <c r="H200" s="16"/>
      <c r="I200" s="16"/>
      <c r="J200" s="16"/>
      <c r="K200" s="4"/>
    </row>
    <row r="201" spans="1:11" x14ac:dyDescent="0.25">
      <c r="A201" s="44" t="s">
        <v>94</v>
      </c>
      <c r="B201" s="25">
        <f>H195+H196</f>
        <v>1.8121013798190393</v>
      </c>
      <c r="C201" s="3"/>
      <c r="D201" s="16"/>
      <c r="E201" s="16"/>
      <c r="F201" s="16"/>
      <c r="G201" s="16"/>
      <c r="H201" s="16"/>
      <c r="I201" s="16"/>
      <c r="J201" s="16"/>
      <c r="K201" s="4"/>
    </row>
    <row r="202" spans="1:11" x14ac:dyDescent="0.25">
      <c r="A202" s="44" t="s">
        <v>93</v>
      </c>
      <c r="B202" s="25">
        <f>I195+I196</f>
        <v>6.3089124183713521</v>
      </c>
      <c r="C202" s="16"/>
      <c r="D202" s="16"/>
      <c r="E202" s="16"/>
      <c r="F202" s="16"/>
      <c r="G202" s="16"/>
      <c r="H202" s="16"/>
      <c r="I202" s="16"/>
      <c r="J202" s="16"/>
      <c r="K202" s="4"/>
    </row>
    <row r="203" spans="1:11" ht="15.75" thickBot="1" x14ac:dyDescent="0.3">
      <c r="A203" s="46" t="s">
        <v>96</v>
      </c>
      <c r="B203" s="35">
        <f>B200+B202+B201</f>
        <v>30.910896111828144</v>
      </c>
      <c r="C203" s="37"/>
      <c r="D203" s="37"/>
      <c r="E203" s="37"/>
      <c r="F203" s="37"/>
      <c r="G203" s="37"/>
      <c r="H203" s="37"/>
      <c r="I203" s="37"/>
      <c r="J203" s="37"/>
      <c r="K203" s="41"/>
    </row>
    <row r="204" spans="1:11" ht="15.75" thickBot="1" x14ac:dyDescent="0.3"/>
    <row r="205" spans="1:11" ht="15.75" thickBot="1" x14ac:dyDescent="0.3">
      <c r="A205" s="72" t="s">
        <v>126</v>
      </c>
      <c r="B205" s="73"/>
      <c r="C205" s="73"/>
      <c r="D205" s="73"/>
      <c r="E205" s="70"/>
      <c r="F205" s="70"/>
      <c r="G205" s="70"/>
      <c r="H205" s="70"/>
      <c r="I205" s="70"/>
      <c r="J205" s="70"/>
      <c r="K205" s="71"/>
    </row>
    <row r="206" spans="1:11" ht="15.75" thickBot="1" x14ac:dyDescent="0.3">
      <c r="A206" s="7" t="s">
        <v>72</v>
      </c>
      <c r="B206" s="101"/>
      <c r="C206" s="101"/>
      <c r="D206" s="100" t="s">
        <v>51</v>
      </c>
      <c r="E206" s="7" t="s">
        <v>62</v>
      </c>
      <c r="F206" s="103" t="s">
        <v>65</v>
      </c>
      <c r="G206" s="3"/>
      <c r="H206" s="3"/>
      <c r="I206" s="3"/>
      <c r="J206" s="3"/>
      <c r="K206" s="4"/>
    </row>
    <row r="207" spans="1:11" x14ac:dyDescent="0.25">
      <c r="A207" s="144" t="s">
        <v>28</v>
      </c>
      <c r="B207" s="145"/>
      <c r="C207" s="145"/>
      <c r="D207" s="104">
        <f>B5</f>
        <v>35</v>
      </c>
      <c r="E207" s="6" t="s">
        <v>63</v>
      </c>
      <c r="F207" s="92">
        <f>$E$5</f>
        <v>0.1</v>
      </c>
      <c r="I207" s="16"/>
      <c r="J207" s="16"/>
      <c r="K207" s="4"/>
    </row>
    <row r="208" spans="1:11" ht="15.75" thickBot="1" x14ac:dyDescent="0.3">
      <c r="A208" s="42" t="s">
        <v>12</v>
      </c>
      <c r="B208" s="43"/>
      <c r="C208" s="43"/>
      <c r="D208" s="105">
        <f>B6</f>
        <v>16</v>
      </c>
      <c r="E208" s="38" t="s">
        <v>64</v>
      </c>
      <c r="F208" s="93">
        <f>$E$6</f>
        <v>0.5</v>
      </c>
      <c r="G208" s="16"/>
      <c r="H208" s="16"/>
      <c r="I208" s="16"/>
      <c r="J208" s="16"/>
      <c r="K208" s="4"/>
    </row>
    <row r="209" spans="1:11" x14ac:dyDescent="0.25">
      <c r="A209" s="42" t="s">
        <v>13</v>
      </c>
      <c r="B209" s="43"/>
      <c r="C209" s="43"/>
      <c r="D209" s="105">
        <f>B7</f>
        <v>20</v>
      </c>
      <c r="E209" s="16"/>
      <c r="F209" s="16"/>
      <c r="G209" s="16"/>
      <c r="H209" s="16"/>
      <c r="I209" s="16"/>
      <c r="J209" s="16"/>
      <c r="K209" s="4"/>
    </row>
    <row r="210" spans="1:11" ht="15.75" thickBot="1" x14ac:dyDescent="0.3">
      <c r="A210" s="74" t="s">
        <v>39</v>
      </c>
      <c r="B210" s="19"/>
      <c r="C210" s="37"/>
      <c r="D210" s="106">
        <f>B9</f>
        <v>21</v>
      </c>
      <c r="E210" s="16"/>
      <c r="F210" s="16"/>
      <c r="G210" s="16"/>
      <c r="H210" s="16"/>
      <c r="I210" s="16"/>
      <c r="J210" s="16"/>
      <c r="K210" s="4"/>
    </row>
    <row r="211" spans="1:11" ht="15.75" thickBot="1" x14ac:dyDescent="0.3">
      <c r="A211" s="42"/>
      <c r="B211" s="43"/>
      <c r="C211" s="43"/>
      <c r="D211" s="16"/>
      <c r="E211" s="16"/>
      <c r="F211" s="16"/>
      <c r="G211" s="16"/>
      <c r="H211" s="16"/>
      <c r="I211" s="16"/>
      <c r="J211" s="16"/>
      <c r="K211" s="4"/>
    </row>
    <row r="212" spans="1:11" ht="15.75" thickBot="1" x14ac:dyDescent="0.3">
      <c r="A212" s="142" t="s">
        <v>73</v>
      </c>
      <c r="B212" s="143"/>
      <c r="C212" s="58" t="s">
        <v>16</v>
      </c>
      <c r="D212" s="50"/>
      <c r="E212" s="50"/>
      <c r="F212" s="50"/>
      <c r="G212" s="59"/>
      <c r="H212" s="16"/>
      <c r="I212" s="16"/>
      <c r="J212" s="16"/>
      <c r="K212" s="4"/>
    </row>
    <row r="213" spans="1:11" x14ac:dyDescent="0.25">
      <c r="A213" s="55" t="s">
        <v>69</v>
      </c>
      <c r="B213" s="22" t="s">
        <v>1</v>
      </c>
      <c r="C213" s="22" t="s">
        <v>2</v>
      </c>
      <c r="D213" s="22" t="s">
        <v>3</v>
      </c>
      <c r="E213" s="22" t="s">
        <v>14</v>
      </c>
      <c r="F213" s="43" t="s">
        <v>5</v>
      </c>
      <c r="G213" s="53"/>
      <c r="H213" s="16"/>
      <c r="I213" s="16"/>
      <c r="J213" s="16"/>
      <c r="K213" s="4"/>
    </row>
    <row r="214" spans="1:11" x14ac:dyDescent="0.25">
      <c r="A214" s="56">
        <v>1</v>
      </c>
      <c r="B214" s="22">
        <v>3.5</v>
      </c>
      <c r="C214" s="22">
        <v>0.3</v>
      </c>
      <c r="D214" s="22">
        <v>0.2</v>
      </c>
      <c r="E214" s="22">
        <v>0.4</v>
      </c>
      <c r="F214" s="22">
        <f>SUM(C214:E214)</f>
        <v>0.9</v>
      </c>
      <c r="G214" s="25"/>
      <c r="H214" s="16"/>
      <c r="I214" s="16"/>
      <c r="J214" s="16"/>
      <c r="K214" s="4"/>
    </row>
    <row r="215" spans="1:11" ht="15.75" thickBot="1" x14ac:dyDescent="0.3">
      <c r="A215" s="57">
        <v>2</v>
      </c>
      <c r="B215" s="32">
        <v>2</v>
      </c>
      <c r="C215" s="32">
        <v>0.1</v>
      </c>
      <c r="D215" s="32">
        <v>0.35</v>
      </c>
      <c r="E215" s="32">
        <v>0.4</v>
      </c>
      <c r="F215" s="32">
        <f>SUM(C215:E215)</f>
        <v>0.85</v>
      </c>
      <c r="G215" s="35"/>
      <c r="H215" s="16"/>
      <c r="I215" s="16"/>
      <c r="J215" s="16"/>
      <c r="K215" s="4"/>
    </row>
    <row r="216" spans="1:11" ht="15.75" thickBot="1" x14ac:dyDescent="0.3">
      <c r="A216" s="45"/>
      <c r="B216" s="16"/>
      <c r="C216" s="16"/>
      <c r="D216" s="16"/>
      <c r="E216" s="16"/>
      <c r="F216" s="16"/>
      <c r="G216" s="16"/>
      <c r="H216" s="16"/>
      <c r="I216" s="16"/>
      <c r="J216" s="16"/>
      <c r="K216" s="4"/>
    </row>
    <row r="217" spans="1:11" ht="15.75" thickBot="1" x14ac:dyDescent="0.3">
      <c r="A217" s="49" t="s">
        <v>74</v>
      </c>
      <c r="B217" s="50"/>
      <c r="C217" s="50"/>
      <c r="D217" s="59"/>
      <c r="E217" s="16"/>
      <c r="F217" s="16"/>
      <c r="G217" s="16"/>
      <c r="H217" s="16"/>
      <c r="I217" s="16"/>
      <c r="J217" s="16"/>
      <c r="K217" s="4"/>
    </row>
    <row r="218" spans="1:11" x14ac:dyDescent="0.25">
      <c r="A218" s="44" t="s">
        <v>69</v>
      </c>
      <c r="B218" s="22" t="s">
        <v>6</v>
      </c>
      <c r="C218" s="22" t="s">
        <v>7</v>
      </c>
      <c r="D218" s="25" t="s">
        <v>8</v>
      </c>
      <c r="E218" s="3"/>
      <c r="F218" s="16"/>
      <c r="G218" s="16"/>
      <c r="H218" s="16"/>
      <c r="I218" s="16"/>
      <c r="J218" s="16"/>
      <c r="K218" s="4"/>
    </row>
    <row r="219" spans="1:11" x14ac:dyDescent="0.25">
      <c r="A219" s="56">
        <v>1</v>
      </c>
      <c r="B219" s="22">
        <f>((B224/B214)*(C214/$D$207)^(D214+E214)*($D$208/D214)^D214*($D$209/E214)^E214)^(1/F214)</f>
        <v>0.62090654958419667</v>
      </c>
      <c r="C219" s="22">
        <f>((B224/B214)*(D214/$D$208)^(C214+E214)*($D$207/C214)^C214*($D$209/E214)^E214)^(1/F214)</f>
        <v>0.9054887181436212</v>
      </c>
      <c r="D219" s="25">
        <f>((B224/B214)*(E214/$D$209)^(C214+D214)*($D$207/C214)^C214*($D$208/D214)^D214)^(1/F214)</f>
        <v>1.4487819490297931</v>
      </c>
      <c r="E219" s="16"/>
      <c r="F219" s="16"/>
      <c r="G219" s="16"/>
      <c r="H219" s="16"/>
      <c r="I219" s="16"/>
      <c r="J219" s="16"/>
      <c r="K219" s="4"/>
    </row>
    <row r="220" spans="1:11" ht="15.75" thickBot="1" x14ac:dyDescent="0.3">
      <c r="A220" s="57">
        <v>2</v>
      </c>
      <c r="B220" s="32">
        <f>(B225/B215*(C215/$D$207)^(D215+E215)*($D$208/D215)^D215*($D$209/E215)^E215)^(1/F215)</f>
        <v>1.5048989105472805E-2</v>
      </c>
      <c r="C220" s="32">
        <f>(B225/B215*(D215/$D$208)^(C215+E215)*($D$207/C215)^C215*($D$209/E215)^E215)^(1/F215)</f>
        <v>0.11521882283877606</v>
      </c>
      <c r="D220" s="35">
        <f>((B225/B215)*(E215/$D$209)^(C215+D215)*($D$207/C215)^C215*($D$208/D215)^D215)^(1/F215)</f>
        <v>0.10534292373830961</v>
      </c>
      <c r="E220" s="16"/>
      <c r="F220" s="16"/>
      <c r="G220" s="16"/>
      <c r="H220" s="16"/>
      <c r="I220" s="16"/>
      <c r="J220" s="16"/>
      <c r="K220" s="4"/>
    </row>
    <row r="221" spans="1:11" ht="15.75" thickBot="1" x14ac:dyDescent="0.3">
      <c r="A221" s="54"/>
      <c r="B221" s="22"/>
      <c r="C221" s="22"/>
      <c r="D221" s="22"/>
      <c r="E221" s="3"/>
      <c r="F221" s="16"/>
      <c r="G221" s="16"/>
      <c r="H221" s="16"/>
      <c r="I221" s="16"/>
      <c r="J221" s="16"/>
      <c r="K221" s="4"/>
    </row>
    <row r="222" spans="1:11" ht="15.75" thickBot="1" x14ac:dyDescent="0.3">
      <c r="A222" s="49" t="s">
        <v>75</v>
      </c>
      <c r="B222" s="50"/>
      <c r="C222" s="50"/>
      <c r="D222" s="50"/>
      <c r="E222" s="59"/>
      <c r="F222" s="16"/>
      <c r="G222" s="16"/>
      <c r="H222" s="16"/>
      <c r="I222" s="16"/>
      <c r="J222" s="16"/>
      <c r="K222" s="4"/>
    </row>
    <row r="223" spans="1:11" x14ac:dyDescent="0.25">
      <c r="A223" s="44" t="s">
        <v>69</v>
      </c>
      <c r="B223" s="60" t="s">
        <v>11</v>
      </c>
      <c r="C223" s="60"/>
      <c r="D223" s="60" t="s">
        <v>31</v>
      </c>
      <c r="E223" s="61"/>
      <c r="F223" s="16"/>
      <c r="G223" s="16"/>
      <c r="H223" s="16"/>
      <c r="I223" s="16"/>
      <c r="J223" s="16"/>
      <c r="K223" s="4"/>
    </row>
    <row r="224" spans="1:11" x14ac:dyDescent="0.25">
      <c r="A224" s="56">
        <v>1</v>
      </c>
      <c r="B224" s="115">
        <f>(D210*B214^(1/F214)*C214^(C214/F214)*D214^(D214/F214)*E214^(E214/F214)*$D$207^(-C214/F214)*$D$208^(-D214/F214)*$D$209^(-E214/F214))^(F214/(1-F214))</f>
        <v>3.4494808310233158</v>
      </c>
      <c r="C224" s="22"/>
      <c r="D224" s="22">
        <f>B214*(B219^C214)*(C219^D214)*(D219^E214)</f>
        <v>3.4494808310233163</v>
      </c>
      <c r="E224" s="17"/>
      <c r="F224" s="16"/>
      <c r="G224" s="16"/>
      <c r="H224" s="16"/>
      <c r="I224" s="16"/>
      <c r="J224" s="16"/>
      <c r="K224" s="4"/>
    </row>
    <row r="225" spans="1:11" ht="15.75" thickBot="1" x14ac:dyDescent="0.3">
      <c r="A225" s="57">
        <v>2</v>
      </c>
      <c r="B225" s="32">
        <f>(D210*B215^(1/F215)*C215^(C215/(F215))*D215^(D215/(F215))*E215^(E215/(F215))*$D$207^(-C215/(F215))*$D$208^(-D215/(F215))*$D$209^(-E215/(F215)))^(F215/(1-F215))</f>
        <v>0.25081648509121329</v>
      </c>
      <c r="C225" s="32"/>
      <c r="D225" s="32">
        <f>B215*B220^C215*C220^D215*D220^E215</f>
        <v>0.25081648509121329</v>
      </c>
      <c r="E225" s="20"/>
      <c r="F225" s="16"/>
      <c r="G225" s="16"/>
      <c r="H225" s="16"/>
      <c r="I225" s="16"/>
      <c r="J225" s="16"/>
      <c r="K225" s="4"/>
    </row>
    <row r="226" spans="1:11" ht="15.75" thickBot="1" x14ac:dyDescent="0.3">
      <c r="A226" s="56"/>
      <c r="B226" s="22"/>
      <c r="C226" s="22"/>
      <c r="D226" s="22"/>
      <c r="E226" s="16"/>
      <c r="F226" s="16"/>
      <c r="G226" s="16"/>
      <c r="H226" s="16"/>
      <c r="I226" s="16"/>
      <c r="J226" s="16"/>
      <c r="K226" s="4"/>
    </row>
    <row r="227" spans="1:11" ht="15.75" thickBot="1" x14ac:dyDescent="0.3">
      <c r="A227" s="49" t="s">
        <v>81</v>
      </c>
      <c r="B227" s="50"/>
      <c r="C227" s="50"/>
      <c r="D227" s="59"/>
      <c r="E227" s="16"/>
      <c r="F227" s="16"/>
      <c r="G227" s="16"/>
      <c r="H227" s="16"/>
      <c r="I227" s="16"/>
      <c r="J227" s="16"/>
      <c r="K227" s="4"/>
    </row>
    <row r="228" spans="1:11" x14ac:dyDescent="0.25">
      <c r="A228" s="75" t="s">
        <v>69</v>
      </c>
      <c r="B228" s="102" t="s">
        <v>91</v>
      </c>
      <c r="C228" s="112" t="s">
        <v>84</v>
      </c>
      <c r="D228" s="96" t="s">
        <v>66</v>
      </c>
      <c r="E228" s="16"/>
      <c r="F228" s="16"/>
      <c r="G228" s="16"/>
      <c r="H228" s="16"/>
      <c r="I228" s="16"/>
      <c r="J228" s="16"/>
      <c r="K228" s="4"/>
    </row>
    <row r="229" spans="1:11" x14ac:dyDescent="0.25">
      <c r="A229" s="56">
        <v>1</v>
      </c>
      <c r="B229" s="22">
        <f>D210*B224-D207*B219-D208*C219-D209*D219</f>
        <v>7.2439097451489474</v>
      </c>
      <c r="C229" s="22">
        <f>(1-$F$50)*B229-$F$51</f>
        <v>6.0195187706340532</v>
      </c>
      <c r="D229" s="25">
        <f>$F$50*B229+$F$51</f>
        <v>1.2243909745148946</v>
      </c>
      <c r="E229" s="16"/>
      <c r="F229" s="16"/>
      <c r="G229" s="16"/>
      <c r="H229" s="16"/>
      <c r="I229" s="16"/>
      <c r="J229" s="16"/>
      <c r="K229" s="4"/>
    </row>
    <row r="230" spans="1:11" ht="15.75" thickBot="1" x14ac:dyDescent="0.3">
      <c r="A230" s="57">
        <v>2</v>
      </c>
      <c r="B230" s="32">
        <f>D210*B225-D207*B220-D208*C220-D209*D220</f>
        <v>0.79007192803732185</v>
      </c>
      <c r="C230" s="32">
        <f>(1-$F$50)*B230-$F$51</f>
        <v>0.21106473523358971</v>
      </c>
      <c r="D230" s="35">
        <f>$F$50*B230+$F$51</f>
        <v>0.57900719280373214</v>
      </c>
      <c r="E230" s="16"/>
      <c r="F230" s="16"/>
      <c r="G230" s="16"/>
      <c r="H230" s="16"/>
      <c r="I230" s="16"/>
      <c r="J230" s="16"/>
      <c r="K230" s="4"/>
    </row>
    <row r="231" spans="1:11" ht="15.75" thickBot="1" x14ac:dyDescent="0.3">
      <c r="A231" s="45"/>
      <c r="B231" s="16"/>
      <c r="C231" s="16"/>
      <c r="D231" s="16"/>
      <c r="E231" s="16"/>
      <c r="F231" s="16"/>
      <c r="G231" s="16"/>
      <c r="H231" s="16"/>
      <c r="I231" s="16"/>
      <c r="J231" s="16"/>
      <c r="K231" s="4"/>
    </row>
    <row r="232" spans="1:11" ht="15.75" thickBot="1" x14ac:dyDescent="0.3">
      <c r="A232" s="49" t="s">
        <v>76</v>
      </c>
      <c r="B232" s="50"/>
      <c r="C232" s="50"/>
      <c r="D232" s="50"/>
      <c r="E232" s="50"/>
      <c r="F232" s="50"/>
      <c r="G232" s="50"/>
      <c r="H232" s="50"/>
      <c r="I232" s="50"/>
      <c r="J232" s="50"/>
      <c r="K232" s="9"/>
    </row>
    <row r="233" spans="1:11" x14ac:dyDescent="0.25">
      <c r="A233" s="151" t="s">
        <v>69</v>
      </c>
      <c r="B233" s="113" t="s">
        <v>43</v>
      </c>
      <c r="C233" s="114" t="s">
        <v>44</v>
      </c>
      <c r="D233" s="113" t="s">
        <v>40</v>
      </c>
      <c r="E233" s="114" t="s">
        <v>45</v>
      </c>
      <c r="F233" s="113" t="s">
        <v>85</v>
      </c>
      <c r="G233" s="102" t="s">
        <v>86</v>
      </c>
      <c r="H233" s="102" t="s">
        <v>86</v>
      </c>
      <c r="I233" s="102" t="s">
        <v>86</v>
      </c>
      <c r="J233" s="96" t="s">
        <v>87</v>
      </c>
      <c r="K233" s="25"/>
    </row>
    <row r="234" spans="1:11" x14ac:dyDescent="0.25">
      <c r="A234" s="136"/>
      <c r="B234" s="21" t="s">
        <v>17</v>
      </c>
      <c r="C234" s="23" t="s">
        <v>18</v>
      </c>
      <c r="D234" s="21" t="s">
        <v>20</v>
      </c>
      <c r="E234" s="23" t="s">
        <v>32</v>
      </c>
      <c r="F234" s="21" t="s">
        <v>21</v>
      </c>
      <c r="G234" s="22" t="s">
        <v>18</v>
      </c>
      <c r="H234" s="40" t="s">
        <v>90</v>
      </c>
      <c r="I234" s="22" t="s">
        <v>88</v>
      </c>
      <c r="J234" s="25" t="s">
        <v>92</v>
      </c>
      <c r="K234" s="25"/>
    </row>
    <row r="235" spans="1:11" x14ac:dyDescent="0.25">
      <c r="A235" s="62">
        <v>1</v>
      </c>
      <c r="B235" s="21">
        <f>D210*F214*B224</f>
        <v>65.195187706340676</v>
      </c>
      <c r="C235" s="23">
        <f>D207*B219+D208*C219+D209*D219</f>
        <v>65.195187706340676</v>
      </c>
      <c r="D235" s="21">
        <f>F214*B224</f>
        <v>3.1045327479209841</v>
      </c>
      <c r="E235" s="23">
        <f>B224-B229/D210</f>
        <v>3.104532747920985</v>
      </c>
      <c r="F235" s="21">
        <f>D210*B224</f>
        <v>72.43909745148963</v>
      </c>
      <c r="G235" s="22">
        <f>D207*B219+D208*C219+D209*D219</f>
        <v>65.195187706340676</v>
      </c>
      <c r="H235" s="22">
        <f>D229</f>
        <v>1.2243909745148946</v>
      </c>
      <c r="I235" s="22">
        <f>C229</f>
        <v>6.0195187706340532</v>
      </c>
      <c r="J235" s="25">
        <f>G235+H235+I235</f>
        <v>72.439097451489616</v>
      </c>
      <c r="K235" s="25"/>
    </row>
    <row r="236" spans="1:11" ht="15.75" thickBot="1" x14ac:dyDescent="0.3">
      <c r="A236" s="63">
        <v>2</v>
      </c>
      <c r="B236" s="31">
        <f>D210*F215*B225</f>
        <v>4.4770742588781571</v>
      </c>
      <c r="C236" s="33">
        <f>D207*B220+D208*C220+D209*D220</f>
        <v>4.477074258878158</v>
      </c>
      <c r="D236" s="31">
        <f>F215*B225</f>
        <v>0.2131940123275313</v>
      </c>
      <c r="E236" s="33">
        <f>B225-B230/D210</f>
        <v>0.2131940123275313</v>
      </c>
      <c r="F236" s="31">
        <f>D210*B225</f>
        <v>5.267146186915479</v>
      </c>
      <c r="G236" s="32">
        <f>D207*B220+D208*C220+D209*D220</f>
        <v>4.477074258878158</v>
      </c>
      <c r="H236" s="32">
        <f>D230</f>
        <v>0.57900719280373214</v>
      </c>
      <c r="I236" s="32">
        <f>C230</f>
        <v>0.21106473523358971</v>
      </c>
      <c r="J236" s="35">
        <f>G236+H236+I236</f>
        <v>5.2671461869154799</v>
      </c>
      <c r="K236" s="35"/>
    </row>
    <row r="237" spans="1:11" ht="15.75" thickBot="1" x14ac:dyDescent="0.3">
      <c r="A237" s="45"/>
      <c r="B237" s="16"/>
      <c r="C237" s="16"/>
      <c r="D237" s="16"/>
      <c r="E237" s="16"/>
      <c r="F237" s="16"/>
      <c r="G237" s="16"/>
      <c r="H237" s="16"/>
      <c r="I237" s="16"/>
      <c r="J237" s="16"/>
      <c r="K237" s="17"/>
    </row>
    <row r="238" spans="1:11" ht="15.75" thickBot="1" x14ac:dyDescent="0.3">
      <c r="A238" s="49" t="s">
        <v>77</v>
      </c>
      <c r="B238" s="79" t="s">
        <v>95</v>
      </c>
      <c r="C238" s="16"/>
      <c r="D238" s="16"/>
      <c r="E238" s="16"/>
      <c r="F238" s="16"/>
      <c r="G238" s="16"/>
      <c r="H238" s="16"/>
      <c r="I238" s="16"/>
      <c r="J238" s="16"/>
      <c r="K238" s="4"/>
    </row>
    <row r="239" spans="1:11" x14ac:dyDescent="0.25">
      <c r="A239" s="44" t="s">
        <v>23</v>
      </c>
      <c r="B239" s="25">
        <f>F235+F236</f>
        <v>77.706243638405113</v>
      </c>
      <c r="C239" s="16"/>
      <c r="D239" s="16"/>
      <c r="E239" s="16"/>
      <c r="F239" s="16"/>
      <c r="G239" s="16"/>
      <c r="H239" s="16"/>
      <c r="I239" s="16"/>
      <c r="J239" s="16"/>
      <c r="K239" s="4"/>
    </row>
    <row r="240" spans="1:11" x14ac:dyDescent="0.25">
      <c r="A240" s="44" t="s">
        <v>52</v>
      </c>
      <c r="B240" s="25">
        <f>G235+G236</f>
        <v>69.672261965218837</v>
      </c>
      <c r="C240" s="16"/>
      <c r="D240" s="16"/>
      <c r="E240" s="16"/>
      <c r="F240" s="16"/>
      <c r="G240" s="16"/>
      <c r="H240" s="16"/>
      <c r="I240" s="16"/>
      <c r="J240" s="16"/>
      <c r="K240" s="4"/>
    </row>
    <row r="241" spans="1:11" x14ac:dyDescent="0.25">
      <c r="A241" s="44" t="s">
        <v>94</v>
      </c>
      <c r="B241" s="25">
        <f>H235+H236</f>
        <v>1.8033981673186268</v>
      </c>
      <c r="C241" s="3"/>
      <c r="D241" s="16"/>
      <c r="E241" s="16"/>
      <c r="F241" s="16"/>
      <c r="G241" s="16"/>
      <c r="H241" s="16"/>
      <c r="I241" s="16"/>
      <c r="J241" s="16"/>
      <c r="K241" s="4"/>
    </row>
    <row r="242" spans="1:11" x14ac:dyDescent="0.25">
      <c r="A242" s="44" t="s">
        <v>93</v>
      </c>
      <c r="B242" s="25">
        <f>I235+I236</f>
        <v>6.2305835058676431</v>
      </c>
      <c r="C242" s="16"/>
      <c r="D242" s="16"/>
      <c r="E242" s="16"/>
      <c r="F242" s="16"/>
      <c r="G242" s="16"/>
      <c r="H242" s="16"/>
      <c r="I242" s="16"/>
      <c r="J242" s="16"/>
      <c r="K242" s="4"/>
    </row>
    <row r="243" spans="1:11" ht="15.75" thickBot="1" x14ac:dyDescent="0.3">
      <c r="A243" s="46" t="s">
        <v>96</v>
      </c>
      <c r="B243" s="35">
        <f>B240+B242+B241</f>
        <v>77.706243638405113</v>
      </c>
      <c r="C243" s="37"/>
      <c r="D243" s="37"/>
      <c r="E243" s="37"/>
      <c r="F243" s="37"/>
      <c r="G243" s="37"/>
      <c r="H243" s="37"/>
      <c r="I243" s="37"/>
      <c r="J243" s="37"/>
      <c r="K243" s="41"/>
    </row>
    <row r="244" spans="1:11" ht="15.75" thickBot="1" x14ac:dyDescent="0.3"/>
    <row r="245" spans="1:11" ht="15.75" thickBot="1" x14ac:dyDescent="0.3">
      <c r="A245" s="72" t="s">
        <v>127</v>
      </c>
      <c r="B245" s="73"/>
      <c r="C245" s="73"/>
      <c r="D245" s="73"/>
      <c r="E245" s="70"/>
      <c r="F245" s="70"/>
      <c r="G245" s="70"/>
      <c r="H245" s="70"/>
      <c r="I245" s="70"/>
      <c r="J245" s="70"/>
      <c r="K245" s="71"/>
    </row>
    <row r="246" spans="1:11" ht="15.75" thickBot="1" x14ac:dyDescent="0.3">
      <c r="A246" s="7" t="s">
        <v>72</v>
      </c>
      <c r="B246" s="101"/>
      <c r="C246" s="101"/>
      <c r="D246" s="100" t="s">
        <v>51</v>
      </c>
      <c r="E246" s="7" t="s">
        <v>62</v>
      </c>
      <c r="F246" s="103" t="s">
        <v>65</v>
      </c>
      <c r="G246" s="3"/>
      <c r="H246" s="3"/>
      <c r="I246" s="3"/>
      <c r="J246" s="3"/>
      <c r="K246" s="4"/>
    </row>
    <row r="247" spans="1:11" x14ac:dyDescent="0.25">
      <c r="A247" s="144" t="s">
        <v>28</v>
      </c>
      <c r="B247" s="145"/>
      <c r="C247" s="145"/>
      <c r="D247" s="104">
        <f>B5</f>
        <v>35</v>
      </c>
      <c r="E247" s="6" t="s">
        <v>63</v>
      </c>
      <c r="F247" s="92">
        <f>$E$5</f>
        <v>0.1</v>
      </c>
      <c r="I247" s="16"/>
      <c r="J247" s="16"/>
      <c r="K247" s="4"/>
    </row>
    <row r="248" spans="1:11" ht="15.75" thickBot="1" x14ac:dyDescent="0.3">
      <c r="A248" s="42" t="s">
        <v>12</v>
      </c>
      <c r="B248" s="43"/>
      <c r="C248" s="43"/>
      <c r="D248" s="105">
        <f>B6</f>
        <v>16</v>
      </c>
      <c r="E248" s="38" t="s">
        <v>64</v>
      </c>
      <c r="F248" s="93">
        <f>$E$6</f>
        <v>0.5</v>
      </c>
      <c r="G248" s="16"/>
      <c r="H248" s="16"/>
      <c r="I248" s="16"/>
      <c r="J248" s="16"/>
      <c r="K248" s="4"/>
    </row>
    <row r="249" spans="1:11" x14ac:dyDescent="0.25">
      <c r="A249" s="42" t="s">
        <v>13</v>
      </c>
      <c r="B249" s="43"/>
      <c r="C249" s="43"/>
      <c r="D249" s="105">
        <f>B7</f>
        <v>20</v>
      </c>
      <c r="E249" s="16"/>
      <c r="F249" s="16"/>
      <c r="G249" s="16"/>
      <c r="H249" s="16"/>
      <c r="I249" s="16"/>
      <c r="J249" s="16"/>
      <c r="K249" s="4"/>
    </row>
    <row r="250" spans="1:11" ht="15.75" thickBot="1" x14ac:dyDescent="0.3">
      <c r="A250" s="74" t="s">
        <v>128</v>
      </c>
      <c r="B250" s="19"/>
      <c r="C250" s="37"/>
      <c r="D250" s="106">
        <v>16</v>
      </c>
      <c r="E250" s="16"/>
      <c r="F250" s="16"/>
      <c r="G250" s="16"/>
      <c r="H250" s="16"/>
      <c r="I250" s="16"/>
      <c r="J250" s="16"/>
      <c r="K250" s="4"/>
    </row>
    <row r="251" spans="1:11" ht="15.75" thickBot="1" x14ac:dyDescent="0.3">
      <c r="A251" s="42"/>
      <c r="B251" s="43"/>
      <c r="C251" s="43"/>
      <c r="D251" s="16"/>
      <c r="E251" s="16"/>
      <c r="F251" s="16"/>
      <c r="G251" s="16"/>
      <c r="H251" s="16"/>
      <c r="I251" s="16"/>
      <c r="J251" s="16"/>
      <c r="K251" s="4"/>
    </row>
    <row r="252" spans="1:11" ht="15.75" thickBot="1" x14ac:dyDescent="0.3">
      <c r="A252" s="142" t="s">
        <v>73</v>
      </c>
      <c r="B252" s="143"/>
      <c r="C252" s="58" t="s">
        <v>16</v>
      </c>
      <c r="D252" s="50"/>
      <c r="E252" s="50"/>
      <c r="F252" s="50"/>
      <c r="G252" s="59"/>
      <c r="H252" s="16"/>
      <c r="I252" s="16"/>
      <c r="J252" s="16"/>
      <c r="K252" s="4"/>
    </row>
    <row r="253" spans="1:11" x14ac:dyDescent="0.25">
      <c r="A253" s="55" t="s">
        <v>69</v>
      </c>
      <c r="B253" s="22" t="s">
        <v>1</v>
      </c>
      <c r="C253" s="22" t="s">
        <v>2</v>
      </c>
      <c r="D253" s="22" t="s">
        <v>3</v>
      </c>
      <c r="E253" s="22" t="s">
        <v>14</v>
      </c>
      <c r="F253" s="43" t="s">
        <v>5</v>
      </c>
      <c r="G253" s="53"/>
      <c r="H253" s="16"/>
      <c r="I253" s="16"/>
      <c r="J253" s="16"/>
      <c r="K253" s="4"/>
    </row>
    <row r="254" spans="1:11" x14ac:dyDescent="0.25">
      <c r="A254" s="56">
        <v>1</v>
      </c>
      <c r="B254" s="22">
        <v>4</v>
      </c>
      <c r="C254" s="22">
        <v>0.35</v>
      </c>
      <c r="D254" s="22">
        <v>0.4</v>
      </c>
      <c r="E254" s="22">
        <v>0.2</v>
      </c>
      <c r="F254" s="22">
        <f>SUM(C254:E254)</f>
        <v>0.95</v>
      </c>
      <c r="G254" s="25"/>
      <c r="H254" s="16"/>
      <c r="I254" s="16"/>
      <c r="J254" s="16"/>
      <c r="K254" s="4"/>
    </row>
    <row r="255" spans="1:11" ht="15.75" thickBot="1" x14ac:dyDescent="0.3">
      <c r="A255" s="57">
        <v>2</v>
      </c>
      <c r="B255" s="32">
        <v>5</v>
      </c>
      <c r="C255" s="32">
        <v>0.35</v>
      </c>
      <c r="D255" s="32">
        <v>0.15</v>
      </c>
      <c r="E255" s="32">
        <v>0.4</v>
      </c>
      <c r="F255" s="32">
        <f>SUM(C255:E255)</f>
        <v>0.9</v>
      </c>
      <c r="G255" s="35"/>
      <c r="H255" s="16"/>
      <c r="I255" s="16"/>
      <c r="J255" s="16"/>
      <c r="K255" s="4"/>
    </row>
    <row r="256" spans="1:11" ht="15.75" thickBot="1" x14ac:dyDescent="0.3">
      <c r="A256" s="45"/>
      <c r="B256" s="16"/>
      <c r="C256" s="16"/>
      <c r="D256" s="16"/>
      <c r="E256" s="16"/>
      <c r="F256" s="16"/>
      <c r="G256" s="16"/>
      <c r="H256" s="16"/>
      <c r="I256" s="16"/>
      <c r="J256" s="16"/>
      <c r="K256" s="4"/>
    </row>
    <row r="257" spans="1:11" ht="15.75" thickBot="1" x14ac:dyDescent="0.3">
      <c r="A257" s="49" t="s">
        <v>74</v>
      </c>
      <c r="B257" s="50"/>
      <c r="C257" s="50"/>
      <c r="D257" s="59"/>
      <c r="E257" s="16"/>
      <c r="F257" s="16"/>
      <c r="G257" s="16"/>
      <c r="H257" s="16"/>
      <c r="I257" s="16"/>
      <c r="J257" s="16"/>
      <c r="K257" s="4"/>
    </row>
    <row r="258" spans="1:11" x14ac:dyDescent="0.25">
      <c r="A258" s="75" t="s">
        <v>69</v>
      </c>
      <c r="B258" s="102" t="s">
        <v>6</v>
      </c>
      <c r="C258" s="102" t="s">
        <v>7</v>
      </c>
      <c r="D258" s="96" t="s">
        <v>8</v>
      </c>
      <c r="E258" s="3"/>
      <c r="F258" s="16"/>
      <c r="G258" s="16"/>
      <c r="H258" s="16"/>
      <c r="I258" s="16"/>
      <c r="J258" s="16"/>
      <c r="K258" s="4"/>
    </row>
    <row r="259" spans="1:11" x14ac:dyDescent="0.25">
      <c r="A259" s="56">
        <v>1</v>
      </c>
      <c r="B259" s="22">
        <f>((B264/B254)*(C254/$D$247)^(D254+E254)*($D$248/D254)^D254*($D$249/E254)^E254)^(1/F254)</f>
        <v>0.2028240960365166</v>
      </c>
      <c r="C259" s="22">
        <f>((B264/B254)*(D254/$D$248)^(C254+E254)*($D$247/C254)^C254*($D$249/E254)^E254)^(1/F254)</f>
        <v>0.50706024009129147</v>
      </c>
      <c r="D259" s="25">
        <f>((B264/B254)*(E254/$D$249)^(C254+D254)*($D$247/C254)^C254*($D$248/D254)^D254)^(1/F254)</f>
        <v>0.2028240960365166</v>
      </c>
      <c r="E259" s="16"/>
      <c r="F259" s="16"/>
      <c r="G259" s="16"/>
      <c r="H259" s="16"/>
      <c r="I259" s="16"/>
      <c r="J259" s="16"/>
      <c r="K259" s="4"/>
    </row>
    <row r="260" spans="1:11" ht="15.75" thickBot="1" x14ac:dyDescent="0.3">
      <c r="A260" s="57">
        <v>2</v>
      </c>
      <c r="B260" s="32">
        <f>((B265/B255)*(C255/$D$247)^(D255+E255)*($D$248/D255)^D255*($D$249/E255)^E255)^(1/F255)</f>
        <v>1.5594690759293981</v>
      </c>
      <c r="C260" s="32">
        <f>((B265/B255)*(D255/$D$248)^(C255+E255)*($D$247/C255)^C255*($D$249/E255)^E255)^(1/F255)</f>
        <v>1.4620022586838104</v>
      </c>
      <c r="D260" s="35">
        <f>((B265/B255)*(E255/$D$249)^(C255+D255)*($D$247/C255)^C255*($D$248/D255)^D255)^(1/F255)</f>
        <v>3.1189381518587966</v>
      </c>
      <c r="E260" s="16"/>
      <c r="F260" s="16"/>
      <c r="G260" s="16"/>
      <c r="H260" s="16"/>
      <c r="I260" s="16"/>
      <c r="J260" s="16"/>
      <c r="K260" s="4"/>
    </row>
    <row r="261" spans="1:11" ht="15.75" thickBot="1" x14ac:dyDescent="0.3">
      <c r="A261" s="54"/>
      <c r="B261" s="22"/>
      <c r="C261" s="22"/>
      <c r="D261" s="22"/>
      <c r="E261" s="3"/>
      <c r="F261" s="16"/>
      <c r="G261" s="16"/>
      <c r="H261" s="16"/>
      <c r="I261" s="16"/>
      <c r="J261" s="16"/>
      <c r="K261" s="4"/>
    </row>
    <row r="262" spans="1:11" ht="15.75" thickBot="1" x14ac:dyDescent="0.3">
      <c r="A262" s="49" t="s">
        <v>75</v>
      </c>
      <c r="B262" s="50"/>
      <c r="C262" s="50"/>
      <c r="D262" s="50"/>
      <c r="E262" s="59"/>
      <c r="F262" s="16"/>
      <c r="G262" s="16"/>
      <c r="H262" s="16"/>
      <c r="I262" s="16"/>
      <c r="J262" s="16"/>
      <c r="K262" s="4"/>
    </row>
    <row r="263" spans="1:11" x14ac:dyDescent="0.25">
      <c r="A263" s="44" t="s">
        <v>69</v>
      </c>
      <c r="B263" s="60" t="s">
        <v>11</v>
      </c>
      <c r="C263" s="60"/>
      <c r="D263" s="60" t="s">
        <v>31</v>
      </c>
      <c r="E263" s="61"/>
      <c r="F263" s="16"/>
      <c r="G263" s="16"/>
      <c r="H263" s="16"/>
      <c r="I263" s="16"/>
      <c r="J263" s="16"/>
      <c r="K263" s="4"/>
    </row>
    <row r="264" spans="1:11" x14ac:dyDescent="0.25">
      <c r="A264" s="56">
        <v>1</v>
      </c>
      <c r="B264" s="115">
        <f>(D250*B254^(1/F254)*C254^(C254/F254)*D254^(D254/F254)*E254^(E254/F254)*$D$247^(-C254/F254)*$D$248^(-D254/F254)*$D$249^(-E254/F254))^(F254/(1-F254))</f>
        <v>1.2676506002282286</v>
      </c>
      <c r="C264" s="22"/>
      <c r="D264" s="22">
        <f>B254*(B259^C254)*(C259^D254)*(D259^E254)</f>
        <v>1.2676506002282286</v>
      </c>
      <c r="E264" s="17"/>
      <c r="F264" s="16"/>
      <c r="G264" s="16"/>
      <c r="H264" s="16"/>
      <c r="I264" s="16"/>
      <c r="J264" s="16"/>
      <c r="K264" s="4"/>
    </row>
    <row r="265" spans="1:11" ht="15.75" thickBot="1" x14ac:dyDescent="0.3">
      <c r="A265" s="57">
        <v>2</v>
      </c>
      <c r="B265" s="32">
        <f>(D250*B255^(1/F255)*C255^(C255/F255)*D255^(D255/F255)*E255^(E255/F255)*$D$247^(-C255/F255)*$D$248^(-D255/F255)*$D$249^(-E255/F255))^(F255/(1-F255))</f>
        <v>9.7466817245587318</v>
      </c>
      <c r="C265" s="32"/>
      <c r="D265" s="32">
        <f>B255*(B260^C255)*(C260^D255)*(D260^E255)</f>
        <v>9.7466817245587336</v>
      </c>
      <c r="E265" s="20"/>
      <c r="F265" s="16"/>
      <c r="G265" s="16"/>
      <c r="H265" s="16"/>
      <c r="I265" s="16"/>
      <c r="J265" s="16"/>
      <c r="K265" s="4"/>
    </row>
    <row r="266" spans="1:11" ht="15.75" thickBot="1" x14ac:dyDescent="0.3">
      <c r="A266" s="56"/>
      <c r="B266" s="22"/>
      <c r="C266" s="22"/>
      <c r="D266" s="22"/>
      <c r="E266" s="16"/>
      <c r="F266" s="16"/>
      <c r="G266" s="16"/>
      <c r="H266" s="16"/>
      <c r="I266" s="16"/>
      <c r="J266" s="16"/>
      <c r="K266" s="4"/>
    </row>
    <row r="267" spans="1:11" ht="15.75" thickBot="1" x14ac:dyDescent="0.3">
      <c r="A267" s="49" t="s">
        <v>81</v>
      </c>
      <c r="B267" s="50"/>
      <c r="C267" s="50"/>
      <c r="D267" s="59"/>
      <c r="E267" s="16"/>
      <c r="F267" s="16"/>
      <c r="G267" s="16"/>
      <c r="H267" s="16"/>
      <c r="I267" s="16"/>
      <c r="J267" s="16"/>
      <c r="K267" s="4"/>
    </row>
    <row r="268" spans="1:11" x14ac:dyDescent="0.25">
      <c r="A268" s="75" t="s">
        <v>69</v>
      </c>
      <c r="B268" s="102" t="s">
        <v>91</v>
      </c>
      <c r="C268" s="112" t="s">
        <v>84</v>
      </c>
      <c r="D268" s="96" t="s">
        <v>66</v>
      </c>
      <c r="E268" s="16"/>
      <c r="F268" s="16"/>
      <c r="G268" s="16"/>
      <c r="H268" s="16"/>
      <c r="I268" s="16"/>
      <c r="J268" s="16"/>
      <c r="K268" s="4"/>
    </row>
    <row r="269" spans="1:11" x14ac:dyDescent="0.25">
      <c r="A269" s="56">
        <v>1</v>
      </c>
      <c r="B269" s="22">
        <f>D250*B264-D247*B259-D248*C259-D249*D259</f>
        <v>1.0141204801825809</v>
      </c>
      <c r="C269" s="22">
        <f>(1-$F$50)*B269-$F$51</f>
        <v>0.41270843216432285</v>
      </c>
      <c r="D269" s="25">
        <f>$F$50*B269+$F$51</f>
        <v>0.60141204801825809</v>
      </c>
      <c r="E269" s="16"/>
      <c r="F269" s="16"/>
      <c r="G269" s="16"/>
      <c r="H269" s="16"/>
      <c r="I269" s="16"/>
      <c r="J269" s="16"/>
      <c r="K269" s="4"/>
    </row>
    <row r="270" spans="1:11" ht="15.75" thickBot="1" x14ac:dyDescent="0.3">
      <c r="A270" s="57">
        <v>2</v>
      </c>
      <c r="B270" s="32">
        <f>D250*B265-D247*B260-D248*C260-D249*D260</f>
        <v>15.594690759293883</v>
      </c>
      <c r="C270" s="32">
        <f>(1-$F$50)*B270-$F$51</f>
        <v>13.535221683364496</v>
      </c>
      <c r="D270" s="35">
        <f>$F$50*B270+$F$51</f>
        <v>2.0594690759293881</v>
      </c>
      <c r="E270" s="16"/>
      <c r="F270" s="16"/>
      <c r="G270" s="16"/>
      <c r="H270" s="16"/>
      <c r="I270" s="16"/>
      <c r="J270" s="16"/>
      <c r="K270" s="4"/>
    </row>
    <row r="271" spans="1:11" ht="15.75" thickBot="1" x14ac:dyDescent="0.3">
      <c r="A271" s="45"/>
      <c r="B271" s="16"/>
      <c r="C271" s="16"/>
      <c r="D271" s="16"/>
      <c r="E271" s="16"/>
      <c r="F271" s="16"/>
      <c r="G271" s="16"/>
      <c r="H271" s="16"/>
      <c r="I271" s="16"/>
      <c r="J271" s="16"/>
      <c r="K271" s="4"/>
    </row>
    <row r="272" spans="1:11" ht="15.75" thickBot="1" x14ac:dyDescent="0.3">
      <c r="A272" s="49" t="s">
        <v>76</v>
      </c>
      <c r="B272" s="50"/>
      <c r="C272" s="50"/>
      <c r="D272" s="50"/>
      <c r="E272" s="50"/>
      <c r="F272" s="50"/>
      <c r="G272" s="50"/>
      <c r="H272" s="50"/>
      <c r="I272" s="50"/>
      <c r="J272" s="50"/>
      <c r="K272" s="9"/>
    </row>
    <row r="273" spans="1:11" x14ac:dyDescent="0.25">
      <c r="A273" s="151" t="s">
        <v>69</v>
      </c>
      <c r="B273" s="113" t="s">
        <v>43</v>
      </c>
      <c r="C273" s="114" t="s">
        <v>44</v>
      </c>
      <c r="D273" s="113" t="s">
        <v>40</v>
      </c>
      <c r="E273" s="114" t="s">
        <v>45</v>
      </c>
      <c r="F273" s="113" t="s">
        <v>85</v>
      </c>
      <c r="G273" s="102" t="s">
        <v>86</v>
      </c>
      <c r="H273" s="102" t="s">
        <v>86</v>
      </c>
      <c r="I273" s="102" t="s">
        <v>86</v>
      </c>
      <c r="J273" s="96" t="s">
        <v>87</v>
      </c>
      <c r="K273" s="25"/>
    </row>
    <row r="274" spans="1:11" x14ac:dyDescent="0.25">
      <c r="A274" s="136"/>
      <c r="B274" s="21" t="s">
        <v>17</v>
      </c>
      <c r="C274" s="23" t="s">
        <v>18</v>
      </c>
      <c r="D274" s="21" t="s">
        <v>20</v>
      </c>
      <c r="E274" s="23" t="s">
        <v>32</v>
      </c>
      <c r="F274" s="21" t="s">
        <v>21</v>
      </c>
      <c r="G274" s="22" t="s">
        <v>18</v>
      </c>
      <c r="H274" s="40" t="s">
        <v>90</v>
      </c>
      <c r="I274" s="22" t="s">
        <v>88</v>
      </c>
      <c r="J274" s="25" t="s">
        <v>92</v>
      </c>
      <c r="K274" s="25"/>
    </row>
    <row r="275" spans="1:11" x14ac:dyDescent="0.25">
      <c r="A275" s="62">
        <v>1</v>
      </c>
      <c r="B275" s="21">
        <f>D250*F254*B264</f>
        <v>19.268289123469074</v>
      </c>
      <c r="C275" s="23">
        <f>D247*B259+D248*C259+D249*D259</f>
        <v>19.268289123469074</v>
      </c>
      <c r="D275" s="21">
        <f>F254*B264</f>
        <v>1.2042680702168171</v>
      </c>
      <c r="E275" s="23">
        <f>B264-B269/D250</f>
        <v>1.2042680702168174</v>
      </c>
      <c r="F275" s="21">
        <f>D250*B264</f>
        <v>20.282409603651658</v>
      </c>
      <c r="G275" s="22">
        <f>D247*B259+D248*C259+D249*D259</f>
        <v>19.268289123469074</v>
      </c>
      <c r="H275" s="22">
        <f>D269</f>
        <v>0.60141204801825809</v>
      </c>
      <c r="I275" s="22">
        <f>C269</f>
        <v>0.41270843216432285</v>
      </c>
      <c r="J275" s="25">
        <f>G275+H275+I275</f>
        <v>20.282409603651654</v>
      </c>
      <c r="K275" s="25"/>
    </row>
    <row r="276" spans="1:11" ht="15.75" thickBot="1" x14ac:dyDescent="0.3">
      <c r="A276" s="63">
        <v>2</v>
      </c>
      <c r="B276" s="31">
        <f>D250*F255*B265</f>
        <v>140.35221683364574</v>
      </c>
      <c r="C276" s="33">
        <f>D247*B260+D248*C260+D249*D260</f>
        <v>140.35221683364583</v>
      </c>
      <c r="D276" s="31">
        <f>F255*B265</f>
        <v>8.7720135521028588</v>
      </c>
      <c r="E276" s="33">
        <f>B265-B270/D250</f>
        <v>8.7720135521028642</v>
      </c>
      <c r="F276" s="31">
        <f>D250*B265</f>
        <v>155.94690759293971</v>
      </c>
      <c r="G276" s="32">
        <f>D247*B260+D248*C260+D249*D260</f>
        <v>140.35221683364583</v>
      </c>
      <c r="H276" s="32">
        <f>D270</f>
        <v>2.0594690759293881</v>
      </c>
      <c r="I276" s="32">
        <f>C270</f>
        <v>13.535221683364496</v>
      </c>
      <c r="J276" s="35">
        <f>G276+H276+I276</f>
        <v>155.94690759293971</v>
      </c>
      <c r="K276" s="35"/>
    </row>
    <row r="277" spans="1:11" ht="15.75" thickBot="1" x14ac:dyDescent="0.3">
      <c r="A277" s="45"/>
      <c r="B277" s="16"/>
      <c r="C277" s="16"/>
      <c r="D277" s="16"/>
      <c r="E277" s="16"/>
      <c r="F277" s="16"/>
      <c r="G277" s="16"/>
      <c r="H277" s="16"/>
      <c r="I277" s="16"/>
      <c r="J277" s="16"/>
      <c r="K277" s="17"/>
    </row>
    <row r="278" spans="1:11" ht="15.75" thickBot="1" x14ac:dyDescent="0.3">
      <c r="A278" s="49" t="s">
        <v>77</v>
      </c>
      <c r="B278" s="79" t="s">
        <v>95</v>
      </c>
      <c r="C278" s="16"/>
      <c r="D278" s="16"/>
      <c r="E278" s="16"/>
      <c r="F278" s="16"/>
      <c r="G278" s="16"/>
      <c r="H278" s="16"/>
      <c r="I278" s="16"/>
      <c r="J278" s="16"/>
      <c r="K278" s="4"/>
    </row>
    <row r="279" spans="1:11" x14ac:dyDescent="0.25">
      <c r="A279" s="44" t="s">
        <v>23</v>
      </c>
      <c r="B279" s="25">
        <f>F275+F276</f>
        <v>176.22931719659135</v>
      </c>
      <c r="C279" s="16"/>
      <c r="D279" s="16"/>
      <c r="E279" s="16"/>
      <c r="F279" s="16"/>
      <c r="G279" s="16"/>
      <c r="H279" s="16"/>
      <c r="I279" s="16"/>
      <c r="J279" s="16"/>
      <c r="K279" s="4"/>
    </row>
    <row r="280" spans="1:11" x14ac:dyDescent="0.25">
      <c r="A280" s="44" t="s">
        <v>52</v>
      </c>
      <c r="B280" s="25">
        <f>G275+G276</f>
        <v>159.62050595711491</v>
      </c>
      <c r="C280" s="16"/>
      <c r="D280" s="16"/>
      <c r="E280" s="16"/>
      <c r="F280" s="16"/>
      <c r="G280" s="16"/>
      <c r="H280" s="16"/>
      <c r="I280" s="16"/>
      <c r="J280" s="16"/>
      <c r="K280" s="4"/>
    </row>
    <row r="281" spans="1:11" x14ac:dyDescent="0.25">
      <c r="A281" s="44" t="s">
        <v>94</v>
      </c>
      <c r="B281" s="25">
        <f>H275+H276</f>
        <v>2.6608811239476462</v>
      </c>
      <c r="C281" s="3"/>
      <c r="D281" s="16"/>
      <c r="E281" s="16"/>
      <c r="F281" s="16"/>
      <c r="G281" s="16"/>
      <c r="H281" s="16"/>
      <c r="I281" s="16"/>
      <c r="J281" s="16"/>
      <c r="K281" s="4"/>
    </row>
    <row r="282" spans="1:11" x14ac:dyDescent="0.25">
      <c r="A282" s="44" t="s">
        <v>93</v>
      </c>
      <c r="B282" s="25">
        <f>I275+I276</f>
        <v>13.947930115528818</v>
      </c>
      <c r="C282" s="16"/>
      <c r="D282" s="16"/>
      <c r="E282" s="16"/>
      <c r="F282" s="16"/>
      <c r="G282" s="16"/>
      <c r="H282" s="16"/>
      <c r="I282" s="16"/>
      <c r="J282" s="16"/>
      <c r="K282" s="4"/>
    </row>
    <row r="283" spans="1:11" ht="15.75" thickBot="1" x14ac:dyDescent="0.3">
      <c r="A283" s="46" t="s">
        <v>96</v>
      </c>
      <c r="B283" s="35">
        <f>B280+B282+B281</f>
        <v>176.22931719659135</v>
      </c>
      <c r="C283" s="37"/>
      <c r="D283" s="37"/>
      <c r="E283" s="37"/>
      <c r="F283" s="37"/>
      <c r="G283" s="37"/>
      <c r="H283" s="37"/>
      <c r="I283" s="37"/>
      <c r="J283" s="37"/>
      <c r="K283" s="41"/>
    </row>
    <row r="284" spans="1:11" ht="15.75" thickBot="1" x14ac:dyDescent="0.3"/>
    <row r="285" spans="1:11" ht="15.75" thickBot="1" x14ac:dyDescent="0.3">
      <c r="A285" s="72" t="s">
        <v>133</v>
      </c>
      <c r="B285" s="73"/>
      <c r="C285" s="73"/>
      <c r="D285" s="73"/>
      <c r="E285" s="70"/>
      <c r="F285" s="70"/>
      <c r="G285" s="70"/>
      <c r="H285" s="70"/>
      <c r="I285" s="70"/>
      <c r="J285" s="70"/>
      <c r="K285" s="71"/>
    </row>
    <row r="286" spans="1:11" ht="15.75" thickBot="1" x14ac:dyDescent="0.3">
      <c r="A286" s="7" t="s">
        <v>72</v>
      </c>
      <c r="B286" s="101"/>
      <c r="C286" s="101"/>
      <c r="D286" s="100" t="s">
        <v>51</v>
      </c>
      <c r="E286" s="7" t="s">
        <v>62</v>
      </c>
      <c r="F286" s="103" t="s">
        <v>65</v>
      </c>
      <c r="G286" s="3"/>
      <c r="H286" s="3"/>
      <c r="I286" s="3"/>
      <c r="J286" s="3"/>
      <c r="K286" s="4"/>
    </row>
    <row r="287" spans="1:11" x14ac:dyDescent="0.25">
      <c r="A287" s="144" t="s">
        <v>28</v>
      </c>
      <c r="B287" s="145"/>
      <c r="C287" s="145"/>
      <c r="D287" s="104">
        <f>B5</f>
        <v>35</v>
      </c>
      <c r="E287" s="6" t="s">
        <v>63</v>
      </c>
      <c r="F287" s="92">
        <f>$E$5</f>
        <v>0.1</v>
      </c>
      <c r="I287" s="16"/>
      <c r="J287" s="16"/>
      <c r="K287" s="4"/>
    </row>
    <row r="288" spans="1:11" ht="15.75" thickBot="1" x14ac:dyDescent="0.3">
      <c r="A288" s="42" t="s">
        <v>12</v>
      </c>
      <c r="B288" s="43"/>
      <c r="C288" s="43"/>
      <c r="D288" s="105">
        <f>B6</f>
        <v>16</v>
      </c>
      <c r="E288" s="38" t="s">
        <v>64</v>
      </c>
      <c r="F288" s="93">
        <f>$E$6</f>
        <v>0.5</v>
      </c>
      <c r="G288" s="16"/>
      <c r="H288" s="16"/>
      <c r="I288" s="16"/>
      <c r="J288" s="16"/>
      <c r="K288" s="4"/>
    </row>
    <row r="289" spans="1:11" x14ac:dyDescent="0.25">
      <c r="A289" s="42" t="s">
        <v>13</v>
      </c>
      <c r="B289" s="43"/>
      <c r="C289" s="43"/>
      <c r="D289" s="105">
        <f>B7</f>
        <v>20</v>
      </c>
      <c r="E289" s="16"/>
      <c r="F289" s="16"/>
      <c r="G289" s="16"/>
      <c r="H289" s="16"/>
      <c r="I289" s="16"/>
      <c r="J289" s="16"/>
      <c r="K289" s="4"/>
    </row>
    <row r="290" spans="1:11" ht="15.75" thickBot="1" x14ac:dyDescent="0.3">
      <c r="A290" s="74" t="s">
        <v>134</v>
      </c>
      <c r="B290" s="19"/>
      <c r="C290" s="37"/>
      <c r="D290" s="106">
        <f>B11</f>
        <v>10</v>
      </c>
      <c r="E290" s="16"/>
      <c r="F290" s="16"/>
      <c r="G290" s="16"/>
      <c r="H290" s="16"/>
      <c r="I290" s="16"/>
      <c r="J290" s="16"/>
      <c r="K290" s="4"/>
    </row>
    <row r="291" spans="1:11" ht="15.75" thickBot="1" x14ac:dyDescent="0.3">
      <c r="A291" s="42"/>
      <c r="B291" s="43"/>
      <c r="C291" s="43"/>
      <c r="D291" s="16"/>
      <c r="E291" s="16"/>
      <c r="F291" s="16"/>
      <c r="G291" s="16"/>
      <c r="H291" s="16"/>
      <c r="I291" s="16"/>
      <c r="J291" s="16"/>
      <c r="K291" s="4"/>
    </row>
    <row r="292" spans="1:11" ht="15.75" thickBot="1" x14ac:dyDescent="0.3">
      <c r="A292" s="142" t="s">
        <v>73</v>
      </c>
      <c r="B292" s="143"/>
      <c r="C292" s="58" t="s">
        <v>16</v>
      </c>
      <c r="D292" s="50"/>
      <c r="E292" s="50"/>
      <c r="F292" s="50"/>
      <c r="G292" s="59"/>
      <c r="H292" s="16"/>
      <c r="I292" s="16"/>
      <c r="J292" s="16"/>
      <c r="K292" s="4"/>
    </row>
    <row r="293" spans="1:11" x14ac:dyDescent="0.25">
      <c r="A293" s="55" t="s">
        <v>69</v>
      </c>
      <c r="B293" s="22" t="s">
        <v>1</v>
      </c>
      <c r="C293" s="22" t="s">
        <v>2</v>
      </c>
      <c r="D293" s="22" t="s">
        <v>3</v>
      </c>
      <c r="E293" s="22" t="s">
        <v>14</v>
      </c>
      <c r="F293" s="43" t="s">
        <v>5</v>
      </c>
      <c r="G293" s="53"/>
      <c r="H293" s="16"/>
      <c r="I293" s="16"/>
      <c r="J293" s="16"/>
      <c r="K293" s="4"/>
    </row>
    <row r="294" spans="1:11" x14ac:dyDescent="0.25">
      <c r="A294" s="56">
        <v>1</v>
      </c>
      <c r="B294" s="22">
        <v>3</v>
      </c>
      <c r="C294" s="22">
        <v>0.2</v>
      </c>
      <c r="D294" s="22">
        <v>0.25</v>
      </c>
      <c r="E294" s="22">
        <v>0.2</v>
      </c>
      <c r="F294" s="22">
        <f>SUM(C294:E294)</f>
        <v>0.65</v>
      </c>
      <c r="G294" s="25"/>
      <c r="H294" s="16"/>
      <c r="I294" s="16"/>
      <c r="J294" s="16"/>
      <c r="K294" s="4"/>
    </row>
    <row r="295" spans="1:11" ht="15.75" thickBot="1" x14ac:dyDescent="0.3">
      <c r="A295" s="57">
        <v>2</v>
      </c>
      <c r="B295" s="32">
        <v>4</v>
      </c>
      <c r="C295" s="32">
        <v>0.25</v>
      </c>
      <c r="D295" s="32">
        <v>0.15</v>
      </c>
      <c r="E295" s="32">
        <v>0.3</v>
      </c>
      <c r="F295" s="32">
        <f>SUM(C295:E295)</f>
        <v>0.7</v>
      </c>
      <c r="G295" s="35"/>
      <c r="H295" s="16"/>
      <c r="I295" s="16"/>
      <c r="J295" s="16"/>
      <c r="K295" s="4"/>
    </row>
    <row r="296" spans="1:11" ht="15.75" thickBot="1" x14ac:dyDescent="0.3">
      <c r="A296" s="45"/>
      <c r="B296" s="16"/>
      <c r="C296" s="16"/>
      <c r="D296" s="16"/>
      <c r="E296" s="16"/>
      <c r="F296" s="16"/>
      <c r="G296" s="16"/>
      <c r="H296" s="16"/>
      <c r="I296" s="16"/>
      <c r="J296" s="16"/>
      <c r="K296" s="4"/>
    </row>
    <row r="297" spans="1:11" ht="15.75" thickBot="1" x14ac:dyDescent="0.3">
      <c r="A297" s="49" t="s">
        <v>74</v>
      </c>
      <c r="B297" s="50"/>
      <c r="C297" s="50"/>
      <c r="D297" s="59"/>
      <c r="E297" s="16"/>
      <c r="F297" s="16"/>
      <c r="G297" s="16"/>
      <c r="H297" s="16"/>
      <c r="I297" s="16"/>
      <c r="J297" s="16"/>
      <c r="K297" s="4"/>
    </row>
    <row r="298" spans="1:11" x14ac:dyDescent="0.25">
      <c r="A298" s="75" t="s">
        <v>69</v>
      </c>
      <c r="B298" s="102" t="s">
        <v>6</v>
      </c>
      <c r="C298" s="102" t="s">
        <v>7</v>
      </c>
      <c r="D298" s="96" t="s">
        <v>8</v>
      </c>
      <c r="E298" s="3"/>
      <c r="F298" s="16"/>
      <c r="G298" s="16"/>
      <c r="H298" s="16"/>
      <c r="I298" s="16"/>
      <c r="J298" s="16"/>
      <c r="K298" s="4"/>
    </row>
    <row r="299" spans="1:11" x14ac:dyDescent="0.25">
      <c r="A299" s="56">
        <v>1</v>
      </c>
      <c r="B299" s="22">
        <f>((B304/B294)*(C294/$D$247)^(D294+E294)*($D$248/D294)^D294*($D$249/E294)^E294)^(1/F294)</f>
        <v>1.8305713872841335E-2</v>
      </c>
      <c r="C299" s="22">
        <f>((B304/B294)*(D294/$D$248)^(C294+E294)*($D$247/C294)^C294*($D$249/E294)^E294)^(1/F294)</f>
        <v>5.0054686371050587E-2</v>
      </c>
      <c r="D299" s="25">
        <f>((B304/B294)*(E294/$D$249)^(C294+D294)*($D$247/C294)^C294*($D$248/D294)^D294)^(1/F294)</f>
        <v>3.2034999277472352E-2</v>
      </c>
      <c r="E299" s="16"/>
      <c r="F299" s="16"/>
      <c r="G299" s="16"/>
      <c r="H299" s="16"/>
      <c r="I299" s="16"/>
      <c r="J299" s="16"/>
      <c r="K299" s="4"/>
    </row>
    <row r="300" spans="1:11" ht="15.75" thickBot="1" x14ac:dyDescent="0.3">
      <c r="A300" s="57">
        <v>2</v>
      </c>
      <c r="B300" s="32">
        <f>((B305/B295)*(C295/$D$247)^(D295+E295)*($D$248/D295)^D295*($D$249/E295)^E295)^(1/F295)</f>
        <v>3.6958029087689831E-2</v>
      </c>
      <c r="C300" s="32">
        <f>((B305/B295)*(D295/$D$248)^(C295+E295)*($D$247/C295)^C295*($D$249/E295)^E295)^(1/F295)</f>
        <v>4.8507413177592863E-2</v>
      </c>
      <c r="D300" s="35">
        <f>((B305/B295)*(E295/$D$249)^(C295+D295)*($D$247/C295)^C295*($D$248/D295)^D295)^(1/F295)</f>
        <v>7.7611861084148581E-2</v>
      </c>
      <c r="E300" s="16"/>
      <c r="F300" s="16"/>
      <c r="G300" s="16"/>
      <c r="H300" s="16"/>
      <c r="I300" s="16"/>
      <c r="J300" s="16"/>
      <c r="K300" s="4"/>
    </row>
    <row r="301" spans="1:11" ht="15.75" thickBot="1" x14ac:dyDescent="0.3">
      <c r="A301" s="54"/>
      <c r="B301" s="22"/>
      <c r="C301" s="22"/>
      <c r="D301" s="22"/>
      <c r="E301" s="3"/>
      <c r="F301" s="16"/>
      <c r="G301" s="16"/>
      <c r="H301" s="16"/>
      <c r="I301" s="16"/>
      <c r="J301" s="16"/>
      <c r="K301" s="4"/>
    </row>
    <row r="302" spans="1:11" ht="15.75" thickBot="1" x14ac:dyDescent="0.3">
      <c r="A302" s="49" t="s">
        <v>75</v>
      </c>
      <c r="B302" s="50"/>
      <c r="C302" s="50"/>
      <c r="D302" s="50"/>
      <c r="E302" s="59"/>
      <c r="F302" s="16"/>
      <c r="G302" s="16"/>
      <c r="H302" s="16"/>
      <c r="I302" s="16"/>
      <c r="J302" s="16"/>
      <c r="K302" s="4"/>
    </row>
    <row r="303" spans="1:11" x14ac:dyDescent="0.25">
      <c r="A303" s="44" t="s">
        <v>69</v>
      </c>
      <c r="B303" s="60" t="s">
        <v>11</v>
      </c>
      <c r="C303" s="60"/>
      <c r="D303" s="60" t="s">
        <v>31</v>
      </c>
      <c r="E303" s="61"/>
      <c r="F303" s="16"/>
      <c r="G303" s="16"/>
      <c r="H303" s="16"/>
      <c r="I303" s="16"/>
      <c r="J303" s="16"/>
      <c r="K303" s="4"/>
    </row>
    <row r="304" spans="1:11" x14ac:dyDescent="0.25">
      <c r="A304" s="56">
        <v>1</v>
      </c>
      <c r="B304" s="115">
        <f>(D290*B294^(1/F294)*C294^(C294/F294)*D294^(D294/F294)*E294^(E294/F294)*$D$247^(-C294/F294)*$D$248^(-D294/F294)*$D$249^(-E294/F294))^(F294/(1-F294))</f>
        <v>0.32034999277472342</v>
      </c>
      <c r="C304" s="22"/>
      <c r="D304" s="22">
        <f>B294*(B299^C294)*(C299^D294)*(D299^E294)</f>
        <v>0.32034999277472342</v>
      </c>
      <c r="E304" s="17"/>
      <c r="F304" s="16"/>
      <c r="G304" s="16"/>
      <c r="H304" s="16"/>
      <c r="I304" s="16"/>
      <c r="J304" s="16"/>
      <c r="K304" s="4"/>
    </row>
    <row r="305" spans="1:11" ht="15.75" thickBot="1" x14ac:dyDescent="0.3">
      <c r="A305" s="57">
        <v>2</v>
      </c>
      <c r="B305" s="32">
        <f>(D290*B295^(1/F295)*C295^(C295/F295)*D295^(D295/F295)*E295^(E295/F295)*$D$247^(-C295/F295)*$D$248^(-D295/F295)*$D$249^(-E295/F295))^(F295/(1-F295))</f>
        <v>0.51741240722765758</v>
      </c>
      <c r="C305" s="32"/>
      <c r="D305" s="32">
        <f>B295*(B300^C295)*(C300^D295)*(D300^E295)</f>
        <v>0.51741240722765747</v>
      </c>
      <c r="E305" s="20"/>
      <c r="F305" s="16"/>
      <c r="G305" s="16"/>
      <c r="H305" s="16"/>
      <c r="I305" s="16"/>
      <c r="J305" s="16"/>
      <c r="K305" s="4"/>
    </row>
    <row r="306" spans="1:11" ht="15.75" thickBot="1" x14ac:dyDescent="0.3">
      <c r="A306" s="56"/>
      <c r="B306" s="22"/>
      <c r="C306" s="22"/>
      <c r="D306" s="22"/>
      <c r="E306" s="16"/>
      <c r="F306" s="16"/>
      <c r="G306" s="16"/>
      <c r="H306" s="16"/>
      <c r="I306" s="16"/>
      <c r="J306" s="16"/>
      <c r="K306" s="4"/>
    </row>
    <row r="307" spans="1:11" ht="15.75" thickBot="1" x14ac:dyDescent="0.3">
      <c r="A307" s="49" t="s">
        <v>81</v>
      </c>
      <c r="B307" s="50"/>
      <c r="C307" s="50"/>
      <c r="D307" s="59"/>
      <c r="E307" s="16"/>
      <c r="F307" s="16"/>
      <c r="G307" s="16"/>
      <c r="H307" s="16"/>
      <c r="I307" s="16"/>
      <c r="J307" s="16"/>
      <c r="K307" s="4"/>
    </row>
    <row r="308" spans="1:11" x14ac:dyDescent="0.25">
      <c r="A308" s="75" t="s">
        <v>69</v>
      </c>
      <c r="B308" s="102" t="s">
        <v>91</v>
      </c>
      <c r="C308" s="112" t="s">
        <v>84</v>
      </c>
      <c r="D308" s="96" t="s">
        <v>66</v>
      </c>
      <c r="E308" s="16"/>
      <c r="F308" s="16"/>
      <c r="G308" s="16"/>
      <c r="H308" s="16"/>
      <c r="I308" s="16"/>
      <c r="J308" s="16"/>
      <c r="K308" s="4"/>
    </row>
    <row r="309" spans="1:11" x14ac:dyDescent="0.25">
      <c r="A309" s="56">
        <v>1</v>
      </c>
      <c r="B309" s="22">
        <f>D290*B304-D287*B299-D288*C299-D289*D299</f>
        <v>1.1212249747115313</v>
      </c>
      <c r="C309" s="22">
        <f>(1-$F$50)*B309-$F$51</f>
        <v>0.50910247724037827</v>
      </c>
      <c r="D309" s="25">
        <f>$F$50*B309+$F$51</f>
        <v>0.6121224974711531</v>
      </c>
      <c r="E309" s="16"/>
      <c r="F309" s="16"/>
      <c r="G309" s="16"/>
      <c r="H309" s="16"/>
      <c r="I309" s="16"/>
      <c r="J309" s="16"/>
      <c r="K309" s="4"/>
    </row>
    <row r="310" spans="1:11" ht="15.75" thickBot="1" x14ac:dyDescent="0.3">
      <c r="A310" s="57">
        <v>2</v>
      </c>
      <c r="B310" s="32">
        <f>D290*B305-D287*B300-D288*C300-D289*D300</f>
        <v>1.5522372216829743</v>
      </c>
      <c r="C310" s="32">
        <f>(1-$F$50)*B310-$F$51</f>
        <v>0.89701349951467679</v>
      </c>
      <c r="D310" s="35">
        <f>$F$50*B310+$F$51</f>
        <v>0.6552237221682975</v>
      </c>
      <c r="E310" s="16"/>
      <c r="F310" s="16"/>
      <c r="G310" s="16"/>
      <c r="H310" s="16"/>
      <c r="I310" s="16"/>
      <c r="J310" s="16"/>
      <c r="K310" s="4"/>
    </row>
    <row r="311" spans="1:11" ht="15.75" thickBot="1" x14ac:dyDescent="0.3">
      <c r="A311" s="45"/>
      <c r="B311" s="16"/>
      <c r="C311" s="16"/>
      <c r="D311" s="16"/>
      <c r="E311" s="16"/>
      <c r="F311" s="16"/>
      <c r="G311" s="16"/>
      <c r="H311" s="16"/>
      <c r="I311" s="16"/>
      <c r="J311" s="16"/>
      <c r="K311" s="4"/>
    </row>
    <row r="312" spans="1:11" ht="15.75" thickBot="1" x14ac:dyDescent="0.3">
      <c r="A312" s="49" t="s">
        <v>76</v>
      </c>
      <c r="B312" s="50"/>
      <c r="C312" s="50"/>
      <c r="D312" s="50"/>
      <c r="E312" s="50"/>
      <c r="F312" s="50"/>
      <c r="G312" s="50"/>
      <c r="H312" s="50"/>
      <c r="I312" s="50"/>
      <c r="J312" s="50"/>
      <c r="K312" s="9"/>
    </row>
    <row r="313" spans="1:11" x14ac:dyDescent="0.25">
      <c r="A313" s="151" t="s">
        <v>69</v>
      </c>
      <c r="B313" s="113" t="s">
        <v>43</v>
      </c>
      <c r="C313" s="114" t="s">
        <v>44</v>
      </c>
      <c r="D313" s="113" t="s">
        <v>40</v>
      </c>
      <c r="E313" s="114" t="s">
        <v>45</v>
      </c>
      <c r="F313" s="113" t="s">
        <v>85</v>
      </c>
      <c r="G313" s="102" t="s">
        <v>86</v>
      </c>
      <c r="H313" s="102" t="s">
        <v>86</v>
      </c>
      <c r="I313" s="102" t="s">
        <v>86</v>
      </c>
      <c r="J313" s="96" t="s">
        <v>87</v>
      </c>
      <c r="K313" s="25"/>
    </row>
    <row r="314" spans="1:11" x14ac:dyDescent="0.25">
      <c r="A314" s="136"/>
      <c r="B314" s="21" t="s">
        <v>17</v>
      </c>
      <c r="C314" s="23" t="s">
        <v>18</v>
      </c>
      <c r="D314" s="21" t="s">
        <v>20</v>
      </c>
      <c r="E314" s="23" t="s">
        <v>32</v>
      </c>
      <c r="F314" s="21" t="s">
        <v>21</v>
      </c>
      <c r="G314" s="22" t="s">
        <v>18</v>
      </c>
      <c r="H314" s="40" t="s">
        <v>90</v>
      </c>
      <c r="I314" s="22" t="s">
        <v>88</v>
      </c>
      <c r="J314" s="25" t="s">
        <v>92</v>
      </c>
      <c r="K314" s="25"/>
    </row>
    <row r="315" spans="1:11" x14ac:dyDescent="0.25">
      <c r="A315" s="62">
        <v>1</v>
      </c>
      <c r="B315" s="21">
        <f>D290*F294*B304</f>
        <v>2.0822749530357023</v>
      </c>
      <c r="C315" s="23">
        <f>D287*B299+D288*C299+D289*D299</f>
        <v>2.0822749530357032</v>
      </c>
      <c r="D315" s="21">
        <f>F294*B304</f>
        <v>0.20822749530357024</v>
      </c>
      <c r="E315" s="23">
        <f>B304-B309/D290</f>
        <v>0.20822749530357029</v>
      </c>
      <c r="F315" s="21">
        <f>D290*B304</f>
        <v>3.2034999277472345</v>
      </c>
      <c r="G315" s="22">
        <f>D287*B299+D288*C299+D289*D299</f>
        <v>2.0822749530357032</v>
      </c>
      <c r="H315" s="22">
        <f>D309</f>
        <v>0.6121224974711531</v>
      </c>
      <c r="I315" s="22">
        <f>C309</f>
        <v>0.50910247724037827</v>
      </c>
      <c r="J315" s="25">
        <f>G315+H315+I315</f>
        <v>3.2034999277472345</v>
      </c>
      <c r="K315" s="25"/>
    </row>
    <row r="316" spans="1:11" ht="15.75" thickBot="1" x14ac:dyDescent="0.3">
      <c r="A316" s="63">
        <v>2</v>
      </c>
      <c r="B316" s="31">
        <f>D290*F295*B305</f>
        <v>3.621886850593603</v>
      </c>
      <c r="C316" s="33">
        <f>D287*B300+D288*C300+D289*D300</f>
        <v>3.6218868505936017</v>
      </c>
      <c r="D316" s="31">
        <f>F295*B305</f>
        <v>0.3621886850593603</v>
      </c>
      <c r="E316" s="33">
        <f>B305-B310/D290</f>
        <v>0.36218868505936014</v>
      </c>
      <c r="F316" s="31">
        <f>D290*B305</f>
        <v>5.1741240722765758</v>
      </c>
      <c r="G316" s="32">
        <f>D287*B300+D288*C300+D289*D300</f>
        <v>3.6218868505936017</v>
      </c>
      <c r="H316" s="32">
        <f>D310</f>
        <v>0.6552237221682975</v>
      </c>
      <c r="I316" s="32">
        <f>C310</f>
        <v>0.89701349951467679</v>
      </c>
      <c r="J316" s="35">
        <f>G316+H316+I316</f>
        <v>5.1741240722765758</v>
      </c>
      <c r="K316" s="35"/>
    </row>
    <row r="317" spans="1:11" ht="15.75" thickBot="1" x14ac:dyDescent="0.3">
      <c r="A317" s="45"/>
      <c r="B317" s="16"/>
      <c r="C317" s="16"/>
      <c r="D317" s="16"/>
      <c r="E317" s="16"/>
      <c r="F317" s="16"/>
      <c r="G317" s="16"/>
      <c r="H317" s="16"/>
      <c r="I317" s="16"/>
      <c r="J317" s="16"/>
      <c r="K317" s="17"/>
    </row>
    <row r="318" spans="1:11" ht="15.75" thickBot="1" x14ac:dyDescent="0.3">
      <c r="A318" s="49" t="s">
        <v>77</v>
      </c>
      <c r="B318" s="79" t="s">
        <v>95</v>
      </c>
      <c r="C318" s="16"/>
      <c r="D318" s="16"/>
      <c r="E318" s="16"/>
      <c r="F318" s="16"/>
      <c r="G318" s="16"/>
      <c r="H318" s="16"/>
      <c r="I318" s="16"/>
      <c r="J318" s="16"/>
      <c r="K318" s="4"/>
    </row>
    <row r="319" spans="1:11" x14ac:dyDescent="0.25">
      <c r="A319" s="44" t="s">
        <v>23</v>
      </c>
      <c r="B319" s="25">
        <f>F315+F316</f>
        <v>8.3776240000238111</v>
      </c>
      <c r="C319" s="16"/>
      <c r="D319" s="16"/>
      <c r="E319" s="16"/>
      <c r="F319" s="16"/>
      <c r="G319" s="16"/>
      <c r="H319" s="16"/>
      <c r="I319" s="16"/>
      <c r="J319" s="16"/>
      <c r="K319" s="4"/>
    </row>
    <row r="320" spans="1:11" x14ac:dyDescent="0.25">
      <c r="A320" s="44" t="s">
        <v>52</v>
      </c>
      <c r="B320" s="25">
        <f>G315+G316</f>
        <v>5.7041618036293045</v>
      </c>
      <c r="C320" s="16"/>
      <c r="D320" s="16"/>
      <c r="E320" s="16"/>
      <c r="F320" s="16"/>
      <c r="G320" s="16"/>
      <c r="H320" s="16"/>
      <c r="I320" s="16"/>
      <c r="J320" s="16"/>
      <c r="K320" s="4"/>
    </row>
    <row r="321" spans="1:11" x14ac:dyDescent="0.25">
      <c r="A321" s="44" t="s">
        <v>94</v>
      </c>
      <c r="B321" s="25">
        <f>H315+H316</f>
        <v>1.2673462196394505</v>
      </c>
      <c r="C321" s="3"/>
      <c r="D321" s="16"/>
      <c r="E321" s="16"/>
      <c r="F321" s="16"/>
      <c r="G321" s="16"/>
      <c r="H321" s="16"/>
      <c r="I321" s="16"/>
      <c r="J321" s="16"/>
      <c r="K321" s="4"/>
    </row>
    <row r="322" spans="1:11" x14ac:dyDescent="0.25">
      <c r="A322" s="44" t="s">
        <v>93</v>
      </c>
      <c r="B322" s="25">
        <f>I315+I316</f>
        <v>1.4061159767550551</v>
      </c>
      <c r="C322" s="16"/>
      <c r="D322" s="16"/>
      <c r="E322" s="16"/>
      <c r="F322" s="16"/>
      <c r="G322" s="16"/>
      <c r="H322" s="16"/>
      <c r="I322" s="16"/>
      <c r="J322" s="16"/>
      <c r="K322" s="4"/>
    </row>
    <row r="323" spans="1:11" ht="15.75" thickBot="1" x14ac:dyDescent="0.3">
      <c r="A323" s="46" t="s">
        <v>96</v>
      </c>
      <c r="B323" s="35">
        <f>B320+B322+B321</f>
        <v>8.3776240000238111</v>
      </c>
      <c r="C323" s="37"/>
      <c r="D323" s="37"/>
      <c r="E323" s="37"/>
      <c r="F323" s="37"/>
      <c r="G323" s="37"/>
      <c r="H323" s="37"/>
      <c r="I323" s="37"/>
      <c r="J323" s="37"/>
      <c r="K323" s="41"/>
    </row>
  </sheetData>
  <mergeCells count="46">
    <mergeCell ref="A287:C287"/>
    <mergeCell ref="A292:B292"/>
    <mergeCell ref="A313:A314"/>
    <mergeCell ref="A247:C247"/>
    <mergeCell ref="A252:B252"/>
    <mergeCell ref="A273:A274"/>
    <mergeCell ref="F34:G34"/>
    <mergeCell ref="A172:B172"/>
    <mergeCell ref="A193:A194"/>
    <mergeCell ref="A89:C89"/>
    <mergeCell ref="K24:K25"/>
    <mergeCell ref="A30:B30"/>
    <mergeCell ref="A31:B31"/>
    <mergeCell ref="C24:E24"/>
    <mergeCell ref="F24:G24"/>
    <mergeCell ref="J24:J25"/>
    <mergeCell ref="A207:C207"/>
    <mergeCell ref="A212:B212"/>
    <mergeCell ref="A233:A234"/>
    <mergeCell ref="H14:I14"/>
    <mergeCell ref="H24:I24"/>
    <mergeCell ref="A93:B93"/>
    <mergeCell ref="A114:A115"/>
    <mergeCell ref="A128:C128"/>
    <mergeCell ref="A132:B132"/>
    <mergeCell ref="A153:A154"/>
    <mergeCell ref="A167:C167"/>
    <mergeCell ref="A34:C34"/>
    <mergeCell ref="D34:E34"/>
    <mergeCell ref="A50:C50"/>
    <mergeCell ref="A54:B54"/>
    <mergeCell ref="A75:A76"/>
    <mergeCell ref="M14:M15"/>
    <mergeCell ref="A16:A18"/>
    <mergeCell ref="M24:M25"/>
    <mergeCell ref="A26:A28"/>
    <mergeCell ref="A29:B29"/>
    <mergeCell ref="L14:L15"/>
    <mergeCell ref="L24:L25"/>
    <mergeCell ref="A19:B19"/>
    <mergeCell ref="A20:B20"/>
    <mergeCell ref="A21:B21"/>
    <mergeCell ref="C14:E14"/>
    <mergeCell ref="F14:G14"/>
    <mergeCell ref="J14:J15"/>
    <mergeCell ref="K14:K15"/>
  </mergeCells>
  <conditionalFormatting sqref="F214">
    <cfRule type="cellIs" dxfId="13" priority="7" operator="notEqual">
      <formula>#REF!</formula>
    </cfRule>
    <cfRule type="cellIs" priority="8" operator="notEqual">
      <formula>#REF!</formula>
    </cfRule>
  </conditionalFormatting>
  <conditionalFormatting sqref="F56">
    <cfRule type="cellIs" dxfId="12" priority="19" operator="notEqual">
      <formula>#REF!</formula>
    </cfRule>
    <cfRule type="cellIs" priority="20" operator="notEqual">
      <formula>#REF!</formula>
    </cfRule>
  </conditionalFormatting>
  <conditionalFormatting sqref="F57:F58">
    <cfRule type="cellIs" dxfId="11" priority="21" operator="notEqual">
      <formula>#REF!</formula>
    </cfRule>
  </conditionalFormatting>
  <conditionalFormatting sqref="F95">
    <cfRule type="cellIs" dxfId="10" priority="16" operator="notEqual">
      <formula>#REF!</formula>
    </cfRule>
    <cfRule type="cellIs" priority="17" operator="notEqual">
      <formula>#REF!</formula>
    </cfRule>
  </conditionalFormatting>
  <conditionalFormatting sqref="F96:F97">
    <cfRule type="cellIs" dxfId="9" priority="18" operator="notEqual">
      <formula>#REF!</formula>
    </cfRule>
  </conditionalFormatting>
  <conditionalFormatting sqref="F134">
    <cfRule type="cellIs" dxfId="8" priority="13" operator="notEqual">
      <formula>#REF!</formula>
    </cfRule>
    <cfRule type="cellIs" priority="14" operator="notEqual">
      <formula>#REF!</formula>
    </cfRule>
  </conditionalFormatting>
  <conditionalFormatting sqref="F135:F136">
    <cfRule type="cellIs" dxfId="7" priority="15" operator="notEqual">
      <formula>#REF!</formula>
    </cfRule>
  </conditionalFormatting>
  <conditionalFormatting sqref="F174">
    <cfRule type="cellIs" dxfId="6" priority="10" operator="notEqual">
      <formula>#REF!</formula>
    </cfRule>
    <cfRule type="cellIs" priority="11" operator="notEqual">
      <formula>#REF!</formula>
    </cfRule>
  </conditionalFormatting>
  <conditionalFormatting sqref="F175:F176">
    <cfRule type="cellIs" dxfId="5" priority="12" operator="notEqual">
      <formula>#REF!</formula>
    </cfRule>
  </conditionalFormatting>
  <conditionalFormatting sqref="F215:F216">
    <cfRule type="cellIs" dxfId="4" priority="9" operator="notEqual">
      <formula>#REF!</formula>
    </cfRule>
  </conditionalFormatting>
  <conditionalFormatting sqref="F254">
    <cfRule type="cellIs" dxfId="3" priority="4" operator="notEqual">
      <formula>#REF!</formula>
    </cfRule>
    <cfRule type="cellIs" priority="5" operator="notEqual">
      <formula>#REF!</formula>
    </cfRule>
  </conditionalFormatting>
  <conditionalFormatting sqref="F255:F256">
    <cfRule type="cellIs" dxfId="2" priority="6" operator="notEqual">
      <formula>#REF!</formula>
    </cfRule>
  </conditionalFormatting>
  <conditionalFormatting sqref="F294">
    <cfRule type="cellIs" dxfId="1" priority="1" operator="notEqual">
      <formula>#REF!</formula>
    </cfRule>
    <cfRule type="cellIs" priority="2" operator="notEqual">
      <formula>#REF!</formula>
    </cfRule>
  </conditionalFormatting>
  <conditionalFormatting sqref="F295:F296">
    <cfRule type="cellIs" dxfId="0" priority="3" operator="notEqual">
      <formula>#REF!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General</vt:lpstr>
      <vt:lpstr>2. Government</vt:lpstr>
      <vt:lpstr>3. Foreign trade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benjamin</dc:creator>
  <cp:lastModifiedBy>Benjamin Leiva</cp:lastModifiedBy>
  <dcterms:created xsi:type="dcterms:W3CDTF">2019-02-05T21:09:29Z</dcterms:created>
  <dcterms:modified xsi:type="dcterms:W3CDTF">2021-08-31T19:26:58Z</dcterms:modified>
</cp:coreProperties>
</file>