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Nick\OneDrive\Documents\WTC Manuscript Scientific Reports Submission 2026\"/>
    </mc:Choice>
  </mc:AlternateContent>
  <xr:revisionPtr revIDLastSave="0" documentId="13_ncr:1_{C6754C7A-E0B0-41E9-B275-59E177DFE7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ice Only" sheetId="1" r:id="rId1"/>
    <sheet name="All Samples" sheetId="2" r:id="rId2"/>
    <sheet name="Mice Only - v2" sheetId="3" r:id="rId3"/>
    <sheet name="All Samples - v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nfqPYCP409TozR1isDl2F25crX3wb6MM6TqYJreepNY="/>
    </ext>
  </extLst>
</workbook>
</file>

<file path=xl/calcChain.xml><?xml version="1.0" encoding="utf-8"?>
<calcChain xmlns="http://schemas.openxmlformats.org/spreadsheetml/2006/main">
  <c r="F30" i="4" l="1"/>
  <c r="E30" i="4"/>
  <c r="D30" i="4"/>
  <c r="C30" i="4"/>
  <c r="F29" i="4"/>
  <c r="E29" i="4"/>
  <c r="D29" i="4"/>
  <c r="C29" i="4"/>
  <c r="F28" i="4"/>
  <c r="E28" i="4"/>
  <c r="D28" i="4"/>
  <c r="C28" i="4"/>
  <c r="F27" i="4"/>
  <c r="E27" i="4"/>
  <c r="D27" i="4"/>
  <c r="C27" i="4"/>
  <c r="F24" i="4"/>
  <c r="E24" i="4"/>
  <c r="D24" i="4"/>
  <c r="C24" i="4"/>
  <c r="F23" i="4"/>
  <c r="E23" i="4"/>
  <c r="D23" i="4"/>
  <c r="C23" i="4"/>
  <c r="F22" i="4"/>
  <c r="E22" i="4"/>
  <c r="D22" i="4"/>
  <c r="C22" i="4"/>
  <c r="F21" i="4"/>
  <c r="E21" i="4"/>
  <c r="D21" i="4"/>
  <c r="C21" i="4"/>
  <c r="F18" i="4"/>
  <c r="E18" i="4"/>
  <c r="D18" i="4"/>
  <c r="C18" i="4"/>
  <c r="F17" i="4"/>
  <c r="E17" i="4"/>
  <c r="D17" i="4"/>
  <c r="C17" i="4"/>
  <c r="F16" i="4"/>
  <c r="E16" i="4"/>
  <c r="D16" i="4"/>
  <c r="C16" i="4"/>
  <c r="F15" i="4"/>
  <c r="E15" i="4"/>
  <c r="D15" i="4"/>
  <c r="C15" i="4"/>
  <c r="F12" i="4"/>
  <c r="E12" i="4"/>
  <c r="D12" i="4"/>
  <c r="C12" i="4"/>
  <c r="F11" i="4"/>
  <c r="E11" i="4"/>
  <c r="D11" i="4"/>
  <c r="C11" i="4"/>
  <c r="F10" i="4"/>
  <c r="E10" i="4"/>
  <c r="D10" i="4"/>
  <c r="C10" i="4"/>
  <c r="F9" i="4"/>
  <c r="E9" i="4"/>
  <c r="D9" i="4"/>
  <c r="C9" i="4"/>
  <c r="F41" i="3"/>
  <c r="E41" i="3"/>
  <c r="D41" i="3"/>
  <c r="C41" i="3"/>
  <c r="F40" i="3"/>
  <c r="E40" i="3"/>
  <c r="D40" i="3"/>
  <c r="C40" i="3"/>
  <c r="F39" i="3"/>
  <c r="E39" i="3"/>
  <c r="D39" i="3"/>
  <c r="C39" i="3"/>
  <c r="F38" i="3"/>
  <c r="E38" i="3"/>
  <c r="D38" i="3"/>
  <c r="C38" i="3"/>
  <c r="F37" i="3"/>
  <c r="E37" i="3"/>
  <c r="D37" i="3"/>
  <c r="C37" i="3"/>
  <c r="F34" i="3"/>
  <c r="E34" i="3"/>
  <c r="D34" i="3"/>
  <c r="C34" i="3"/>
  <c r="F33" i="3"/>
  <c r="E33" i="3"/>
  <c r="D33" i="3"/>
  <c r="C33" i="3"/>
  <c r="F32" i="3"/>
  <c r="E32" i="3"/>
  <c r="D32" i="3"/>
  <c r="C32" i="3"/>
  <c r="F31" i="3"/>
  <c r="E31" i="3"/>
  <c r="D31" i="3"/>
  <c r="C31" i="3"/>
  <c r="F30" i="3"/>
  <c r="E30" i="3"/>
  <c r="D30" i="3"/>
  <c r="C30" i="3"/>
  <c r="F27" i="3"/>
  <c r="E27" i="3"/>
  <c r="D27" i="3"/>
  <c r="C27" i="3"/>
  <c r="F26" i="3"/>
  <c r="E26" i="3"/>
  <c r="D26" i="3"/>
  <c r="C26" i="3"/>
  <c r="F25" i="3"/>
  <c r="E25" i="3"/>
  <c r="D25" i="3"/>
  <c r="C25" i="3"/>
  <c r="F24" i="3"/>
  <c r="E24" i="3"/>
  <c r="D24" i="3"/>
  <c r="C24" i="3"/>
  <c r="F23" i="3"/>
  <c r="E23" i="3"/>
  <c r="D23" i="3"/>
  <c r="C23" i="3"/>
  <c r="F20" i="3"/>
  <c r="E20" i="3"/>
  <c r="D20" i="3"/>
  <c r="C20" i="3"/>
  <c r="F19" i="3"/>
  <c r="E19" i="3"/>
  <c r="D19" i="3"/>
  <c r="C19" i="3"/>
  <c r="F18" i="3"/>
  <c r="E18" i="3"/>
  <c r="D18" i="3"/>
  <c r="C18" i="3"/>
  <c r="F17" i="3"/>
  <c r="E17" i="3"/>
  <c r="D17" i="3"/>
  <c r="C17" i="3"/>
  <c r="F16" i="3"/>
  <c r="E16" i="3"/>
  <c r="D16" i="3"/>
  <c r="C16" i="3"/>
  <c r="F13" i="3"/>
  <c r="E13" i="3"/>
  <c r="D13" i="3"/>
  <c r="C13" i="3"/>
  <c r="F12" i="3"/>
  <c r="E12" i="3"/>
  <c r="D12" i="3"/>
  <c r="C12" i="3"/>
  <c r="F11" i="3"/>
  <c r="E11" i="3"/>
  <c r="D11" i="3"/>
  <c r="C11" i="3"/>
  <c r="F10" i="3"/>
  <c r="E10" i="3"/>
  <c r="D10" i="3"/>
  <c r="C10" i="3"/>
  <c r="F9" i="3"/>
  <c r="E9" i="3"/>
  <c r="D9" i="3"/>
  <c r="C9" i="3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6" authorId="0" shapeId="0" xr:uid="{00000000-0006-0000-0200-000001000000}">
      <text>
        <r>
          <rPr>
            <sz val="10"/>
            <color rgb="FF000000"/>
            <rFont val="Arial"/>
            <scheme val="minor"/>
          </rPr>
          <t>======
ID#AAABgcjnpKk
Devin Nathan    (2025-03-17 18:20:56)
@nfavazza1@pride.hofstra.edu - Updated Style for first table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1JaOL4h0Dv8IpNEUnZG33N3mjR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6" authorId="0" shapeId="0" xr:uid="{00000000-0006-0000-0300-000001000000}">
      <text>
        <r>
          <rPr>
            <sz val="10"/>
            <color rgb="FF000000"/>
            <rFont val="Arial"/>
            <scheme val="minor"/>
          </rPr>
          <t>======
ID#AAABgcjnpKo
Devin Nathan    (2025-03-17 18:21:21)
@nfavazza1@pride.hofstra.edu - Updated Style for Second Table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eS/7ZCBMl0jWBLXK9FePe9CTB0w=="/>
    </ext>
  </extLst>
</comments>
</file>

<file path=xl/sharedStrings.xml><?xml version="1.0" encoding="utf-8"?>
<sst xmlns="http://schemas.openxmlformats.org/spreadsheetml/2006/main" count="129" uniqueCount="13">
  <si>
    <t>Combined Co-Occurence Matrices Table</t>
  </si>
  <si>
    <t>Sample Identifiers</t>
  </si>
  <si>
    <t>CD45</t>
  </si>
  <si>
    <t>P-Tyrosine</t>
  </si>
  <si>
    <t>Ki-67</t>
  </si>
  <si>
    <t>Collagen type I</t>
  </si>
  <si>
    <t>Pan-cytokeratin</t>
  </si>
  <si>
    <t>Total Biomarker Cell Count</t>
  </si>
  <si>
    <t>P-tyrosine</t>
  </si>
  <si>
    <t>VIP KO Control</t>
  </si>
  <si>
    <t>VIP KO WTC Exposed</t>
  </si>
  <si>
    <t>WT WTC Exposed</t>
  </si>
  <si>
    <t>WT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</si>
</sst>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36"/>
      <color theme="1"/>
      <name val="Arial"/>
    </font>
    <font>
      <sz val="21"/>
      <color theme="1"/>
      <name val="Arial"/>
    </font>
    <font>
      <sz val="10"/>
      <name val="Arial"/>
    </font>
    <font>
      <b/>
      <sz val="18"/>
      <color theme="1"/>
      <name val="Arial"/>
    </font>
    <font>
      <sz val="10"/>
      <color rgb="FF000000"/>
      <name val="Arial"/>
    </font>
    <font>
      <sz val="16"/>
      <color theme="1"/>
      <name val="Arial"/>
    </font>
    <font>
      <b/>
      <sz val="22"/>
      <color theme="1"/>
      <name val="Arial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9FC5E8"/>
        <bgColor rgb="FF9FC5E8"/>
      </patternFill>
    </fill>
    <fill>
      <patternFill patternType="solid">
        <fgColor rgb="FF6FA8DC"/>
        <bgColor rgb="FF6FA8DC"/>
      </patternFill>
    </fill>
    <fill>
      <patternFill patternType="solid">
        <fgColor rgb="FF3D85C6"/>
        <bgColor rgb="FF3D85C6"/>
      </patternFill>
    </fill>
    <fill>
      <patternFill patternType="solid">
        <fgColor rgb="FFD8D8D8"/>
        <bgColor rgb="FFD8D8D8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textRotation="60"/>
    </xf>
    <xf numFmtId="0" fontId="1" fillId="3" borderId="2" xfId="0" applyFont="1" applyFill="1" applyBorder="1" applyAlignment="1">
      <alignment horizontal="center" textRotation="60"/>
    </xf>
    <xf numFmtId="0" fontId="1" fillId="5" borderId="4" xfId="0" applyFont="1" applyFill="1" applyBorder="1" applyAlignment="1">
      <alignment horizontal="center" textRotation="60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2" xfId="0" applyFont="1" applyBorder="1"/>
    <xf numFmtId="10" fontId="2" fillId="0" borderId="13" xfId="0" applyNumberFormat="1" applyFont="1" applyBorder="1" applyAlignment="1">
      <alignment horizontal="center"/>
    </xf>
    <xf numFmtId="10" fontId="2" fillId="0" borderId="14" xfId="0" applyNumberFormat="1" applyFont="1" applyBorder="1" applyAlignment="1">
      <alignment horizontal="center"/>
    </xf>
    <xf numFmtId="10" fontId="2" fillId="0" borderId="15" xfId="0" applyNumberFormat="1" applyFont="1" applyBorder="1" applyAlignment="1">
      <alignment horizontal="center"/>
    </xf>
    <xf numFmtId="0" fontId="1" fillId="0" borderId="16" xfId="0" applyFont="1" applyBorder="1"/>
    <xf numFmtId="10" fontId="2" fillId="0" borderId="17" xfId="0" applyNumberFormat="1" applyFont="1" applyBorder="1" applyAlignment="1">
      <alignment horizontal="center"/>
    </xf>
    <xf numFmtId="10" fontId="2" fillId="0" borderId="18" xfId="0" applyNumberFormat="1" applyFont="1" applyBorder="1" applyAlignment="1">
      <alignment horizontal="center"/>
    </xf>
    <xf numFmtId="10" fontId="2" fillId="0" borderId="19" xfId="0" applyNumberFormat="1" applyFont="1" applyBorder="1" applyAlignment="1">
      <alignment horizontal="center"/>
    </xf>
    <xf numFmtId="0" fontId="1" fillId="0" borderId="20" xfId="0" applyFont="1" applyBorder="1"/>
    <xf numFmtId="10" fontId="2" fillId="0" borderId="9" xfId="0" applyNumberFormat="1" applyFont="1" applyBorder="1" applyAlignment="1">
      <alignment horizontal="center"/>
    </xf>
    <xf numFmtId="10" fontId="2" fillId="0" borderId="10" xfId="0" applyNumberFormat="1" applyFont="1" applyBorder="1" applyAlignment="1">
      <alignment horizontal="center"/>
    </xf>
    <xf numFmtId="10" fontId="2" fillId="0" borderId="11" xfId="0" applyNumberFormat="1" applyFont="1" applyBorder="1" applyAlignment="1">
      <alignment horizontal="center"/>
    </xf>
    <xf numFmtId="0" fontId="1" fillId="0" borderId="5" xfId="0" applyFont="1" applyBorder="1"/>
    <xf numFmtId="10" fontId="2" fillId="0" borderId="21" xfId="0" applyNumberFormat="1" applyFont="1" applyBorder="1" applyAlignment="1">
      <alignment horizontal="center"/>
    </xf>
    <xf numFmtId="10" fontId="2" fillId="0" borderId="22" xfId="0" applyNumberFormat="1" applyFont="1" applyBorder="1" applyAlignment="1">
      <alignment horizontal="center"/>
    </xf>
    <xf numFmtId="10" fontId="2" fillId="0" borderId="23" xfId="0" applyNumberFormat="1" applyFont="1" applyBorder="1" applyAlignment="1">
      <alignment horizontal="center"/>
    </xf>
    <xf numFmtId="10" fontId="2" fillId="0" borderId="24" xfId="0" applyNumberFormat="1" applyFont="1" applyBorder="1" applyAlignment="1">
      <alignment horizontal="center"/>
    </xf>
    <xf numFmtId="10" fontId="2" fillId="0" borderId="25" xfId="0" applyNumberFormat="1" applyFont="1" applyBorder="1" applyAlignment="1">
      <alignment horizontal="center"/>
    </xf>
    <xf numFmtId="10" fontId="2" fillId="0" borderId="26" xfId="0" applyNumberFormat="1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1" fillId="4" borderId="3" xfId="0" applyFont="1" applyFill="1" applyBorder="1" applyAlignment="1">
      <alignment horizontal="center" textRotation="60"/>
    </xf>
    <xf numFmtId="0" fontId="1" fillId="0" borderId="0" xfId="0" applyFont="1" applyAlignment="1">
      <alignment horizontal="center" textRotation="60"/>
    </xf>
    <xf numFmtId="0" fontId="1" fillId="0" borderId="27" xfId="0" applyFont="1" applyBorder="1"/>
    <xf numFmtId="10" fontId="2" fillId="0" borderId="0" xfId="0" applyNumberFormat="1" applyFont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0" fontId="3" fillId="0" borderId="0" xfId="0" applyFont="1" applyAlignment="1">
      <alignment vertical="center"/>
    </xf>
    <xf numFmtId="0" fontId="1" fillId="0" borderId="33" xfId="0" applyFont="1" applyBorder="1"/>
    <xf numFmtId="0" fontId="2" fillId="0" borderId="26" xfId="0" applyFont="1" applyBorder="1" applyAlignment="1">
      <alignment horizontal="center"/>
    </xf>
    <xf numFmtId="10" fontId="2" fillId="0" borderId="34" xfId="0" applyNumberFormat="1" applyFont="1" applyBorder="1" applyAlignment="1">
      <alignment horizontal="center"/>
    </xf>
    <xf numFmtId="10" fontId="2" fillId="0" borderId="35" xfId="0" applyNumberFormat="1" applyFont="1" applyBorder="1" applyAlignment="1">
      <alignment horizontal="center"/>
    </xf>
    <xf numFmtId="10" fontId="2" fillId="0" borderId="36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1" fillId="6" borderId="30" xfId="0" applyFont="1" applyFill="1" applyBorder="1" applyAlignment="1">
      <alignment horizontal="center"/>
    </xf>
    <xf numFmtId="0" fontId="5" fillId="0" borderId="31" xfId="0" applyFont="1" applyBorder="1"/>
    <xf numFmtId="0" fontId="5" fillId="0" borderId="32" xfId="0" applyFont="1" applyBorder="1"/>
    <xf numFmtId="0" fontId="1" fillId="6" borderId="5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textRotation="6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B1000"/>
  <sheetViews>
    <sheetView tabSelected="1" workbookViewId="0">
      <selection activeCell="V6" sqref="V6"/>
    </sheetView>
  </sheetViews>
  <sheetFormatPr defaultColWidth="12.6640625" defaultRowHeight="15" customHeight="1" x14ac:dyDescent="0.25"/>
  <cols>
    <col min="1" max="1" width="5.33203125" customWidth="1"/>
    <col min="2" max="2" width="26.33203125" customWidth="1"/>
    <col min="3" max="22" width="8.33203125" customWidth="1"/>
  </cols>
  <sheetData>
    <row r="1" spans="1:28" ht="15.75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8" ht="15.7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8" ht="15.75" customHeight="1" x14ac:dyDescent="0.25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8" ht="41.25" customHeight="1" x14ac:dyDescent="0.25">
      <c r="B4" s="3"/>
      <c r="C4" s="46" t="s">
        <v>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8" ht="33" customHeight="1" x14ac:dyDescent="0.25">
      <c r="B5" s="1"/>
      <c r="C5" s="48" t="s">
        <v>1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8" ht="15.75" customHeight="1" x14ac:dyDescent="0.25">
      <c r="A6" s="4"/>
      <c r="B6" s="4"/>
      <c r="C6" s="60" t="s">
        <v>9</v>
      </c>
      <c r="D6" s="5" t="s">
        <v>10</v>
      </c>
      <c r="E6" s="34" t="s">
        <v>11</v>
      </c>
      <c r="F6" s="6" t="s">
        <v>12</v>
      </c>
      <c r="G6" s="60" t="s">
        <v>9</v>
      </c>
      <c r="H6" s="5" t="s">
        <v>10</v>
      </c>
      <c r="I6" s="34" t="s">
        <v>11</v>
      </c>
      <c r="J6" s="6" t="s">
        <v>12</v>
      </c>
      <c r="K6" s="60" t="s">
        <v>9</v>
      </c>
      <c r="L6" s="5" t="s">
        <v>10</v>
      </c>
      <c r="M6" s="34" t="s">
        <v>11</v>
      </c>
      <c r="N6" s="6" t="s">
        <v>12</v>
      </c>
      <c r="O6" s="60" t="s">
        <v>9</v>
      </c>
      <c r="P6" s="5" t="s">
        <v>10</v>
      </c>
      <c r="Q6" s="34" t="s">
        <v>11</v>
      </c>
      <c r="R6" s="6" t="s">
        <v>12</v>
      </c>
      <c r="S6" s="60" t="s">
        <v>9</v>
      </c>
      <c r="T6" s="5" t="s">
        <v>10</v>
      </c>
      <c r="U6" s="34" t="s">
        <v>11</v>
      </c>
      <c r="V6" s="6" t="s">
        <v>12</v>
      </c>
      <c r="W6" s="4"/>
      <c r="X6" s="4"/>
      <c r="Y6" s="4"/>
      <c r="Z6" s="4"/>
      <c r="AA6" s="4"/>
      <c r="AB6" s="4"/>
    </row>
    <row r="7" spans="1:28" ht="15.75" customHeight="1" x14ac:dyDescent="0.25">
      <c r="A7" s="7"/>
      <c r="B7" s="7"/>
      <c r="C7" s="49" t="s">
        <v>2</v>
      </c>
      <c r="D7" s="50"/>
      <c r="E7" s="50"/>
      <c r="F7" s="51"/>
      <c r="G7" s="49" t="s">
        <v>3</v>
      </c>
      <c r="H7" s="50"/>
      <c r="I7" s="50"/>
      <c r="J7" s="51"/>
      <c r="K7" s="49" t="s">
        <v>4</v>
      </c>
      <c r="L7" s="50"/>
      <c r="M7" s="50"/>
      <c r="N7" s="51"/>
      <c r="O7" s="49" t="s">
        <v>5</v>
      </c>
      <c r="P7" s="50"/>
      <c r="Q7" s="50"/>
      <c r="R7" s="51"/>
      <c r="S7" s="49" t="s">
        <v>6</v>
      </c>
      <c r="T7" s="50"/>
      <c r="U7" s="50"/>
      <c r="V7" s="51"/>
      <c r="W7" s="7"/>
      <c r="X7" s="7"/>
      <c r="Y7" s="7"/>
      <c r="Z7" s="7"/>
      <c r="AA7" s="7"/>
      <c r="AB7" s="7"/>
    </row>
    <row r="8" spans="1:28" ht="15.75" customHeight="1" x14ac:dyDescent="0.25">
      <c r="A8" s="8"/>
      <c r="B8" s="9" t="s">
        <v>7</v>
      </c>
      <c r="C8" s="10">
        <v>9010</v>
      </c>
      <c r="D8" s="11">
        <v>1893</v>
      </c>
      <c r="E8" s="11">
        <v>378</v>
      </c>
      <c r="F8" s="12">
        <v>711</v>
      </c>
      <c r="G8" s="10">
        <v>7696</v>
      </c>
      <c r="H8" s="11">
        <v>1933</v>
      </c>
      <c r="I8" s="11">
        <v>504</v>
      </c>
      <c r="J8" s="12">
        <v>1204</v>
      </c>
      <c r="K8" s="10">
        <v>451</v>
      </c>
      <c r="L8" s="11">
        <v>216</v>
      </c>
      <c r="M8" s="11">
        <v>31</v>
      </c>
      <c r="N8" s="12">
        <v>106</v>
      </c>
      <c r="O8" s="10">
        <v>2660</v>
      </c>
      <c r="P8" s="11">
        <v>4281</v>
      </c>
      <c r="Q8" s="11">
        <v>3746</v>
      </c>
      <c r="R8" s="12">
        <v>2393</v>
      </c>
      <c r="S8" s="10">
        <v>1191</v>
      </c>
      <c r="T8" s="11">
        <v>1490</v>
      </c>
      <c r="U8" s="11">
        <v>1243</v>
      </c>
      <c r="V8" s="12">
        <v>847</v>
      </c>
    </row>
    <row r="9" spans="1:28" ht="15.75" customHeight="1" x14ac:dyDescent="0.25">
      <c r="A9" s="8"/>
      <c r="B9" s="13" t="s">
        <v>2</v>
      </c>
      <c r="C9" s="14">
        <f>9010/C8</f>
        <v>1</v>
      </c>
      <c r="D9" s="15">
        <f>1893/D8</f>
        <v>1</v>
      </c>
      <c r="E9" s="15">
        <f>378/E8</f>
        <v>1</v>
      </c>
      <c r="F9" s="16">
        <f>711/F8</f>
        <v>1</v>
      </c>
      <c r="G9" s="14">
        <f>228/G8</f>
        <v>2.9625779625779627E-2</v>
      </c>
      <c r="H9" s="15">
        <f>760/H8</f>
        <v>0.3931712364200724</v>
      </c>
      <c r="I9" s="15">
        <f>75/I8</f>
        <v>0.14880952380952381</v>
      </c>
      <c r="J9" s="16">
        <f>58/J8</f>
        <v>4.817275747508306E-2</v>
      </c>
      <c r="K9" s="14">
        <f>298/K8</f>
        <v>0.6607538802660754</v>
      </c>
      <c r="L9" s="15">
        <f>96/L8</f>
        <v>0.44444444444444442</v>
      </c>
      <c r="M9" s="15">
        <f>0/M8</f>
        <v>0</v>
      </c>
      <c r="N9" s="16">
        <f>9/N8</f>
        <v>8.4905660377358486E-2</v>
      </c>
      <c r="O9" s="14">
        <f>47/O8</f>
        <v>1.7669172932330827E-2</v>
      </c>
      <c r="P9" s="15">
        <f>334/P8</f>
        <v>7.8019154403176832E-2</v>
      </c>
      <c r="Q9" s="15">
        <f>55/Q8</f>
        <v>1.4682327816337427E-2</v>
      </c>
      <c r="R9" s="16">
        <f>37/R8</f>
        <v>1.5461763476807356E-2</v>
      </c>
      <c r="S9" s="14">
        <f>1/S8</f>
        <v>8.3963056255247689E-4</v>
      </c>
      <c r="T9" s="15">
        <f>14/T8</f>
        <v>9.3959731543624154E-3</v>
      </c>
      <c r="U9" s="15">
        <f t="shared" ref="U9:V9" si="0">0/U8</f>
        <v>0</v>
      </c>
      <c r="V9" s="16">
        <f t="shared" si="0"/>
        <v>0</v>
      </c>
    </row>
    <row r="10" spans="1:28" ht="15.75" customHeight="1" x14ac:dyDescent="0.25">
      <c r="A10" s="8"/>
      <c r="B10" s="17" t="s">
        <v>8</v>
      </c>
      <c r="C10" s="18">
        <f>228/C8</f>
        <v>2.5305216426193117E-2</v>
      </c>
      <c r="D10" s="19">
        <f>760/1893</f>
        <v>0.40147913365029053</v>
      </c>
      <c r="E10" s="19">
        <f>75/E8</f>
        <v>0.1984126984126984</v>
      </c>
      <c r="F10" s="20">
        <f>58/F8</f>
        <v>8.1575246132208151E-2</v>
      </c>
      <c r="G10" s="18">
        <f>7696/G8</f>
        <v>1</v>
      </c>
      <c r="H10" s="19">
        <f>1933/H8</f>
        <v>1</v>
      </c>
      <c r="I10" s="19">
        <f>504/I8</f>
        <v>1</v>
      </c>
      <c r="J10" s="20">
        <f>1204/J8</f>
        <v>1</v>
      </c>
      <c r="K10" s="18">
        <f>75/K8</f>
        <v>0.16629711751662971</v>
      </c>
      <c r="L10" s="19">
        <f>100/L8</f>
        <v>0.46296296296296297</v>
      </c>
      <c r="M10" s="19">
        <f>0/M8</f>
        <v>0</v>
      </c>
      <c r="N10" s="20">
        <f>3/N8</f>
        <v>2.8301886792452831E-2</v>
      </c>
      <c r="O10" s="18">
        <f>30/O8</f>
        <v>1.1278195488721804E-2</v>
      </c>
      <c r="P10" s="19">
        <f>82/P8</f>
        <v>1.9154403176827844E-2</v>
      </c>
      <c r="Q10" s="19">
        <f>19/Q8</f>
        <v>5.0720768820074749E-3</v>
      </c>
      <c r="R10" s="20">
        <f>7/R8</f>
        <v>2.9251984956122023E-3</v>
      </c>
      <c r="S10" s="18">
        <f>0/S8</f>
        <v>0</v>
      </c>
      <c r="T10" s="19">
        <f>20/T8</f>
        <v>1.3422818791946308E-2</v>
      </c>
      <c r="U10" s="19">
        <f>15/U8</f>
        <v>1.2067578439259855E-2</v>
      </c>
      <c r="V10" s="20">
        <f>1/V8</f>
        <v>1.1806375442739079E-3</v>
      </c>
    </row>
    <row r="11" spans="1:28" ht="15.75" customHeight="1" x14ac:dyDescent="0.25">
      <c r="A11" s="8"/>
      <c r="B11" s="17" t="s">
        <v>4</v>
      </c>
      <c r="C11" s="18">
        <f>298/C8</f>
        <v>3.307436182019978E-2</v>
      </c>
      <c r="D11" s="19">
        <f>96/1893</f>
        <v>5.0713153724247229E-2</v>
      </c>
      <c r="E11" s="19">
        <f>0/E8</f>
        <v>0</v>
      </c>
      <c r="F11" s="20">
        <f>9/F8</f>
        <v>1.2658227848101266E-2</v>
      </c>
      <c r="G11" s="18">
        <f>75/G8</f>
        <v>9.7453222453222459E-3</v>
      </c>
      <c r="H11" s="19">
        <f>100/H8</f>
        <v>5.1733057423693739E-2</v>
      </c>
      <c r="I11" s="19">
        <f>0/I8</f>
        <v>0</v>
      </c>
      <c r="J11" s="20">
        <f>3/J8</f>
        <v>2.4916943521594683E-3</v>
      </c>
      <c r="K11" s="18">
        <f>451/K8</f>
        <v>1</v>
      </c>
      <c r="L11" s="19">
        <f>216/L8</f>
        <v>1</v>
      </c>
      <c r="M11" s="19">
        <f>31/M8</f>
        <v>1</v>
      </c>
      <c r="N11" s="20">
        <f>106/N8</f>
        <v>1</v>
      </c>
      <c r="O11" s="18">
        <f>20/O8</f>
        <v>7.5187969924812026E-3</v>
      </c>
      <c r="P11" s="19">
        <f>24/P8</f>
        <v>5.6061667834618077E-3</v>
      </c>
      <c r="Q11" s="19">
        <f>5/Q8</f>
        <v>1.3347570742124934E-3</v>
      </c>
      <c r="R11" s="20">
        <f>7/R8</f>
        <v>2.9251984956122023E-3</v>
      </c>
      <c r="S11" s="18">
        <f>4/S8</f>
        <v>3.3585222502099076E-3</v>
      </c>
      <c r="T11" s="19">
        <f>3/T8</f>
        <v>2.0134228187919465E-3</v>
      </c>
      <c r="U11" s="19">
        <f>7/U8</f>
        <v>5.6315366049879325E-3</v>
      </c>
      <c r="V11" s="20">
        <f>5/V8</f>
        <v>5.9031877213695395E-3</v>
      </c>
    </row>
    <row r="12" spans="1:28" ht="15.75" customHeight="1" x14ac:dyDescent="0.25">
      <c r="A12" s="8"/>
      <c r="B12" s="17" t="s">
        <v>5</v>
      </c>
      <c r="C12" s="18">
        <f>47/C8</f>
        <v>5.2164261931187568E-3</v>
      </c>
      <c r="D12" s="19">
        <f>334/1893</f>
        <v>0.17643951399894348</v>
      </c>
      <c r="E12" s="19">
        <f>55/E8</f>
        <v>0.14550264550264549</v>
      </c>
      <c r="F12" s="20">
        <f>37/F8</f>
        <v>5.2039381153305204E-2</v>
      </c>
      <c r="G12" s="18">
        <f>30/G8</f>
        <v>3.8981288981288983E-3</v>
      </c>
      <c r="H12" s="19">
        <f>82/H8</f>
        <v>4.2421107087428869E-2</v>
      </c>
      <c r="I12" s="19">
        <f>19/I8</f>
        <v>3.7698412698412696E-2</v>
      </c>
      <c r="J12" s="20">
        <f>7/J8</f>
        <v>5.8139534883720929E-3</v>
      </c>
      <c r="K12" s="18">
        <f>20/K8</f>
        <v>4.4345898004434593E-2</v>
      </c>
      <c r="L12" s="19">
        <f>24/L8</f>
        <v>0.1111111111111111</v>
      </c>
      <c r="M12" s="19">
        <f>5/M8</f>
        <v>0.16129032258064516</v>
      </c>
      <c r="N12" s="20">
        <f>7/N8</f>
        <v>6.6037735849056603E-2</v>
      </c>
      <c r="O12" s="18">
        <f>2660/O8</f>
        <v>1</v>
      </c>
      <c r="P12" s="19">
        <f>4281/P8</f>
        <v>1</v>
      </c>
      <c r="Q12" s="19">
        <f>3746/Q8</f>
        <v>1</v>
      </c>
      <c r="R12" s="20">
        <f>2393/R8</f>
        <v>1</v>
      </c>
      <c r="S12" s="18">
        <f>27/S8</f>
        <v>2.2670025188916875E-2</v>
      </c>
      <c r="T12" s="19">
        <f>354/T8</f>
        <v>0.23758389261744967</v>
      </c>
      <c r="U12" s="19">
        <f>126/U8</f>
        <v>0.10136765888978279</v>
      </c>
      <c r="V12" s="20">
        <f>4/V8</f>
        <v>4.7225501770956314E-3</v>
      </c>
    </row>
    <row r="13" spans="1:28" ht="15.75" customHeight="1" x14ac:dyDescent="0.25">
      <c r="A13" s="8"/>
      <c r="B13" s="21" t="s">
        <v>6</v>
      </c>
      <c r="C13" s="22">
        <f>1/C8</f>
        <v>1.1098779134295228E-4</v>
      </c>
      <c r="D13" s="23">
        <f>14/1893</f>
        <v>7.3956682514527208E-3</v>
      </c>
      <c r="E13" s="23">
        <f t="shared" ref="E13:G13" si="1">0/E8</f>
        <v>0</v>
      </c>
      <c r="F13" s="24">
        <f t="shared" si="1"/>
        <v>0</v>
      </c>
      <c r="G13" s="22">
        <f t="shared" si="1"/>
        <v>0</v>
      </c>
      <c r="H13" s="23">
        <f>20/H8</f>
        <v>1.0346611484738748E-2</v>
      </c>
      <c r="I13" s="23">
        <f>15/I8</f>
        <v>2.976190476190476E-2</v>
      </c>
      <c r="J13" s="24">
        <f>5/J8</f>
        <v>4.152823920265781E-3</v>
      </c>
      <c r="K13" s="22">
        <f>4/K8</f>
        <v>8.869179600886918E-3</v>
      </c>
      <c r="L13" s="23">
        <f>3/L8</f>
        <v>1.3888888888888888E-2</v>
      </c>
      <c r="M13" s="23">
        <f>7/M8</f>
        <v>0.22580645161290322</v>
      </c>
      <c r="N13" s="24">
        <f>5/N8</f>
        <v>4.716981132075472E-2</v>
      </c>
      <c r="O13" s="22">
        <f>27/O8</f>
        <v>1.0150375939849625E-2</v>
      </c>
      <c r="P13" s="23">
        <f>354/P8</f>
        <v>8.2690960056061663E-2</v>
      </c>
      <c r="Q13" s="23">
        <f>126/Q8</f>
        <v>3.363587827015483E-2</v>
      </c>
      <c r="R13" s="24">
        <f>4/R8</f>
        <v>1.6715419974926871E-3</v>
      </c>
      <c r="S13" s="22">
        <f>1191/S8</f>
        <v>1</v>
      </c>
      <c r="T13" s="23">
        <f>1490/T8</f>
        <v>1</v>
      </c>
      <c r="U13" s="23">
        <f>1243/U8</f>
        <v>1</v>
      </c>
      <c r="V13" s="24">
        <f>847/V8</f>
        <v>1</v>
      </c>
    </row>
    <row r="14" spans="1:28" ht="15.75" customHeight="1" x14ac:dyDescent="0.25"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8" ht="15.75" customHeight="1" x14ac:dyDescent="0.25"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8" ht="15.75" customHeight="1" x14ac:dyDescent="0.25"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2:22" ht="15.75" customHeight="1" x14ac:dyDescent="0.25"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2:22" ht="15.75" customHeight="1" x14ac:dyDescent="0.25"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2:22" ht="15.75" customHeight="1" x14ac:dyDescent="0.25"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2:22" ht="15.75" customHeight="1" x14ac:dyDescent="0.25"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2:22" ht="15.75" customHeight="1" x14ac:dyDescent="0.25"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ht="15.75" customHeight="1" x14ac:dyDescent="0.25"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ht="15.75" customHeight="1" x14ac:dyDescent="0.25"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ht="15.75" customHeight="1" x14ac:dyDescent="0.25"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2:22" ht="15.75" customHeight="1" x14ac:dyDescent="0.25"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ht="15.75" customHeight="1" x14ac:dyDescent="0.25"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ht="15.75" customHeight="1" x14ac:dyDescent="0.25"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2:22" ht="15.75" customHeight="1" x14ac:dyDescent="0.25"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2:22" ht="15.75" customHeight="1" x14ac:dyDescent="0.25"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2:22" ht="15.75" customHeight="1" x14ac:dyDescent="0.25"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2:22" ht="15.75" customHeight="1" x14ac:dyDescent="0.25"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2:22" ht="15.75" customHeight="1" x14ac:dyDescent="0.25"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2:22" ht="15.75" customHeight="1" x14ac:dyDescent="0.25"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2:22" ht="15.75" customHeight="1" x14ac:dyDescent="0.25"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2:22" ht="15.75" customHeight="1" x14ac:dyDescent="0.25"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2:22" ht="15.75" customHeight="1" x14ac:dyDescent="0.25"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2:22" ht="15.75" customHeight="1" x14ac:dyDescent="0.25"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2:22" ht="15.75" customHeight="1" x14ac:dyDescent="0.25"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2" ht="15.75" customHeight="1" x14ac:dyDescent="0.25"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2:22" ht="15.75" customHeight="1" x14ac:dyDescent="0.25"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2:22" ht="15.75" customHeight="1" x14ac:dyDescent="0.25"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2:22" ht="15.75" customHeight="1" x14ac:dyDescent="0.25"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2:22" ht="15.75" customHeight="1" x14ac:dyDescent="0.25"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2:22" ht="15.75" customHeight="1" x14ac:dyDescent="0.25"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2:22" ht="15.75" customHeight="1" x14ac:dyDescent="0.25"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2:22" ht="15.75" customHeight="1" x14ac:dyDescent="0.25"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2:22" ht="15.75" customHeight="1" x14ac:dyDescent="0.25"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22" ht="15.75" customHeight="1" x14ac:dyDescent="0.25"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2:22" ht="15.75" customHeight="1" x14ac:dyDescent="0.25"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2:22" ht="15.75" customHeight="1" x14ac:dyDescent="0.25"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2:22" ht="15.75" customHeight="1" x14ac:dyDescent="0.25"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ht="15.75" customHeight="1" x14ac:dyDescent="0.25"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2:22" ht="15.75" customHeight="1" x14ac:dyDescent="0.25"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2:22" ht="15.75" customHeight="1" x14ac:dyDescent="0.25"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2" ht="15.75" customHeight="1" x14ac:dyDescent="0.25"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2" ht="15.75" customHeight="1" x14ac:dyDescent="0.25"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2:22" ht="15.75" customHeight="1" x14ac:dyDescent="0.25"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2:22" ht="15.75" customHeight="1" x14ac:dyDescent="0.25"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2:22" ht="15.75" customHeight="1" x14ac:dyDescent="0.25"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2:22" ht="15.75" customHeight="1" x14ac:dyDescent="0.25"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2:22" ht="15.75" customHeight="1" x14ac:dyDescent="0.25"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2:22" ht="15.75" customHeight="1" x14ac:dyDescent="0.25"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2:22" ht="15.75" customHeight="1" x14ac:dyDescent="0.25"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2:22" ht="15.75" customHeight="1" x14ac:dyDescent="0.25"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2:22" ht="15.75" customHeight="1" x14ac:dyDescent="0.25"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2:22" ht="15.75" customHeight="1" x14ac:dyDescent="0.25"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2" ht="15.75" customHeight="1" x14ac:dyDescent="0.25"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22" ht="15.75" customHeight="1" x14ac:dyDescent="0.25"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2:22" ht="15.75" customHeight="1" x14ac:dyDescent="0.25"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2:22" ht="15.75" customHeight="1" x14ac:dyDescent="0.25"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2:22" ht="15.75" customHeight="1" x14ac:dyDescent="0.25"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22" ht="15.75" customHeight="1" x14ac:dyDescent="0.25"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22" ht="15.75" customHeight="1" x14ac:dyDescent="0.25"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22" ht="15.75" customHeight="1" x14ac:dyDescent="0.25"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2:22" ht="15.75" customHeight="1" x14ac:dyDescent="0.25"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2:22" ht="15.75" customHeight="1" x14ac:dyDescent="0.25"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2:22" ht="15.75" customHeight="1" x14ac:dyDescent="0.25"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22" ht="15.75" customHeight="1" x14ac:dyDescent="0.25"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2" ht="15.75" customHeight="1" x14ac:dyDescent="0.25"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2" ht="15.75" customHeight="1" x14ac:dyDescent="0.25"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2" ht="15.75" customHeight="1" x14ac:dyDescent="0.25"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2:22" ht="15.75" customHeight="1" x14ac:dyDescent="0.25"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2:22" ht="15.75" customHeight="1" x14ac:dyDescent="0.25"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2:22" ht="15.75" customHeight="1" x14ac:dyDescent="0.25"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2:22" ht="15.75" customHeight="1" x14ac:dyDescent="0.25"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2:22" ht="15.75" customHeight="1" x14ac:dyDescent="0.25"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2:22" ht="15.75" customHeight="1" x14ac:dyDescent="0.25"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2:22" ht="15.75" customHeight="1" x14ac:dyDescent="0.25"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2:22" ht="15.75" customHeight="1" x14ac:dyDescent="0.25"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 ht="15.75" customHeight="1" x14ac:dyDescent="0.25"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2:22" ht="15.75" customHeight="1" x14ac:dyDescent="0.25"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2:22" ht="15.75" customHeight="1" x14ac:dyDescent="0.25"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ht="15.75" customHeight="1" x14ac:dyDescent="0.25"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2:22" ht="15.75" customHeight="1" x14ac:dyDescent="0.25"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2:22" ht="15.75" customHeight="1" x14ac:dyDescent="0.25"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2:22" ht="15.75" customHeight="1" x14ac:dyDescent="0.25"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2:22" ht="15.75" customHeight="1" x14ac:dyDescent="0.25"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2:22" ht="15.75" customHeight="1" x14ac:dyDescent="0.25"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2:22" ht="15.75" customHeight="1" x14ac:dyDescent="0.25"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ht="15.75" customHeight="1" x14ac:dyDescent="0.25"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2:22" ht="15.75" customHeight="1" x14ac:dyDescent="0.25"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2:22" ht="15.75" customHeight="1" x14ac:dyDescent="0.25"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2:22" ht="15.75" customHeight="1" x14ac:dyDescent="0.25"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2:22" ht="15.75" customHeight="1" x14ac:dyDescent="0.25"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2:22" ht="15.75" customHeight="1" x14ac:dyDescent="0.25"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2:22" ht="15.75" customHeight="1" x14ac:dyDescent="0.25"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2:22" ht="15.75" customHeight="1" x14ac:dyDescent="0.25"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2:22" ht="15.75" customHeight="1" x14ac:dyDescent="0.25"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2:22" ht="15.75" customHeight="1" x14ac:dyDescent="0.25"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2:22" ht="15.75" customHeight="1" x14ac:dyDescent="0.25"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2:22" ht="15.75" customHeight="1" x14ac:dyDescent="0.25"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2:22" ht="15.75" customHeight="1" x14ac:dyDescent="0.25"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2:22" ht="15.75" customHeight="1" x14ac:dyDescent="0.25"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2:22" ht="15.75" customHeight="1" x14ac:dyDescent="0.25"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2:22" ht="15.75" customHeight="1" x14ac:dyDescent="0.25"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2:22" ht="15.75" customHeight="1" x14ac:dyDescent="0.25"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2:22" ht="15.75" customHeight="1" x14ac:dyDescent="0.25"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2:22" ht="15.75" customHeight="1" x14ac:dyDescent="0.25"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2:22" ht="15.75" customHeight="1" x14ac:dyDescent="0.25"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2:22" ht="15.75" customHeight="1" x14ac:dyDescent="0.25"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2:22" ht="15.75" customHeight="1" x14ac:dyDescent="0.25"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2:22" ht="15.75" customHeight="1" x14ac:dyDescent="0.25"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2:22" ht="15.75" customHeight="1" x14ac:dyDescent="0.25"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2:22" ht="15.75" customHeight="1" x14ac:dyDescent="0.25"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2:22" ht="15.75" customHeight="1" x14ac:dyDescent="0.25"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2:22" ht="15.75" customHeight="1" x14ac:dyDescent="0.25"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2:22" ht="15.75" customHeight="1" x14ac:dyDescent="0.25"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2:22" ht="15.75" customHeight="1" x14ac:dyDescent="0.25"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2:22" ht="15.75" customHeight="1" x14ac:dyDescent="0.25"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2:22" ht="15.75" customHeight="1" x14ac:dyDescent="0.25"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2:22" ht="15.75" customHeight="1" x14ac:dyDescent="0.25"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2:22" ht="15.75" customHeight="1" x14ac:dyDescent="0.25"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2:22" ht="15.75" customHeight="1" x14ac:dyDescent="0.25"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2:22" ht="15.75" customHeight="1" x14ac:dyDescent="0.25"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2:22" ht="15.75" customHeight="1" x14ac:dyDescent="0.25"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2:22" ht="15.75" customHeight="1" x14ac:dyDescent="0.25"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2:22" ht="15.75" customHeight="1" x14ac:dyDescent="0.25"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2:22" ht="15.75" customHeight="1" x14ac:dyDescent="0.25"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2:22" ht="15.75" customHeight="1" x14ac:dyDescent="0.25"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2:22" ht="15.75" customHeight="1" x14ac:dyDescent="0.25"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2:22" ht="15.75" customHeight="1" x14ac:dyDescent="0.25"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2:22" ht="15.75" customHeight="1" x14ac:dyDescent="0.25"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2:22" ht="15.75" customHeight="1" x14ac:dyDescent="0.25"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2:22" ht="15.75" customHeight="1" x14ac:dyDescent="0.25"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2:22" ht="15.75" customHeight="1" x14ac:dyDescent="0.25"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2:22" ht="15.75" customHeight="1" x14ac:dyDescent="0.25"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2:22" ht="15.75" customHeight="1" x14ac:dyDescent="0.25"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2:22" ht="15.75" customHeight="1" x14ac:dyDescent="0.25"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2:22" ht="15.75" customHeight="1" x14ac:dyDescent="0.25"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2:22" ht="15.75" customHeight="1" x14ac:dyDescent="0.25"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2:22" ht="15.75" customHeight="1" x14ac:dyDescent="0.25"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2:22" ht="15.75" customHeight="1" x14ac:dyDescent="0.25"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2:22" ht="15.75" customHeight="1" x14ac:dyDescent="0.25"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2:22" ht="15.75" customHeight="1" x14ac:dyDescent="0.25"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2:22" ht="15.75" customHeight="1" x14ac:dyDescent="0.25"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2:22" ht="15.75" customHeight="1" x14ac:dyDescent="0.25"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2:22" ht="15.75" customHeight="1" x14ac:dyDescent="0.25"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2:22" ht="15.75" customHeight="1" x14ac:dyDescent="0.25"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2:22" ht="15.75" customHeight="1" x14ac:dyDescent="0.25"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2:22" ht="15.75" customHeight="1" x14ac:dyDescent="0.25"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2:22" ht="15.75" customHeight="1" x14ac:dyDescent="0.25"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2:22" ht="15.75" customHeight="1" x14ac:dyDescent="0.25"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2:22" ht="15.75" customHeight="1" x14ac:dyDescent="0.25"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2:22" ht="15.75" customHeight="1" x14ac:dyDescent="0.25"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2:22" ht="15.75" customHeight="1" x14ac:dyDescent="0.25"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2:22" ht="15.75" customHeight="1" x14ac:dyDescent="0.25"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2:22" ht="15.75" customHeight="1" x14ac:dyDescent="0.25"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2:22" ht="15.75" customHeight="1" x14ac:dyDescent="0.25"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2:22" ht="15.75" customHeight="1" x14ac:dyDescent="0.25"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2:22" ht="15.75" customHeight="1" x14ac:dyDescent="0.25"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2:22" ht="15.75" customHeight="1" x14ac:dyDescent="0.25"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2:22" ht="15.75" customHeight="1" x14ac:dyDescent="0.25"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2:22" ht="15.75" customHeight="1" x14ac:dyDescent="0.25"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2:22" ht="15.75" customHeight="1" x14ac:dyDescent="0.25"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2:22" ht="15.75" customHeight="1" x14ac:dyDescent="0.25"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2:22" ht="15.75" customHeight="1" x14ac:dyDescent="0.25"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2:22" ht="15.75" customHeight="1" x14ac:dyDescent="0.25"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2:22" ht="15.75" customHeight="1" x14ac:dyDescent="0.25"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2:22" ht="15.75" customHeight="1" x14ac:dyDescent="0.25"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2:22" ht="15.75" customHeight="1" x14ac:dyDescent="0.25"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2:22" ht="15.75" customHeight="1" x14ac:dyDescent="0.25"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2:22" ht="15.75" customHeight="1" x14ac:dyDescent="0.25"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2:22" ht="15.75" customHeight="1" x14ac:dyDescent="0.25"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2:22" ht="15.75" customHeight="1" x14ac:dyDescent="0.25"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2:22" ht="15.75" customHeight="1" x14ac:dyDescent="0.25"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2:22" ht="15.75" customHeight="1" x14ac:dyDescent="0.25"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2:22" ht="15.75" customHeight="1" x14ac:dyDescent="0.25"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2:22" ht="15.75" customHeight="1" x14ac:dyDescent="0.25"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2:22" ht="15.75" customHeight="1" x14ac:dyDescent="0.25"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2:22" ht="15.75" customHeight="1" x14ac:dyDescent="0.25"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2:22" ht="15.75" customHeight="1" x14ac:dyDescent="0.25"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2:22" ht="15.75" customHeight="1" x14ac:dyDescent="0.25"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2:22" ht="15.75" customHeight="1" x14ac:dyDescent="0.25"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2:22" ht="15.75" customHeight="1" x14ac:dyDescent="0.25"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2:22" ht="15.75" customHeight="1" x14ac:dyDescent="0.25"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2:22" ht="15.75" customHeight="1" x14ac:dyDescent="0.25"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2:22" ht="15.75" customHeight="1" x14ac:dyDescent="0.25"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2:22" ht="15.75" customHeight="1" x14ac:dyDescent="0.25"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2:22" ht="15.75" customHeight="1" x14ac:dyDescent="0.25"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2:22" ht="15.75" customHeight="1" x14ac:dyDescent="0.25"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2:22" ht="15.75" customHeight="1" x14ac:dyDescent="0.25"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2:22" ht="15.75" customHeight="1" x14ac:dyDescent="0.25"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2:22" ht="15.75" customHeight="1" x14ac:dyDescent="0.25"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2:22" ht="15.75" customHeight="1" x14ac:dyDescent="0.25"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2:22" ht="15.75" customHeight="1" x14ac:dyDescent="0.25"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2:22" ht="15.75" customHeight="1" x14ac:dyDescent="0.25"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2:22" ht="15.75" customHeight="1" x14ac:dyDescent="0.25"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2:22" ht="15.75" customHeight="1" x14ac:dyDescent="0.25"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2:22" ht="15.75" customHeight="1" x14ac:dyDescent="0.25"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2:22" ht="15.75" customHeight="1" x14ac:dyDescent="0.25"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2:22" ht="15.75" customHeight="1" x14ac:dyDescent="0.25"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2:22" ht="15.75" customHeight="1" x14ac:dyDescent="0.25"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2:22" ht="15.75" customHeight="1" x14ac:dyDescent="0.25"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2:22" ht="15.75" customHeight="1" x14ac:dyDescent="0.25"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2:22" ht="15.75" customHeight="1" x14ac:dyDescent="0.25"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2:22" ht="15.75" customHeight="1" x14ac:dyDescent="0.25"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2:22" ht="15.75" customHeight="1" x14ac:dyDescent="0.25"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2:22" ht="15.75" customHeight="1" x14ac:dyDescent="0.25"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2:22" ht="15.75" customHeight="1" x14ac:dyDescent="0.25"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2:22" ht="15.75" customHeight="1" x14ac:dyDescent="0.25"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2:22" ht="15.75" customHeight="1" x14ac:dyDescent="0.25"/>
    <row r="222" spans="2:22" ht="15.75" customHeight="1" x14ac:dyDescent="0.25"/>
    <row r="223" spans="2:22" ht="15.75" customHeight="1" x14ac:dyDescent="0.25"/>
    <row r="224" spans="2:22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C4:V4"/>
    <mergeCell ref="C5:V5"/>
    <mergeCell ref="C7:F7"/>
    <mergeCell ref="G7:J7"/>
    <mergeCell ref="K7:N7"/>
    <mergeCell ref="O7:R7"/>
    <mergeCell ref="S7:V7"/>
  </mergeCells>
  <conditionalFormatting sqref="C9:V13">
    <cfRule type="colorScale" priority="1">
      <colorScale>
        <cfvo type="percent" val="0"/>
        <cfvo type="percentile" val="50"/>
        <cfvo type="percent" val="100"/>
        <color theme="0"/>
        <color rgb="FFFFEB84"/>
        <color theme="5"/>
      </colorScale>
    </cfRule>
    <cfRule type="colorScale" priority="2">
      <colorScale>
        <cfvo type="percent" val="0"/>
        <cfvo type="percentile" val="50"/>
        <cfvo type="percent" val="100"/>
        <color theme="0"/>
        <color rgb="FFFFEB84"/>
        <color rgb="FFFF0000"/>
      </colorScale>
    </cfRule>
    <cfRule type="colorScale" priority="3">
      <colorScale>
        <cfvo type="min"/>
        <cfvo type="percentile" val="50"/>
        <cfvo type="max"/>
        <color theme="0"/>
        <color rgb="FFFFEB84"/>
        <color rgb="FFC00000"/>
      </colorScale>
    </cfRule>
    <cfRule type="colorScale" priority="4">
      <colorScale>
        <cfvo type="min"/>
        <cfvo type="max"/>
        <color rgb="FFFFFFFF"/>
        <color rgb="FFE67C73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V1000"/>
  <sheetViews>
    <sheetView workbookViewId="0">
      <selection activeCell="M17" sqref="M17"/>
    </sheetView>
  </sheetViews>
  <sheetFormatPr defaultColWidth="12.6640625" defaultRowHeight="15" customHeight="1" x14ac:dyDescent="0.25"/>
  <cols>
    <col min="1" max="1" width="4.6640625" customWidth="1"/>
    <col min="2" max="2" width="26.6640625" customWidth="1"/>
    <col min="3" max="18" width="8.33203125" customWidth="1"/>
  </cols>
  <sheetData>
    <row r="1" spans="1:22" ht="15.75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2" ht="15.75" customHeight="1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2" ht="15.75" customHeight="1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2" ht="15.75" customHeight="1" x14ac:dyDescent="0.25">
      <c r="A4" s="1"/>
      <c r="B4" s="1"/>
      <c r="C4" s="46" t="s">
        <v>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22" ht="33" customHeight="1" x14ac:dyDescent="0.25">
      <c r="A5" s="1"/>
      <c r="B5" s="1"/>
      <c r="C5" s="48" t="s">
        <v>1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22" ht="15.75" customHeight="1" x14ac:dyDescent="0.25">
      <c r="A6" s="4"/>
      <c r="B6" s="4"/>
      <c r="C6" s="60" t="s">
        <v>9</v>
      </c>
      <c r="D6" s="5" t="s">
        <v>10</v>
      </c>
      <c r="E6" s="34" t="s">
        <v>11</v>
      </c>
      <c r="F6" s="6" t="s">
        <v>12</v>
      </c>
      <c r="G6" s="60" t="s">
        <v>9</v>
      </c>
      <c r="H6" s="5" t="s">
        <v>10</v>
      </c>
      <c r="I6" s="34" t="s">
        <v>11</v>
      </c>
      <c r="J6" s="6" t="s">
        <v>12</v>
      </c>
      <c r="K6" s="60" t="s">
        <v>9</v>
      </c>
      <c r="L6" s="5" t="s">
        <v>10</v>
      </c>
      <c r="M6" s="34" t="s">
        <v>11</v>
      </c>
      <c r="N6" s="6" t="s">
        <v>12</v>
      </c>
      <c r="O6" s="60" t="s">
        <v>9</v>
      </c>
      <c r="P6" s="5" t="s">
        <v>10</v>
      </c>
      <c r="Q6" s="34" t="s">
        <v>11</v>
      </c>
      <c r="R6" s="6" t="s">
        <v>12</v>
      </c>
      <c r="S6" s="4"/>
      <c r="T6" s="4"/>
      <c r="U6" s="4"/>
      <c r="V6" s="4"/>
    </row>
    <row r="7" spans="1:22" ht="15.75" customHeight="1" x14ac:dyDescent="0.25">
      <c r="A7" s="7"/>
      <c r="B7" s="7"/>
      <c r="C7" s="49" t="s">
        <v>2</v>
      </c>
      <c r="D7" s="50"/>
      <c r="E7" s="50"/>
      <c r="F7" s="50"/>
      <c r="G7" s="49" t="s">
        <v>4</v>
      </c>
      <c r="H7" s="50"/>
      <c r="I7" s="50"/>
      <c r="J7" s="50"/>
      <c r="K7" s="49" t="s">
        <v>5</v>
      </c>
      <c r="L7" s="50"/>
      <c r="M7" s="50"/>
      <c r="N7" s="50"/>
      <c r="O7" s="49" t="s">
        <v>6</v>
      </c>
      <c r="P7" s="50"/>
      <c r="Q7" s="50"/>
      <c r="R7" s="50"/>
      <c r="S7" s="7"/>
      <c r="T7" s="7"/>
      <c r="U7" s="7"/>
      <c r="V7" s="7"/>
    </row>
    <row r="8" spans="1:22" ht="15.75" customHeight="1" x14ac:dyDescent="0.25">
      <c r="A8" s="1"/>
      <c r="B8" s="25" t="s">
        <v>7</v>
      </c>
      <c r="C8" s="10">
        <v>9010</v>
      </c>
      <c r="D8" s="11">
        <v>1893</v>
      </c>
      <c r="E8" s="11">
        <v>378</v>
      </c>
      <c r="F8" s="11">
        <v>711</v>
      </c>
      <c r="G8" s="10">
        <v>451</v>
      </c>
      <c r="H8" s="11">
        <v>216</v>
      </c>
      <c r="I8" s="11">
        <v>31</v>
      </c>
      <c r="J8" s="11">
        <v>106</v>
      </c>
      <c r="K8" s="10">
        <v>2660</v>
      </c>
      <c r="L8" s="11">
        <v>4281</v>
      </c>
      <c r="M8" s="11">
        <v>3746</v>
      </c>
      <c r="N8" s="11">
        <v>2393</v>
      </c>
      <c r="O8" s="10">
        <v>1191</v>
      </c>
      <c r="P8" s="11">
        <v>1490</v>
      </c>
      <c r="Q8" s="11">
        <v>1243</v>
      </c>
      <c r="R8" s="11">
        <v>847</v>
      </c>
    </row>
    <row r="9" spans="1:22" ht="15.75" customHeight="1" x14ac:dyDescent="0.25">
      <c r="A9" s="1"/>
      <c r="B9" s="17" t="s">
        <v>2</v>
      </c>
      <c r="C9" s="14">
        <f>9010/C8</f>
        <v>1</v>
      </c>
      <c r="D9" s="15">
        <f>1893/D8</f>
        <v>1</v>
      </c>
      <c r="E9" s="15">
        <f>378/E8</f>
        <v>1</v>
      </c>
      <c r="F9" s="26">
        <f>711/F8</f>
        <v>1</v>
      </c>
      <c r="G9" s="14">
        <f>298/G8</f>
        <v>0.6607538802660754</v>
      </c>
      <c r="H9" s="15">
        <f>96/H8</f>
        <v>0.44444444444444442</v>
      </c>
      <c r="I9" s="15">
        <f>0/I8</f>
        <v>0</v>
      </c>
      <c r="J9" s="26">
        <f>9/J8</f>
        <v>8.4905660377358486E-2</v>
      </c>
      <c r="K9" s="14">
        <f>47/K8</f>
        <v>1.7669172932330827E-2</v>
      </c>
      <c r="L9" s="15">
        <f>334/L8</f>
        <v>7.8019154403176832E-2</v>
      </c>
      <c r="M9" s="15">
        <f>55/M8</f>
        <v>1.4682327816337427E-2</v>
      </c>
      <c r="N9" s="26">
        <f>37/N8</f>
        <v>1.5461763476807356E-2</v>
      </c>
      <c r="O9" s="27">
        <f>1/O8</f>
        <v>8.3963056255247689E-4</v>
      </c>
      <c r="P9" s="15">
        <f>14/P8</f>
        <v>9.3959731543624154E-3</v>
      </c>
      <c r="Q9" s="15">
        <f t="shared" ref="Q9:R9" si="0">0/Q8</f>
        <v>0</v>
      </c>
      <c r="R9" s="26">
        <f t="shared" si="0"/>
        <v>0</v>
      </c>
    </row>
    <row r="10" spans="1:22" ht="15.75" customHeight="1" x14ac:dyDescent="0.25">
      <c r="A10" s="1"/>
      <c r="B10" s="17" t="s">
        <v>4</v>
      </c>
      <c r="C10" s="18">
        <f>298/C8</f>
        <v>3.307436182019978E-2</v>
      </c>
      <c r="D10" s="19">
        <f>96/1893</f>
        <v>5.0713153724247229E-2</v>
      </c>
      <c r="E10" s="19">
        <f>0/E8</f>
        <v>0</v>
      </c>
      <c r="F10" s="28">
        <f>9/F8</f>
        <v>1.2658227848101266E-2</v>
      </c>
      <c r="G10" s="18">
        <f>451/G8</f>
        <v>1</v>
      </c>
      <c r="H10" s="19">
        <f>216/H8</f>
        <v>1</v>
      </c>
      <c r="I10" s="19">
        <f>31/I8</f>
        <v>1</v>
      </c>
      <c r="J10" s="28">
        <f>106/J8</f>
        <v>1</v>
      </c>
      <c r="K10" s="18">
        <f>20/K8</f>
        <v>7.5187969924812026E-3</v>
      </c>
      <c r="L10" s="19">
        <f>24/L8</f>
        <v>5.6061667834618077E-3</v>
      </c>
      <c r="M10" s="19">
        <f>5/M8</f>
        <v>1.3347570742124934E-3</v>
      </c>
      <c r="N10" s="28">
        <f>7/N8</f>
        <v>2.9251984956122023E-3</v>
      </c>
      <c r="O10" s="29">
        <f>4/O8</f>
        <v>3.3585222502099076E-3</v>
      </c>
      <c r="P10" s="19">
        <f>3/P8</f>
        <v>2.0134228187919465E-3</v>
      </c>
      <c r="Q10" s="19">
        <f>7/Q8</f>
        <v>5.6315366049879325E-3</v>
      </c>
      <c r="R10" s="28">
        <f>5/R8</f>
        <v>5.9031877213695395E-3</v>
      </c>
    </row>
    <row r="11" spans="1:22" ht="15.75" customHeight="1" x14ac:dyDescent="0.25">
      <c r="A11" s="1"/>
      <c r="B11" s="17" t="s">
        <v>5</v>
      </c>
      <c r="C11" s="18">
        <f>47/C8</f>
        <v>5.2164261931187568E-3</v>
      </c>
      <c r="D11" s="19">
        <f>334/1893</f>
        <v>0.17643951399894348</v>
      </c>
      <c r="E11" s="19">
        <f>55/E8</f>
        <v>0.14550264550264549</v>
      </c>
      <c r="F11" s="28">
        <f>37/F8</f>
        <v>5.2039381153305204E-2</v>
      </c>
      <c r="G11" s="18">
        <f>20/G8</f>
        <v>4.4345898004434593E-2</v>
      </c>
      <c r="H11" s="19">
        <f>24/H8</f>
        <v>0.1111111111111111</v>
      </c>
      <c r="I11" s="19">
        <f>5/I8</f>
        <v>0.16129032258064516</v>
      </c>
      <c r="J11" s="28">
        <f>7/J8</f>
        <v>6.6037735849056603E-2</v>
      </c>
      <c r="K11" s="18">
        <f>2660/K8</f>
        <v>1</v>
      </c>
      <c r="L11" s="19">
        <f>4281/L8</f>
        <v>1</v>
      </c>
      <c r="M11" s="19">
        <f>3746/M8</f>
        <v>1</v>
      </c>
      <c r="N11" s="28">
        <f>2393/N8</f>
        <v>1</v>
      </c>
      <c r="O11" s="29">
        <f>27/O8</f>
        <v>2.2670025188916875E-2</v>
      </c>
      <c r="P11" s="19">
        <f>354/P8</f>
        <v>0.23758389261744967</v>
      </c>
      <c r="Q11" s="19">
        <f>126/Q8</f>
        <v>0.10136765888978279</v>
      </c>
      <c r="R11" s="28">
        <f>4/R8</f>
        <v>4.7225501770956314E-3</v>
      </c>
    </row>
    <row r="12" spans="1:22" ht="15.75" customHeight="1" x14ac:dyDescent="0.25">
      <c r="A12" s="1"/>
      <c r="B12" s="21" t="s">
        <v>6</v>
      </c>
      <c r="C12" s="22">
        <f>1/C8</f>
        <v>1.1098779134295228E-4</v>
      </c>
      <c r="D12" s="23">
        <f>14/1893</f>
        <v>7.3956682514527208E-3</v>
      </c>
      <c r="E12" s="23">
        <f t="shared" ref="E12:F12" si="1">0/E8</f>
        <v>0</v>
      </c>
      <c r="F12" s="30">
        <f t="shared" si="1"/>
        <v>0</v>
      </c>
      <c r="G12" s="22">
        <f>4/G8</f>
        <v>8.869179600886918E-3</v>
      </c>
      <c r="H12" s="23">
        <f>3/H8</f>
        <v>1.3888888888888888E-2</v>
      </c>
      <c r="I12" s="23">
        <f>7/I8</f>
        <v>0.22580645161290322</v>
      </c>
      <c r="J12" s="30">
        <f>5/J8</f>
        <v>4.716981132075472E-2</v>
      </c>
      <c r="K12" s="22">
        <f>27/K8</f>
        <v>1.0150375939849625E-2</v>
      </c>
      <c r="L12" s="23">
        <f>354/L8</f>
        <v>8.2690960056061663E-2</v>
      </c>
      <c r="M12" s="23">
        <f>126/M8</f>
        <v>3.363587827015483E-2</v>
      </c>
      <c r="N12" s="30">
        <f>4/N8</f>
        <v>1.6715419974926871E-3</v>
      </c>
      <c r="O12" s="31">
        <f>1191/O8</f>
        <v>1</v>
      </c>
      <c r="P12" s="23">
        <f>1490/P8</f>
        <v>1</v>
      </c>
      <c r="Q12" s="23">
        <f>1243/Q8</f>
        <v>1</v>
      </c>
      <c r="R12" s="30">
        <f>847/R8</f>
        <v>1</v>
      </c>
    </row>
    <row r="13" spans="1:22" ht="15.75" customHeight="1" x14ac:dyDescent="0.25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22" ht="15.75" customHeight="1" x14ac:dyDescent="0.25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22" ht="15.75" customHeight="1" x14ac:dyDescent="0.25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22" ht="15.75" customHeight="1" x14ac:dyDescent="0.25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/>
    <row r="222" spans="1:18" ht="15.75" customHeight="1" x14ac:dyDescent="0.25"/>
    <row r="223" spans="1:18" ht="15.75" customHeight="1" x14ac:dyDescent="0.25"/>
    <row r="224" spans="1:1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C4:R4"/>
    <mergeCell ref="C5:R5"/>
    <mergeCell ref="C7:F7"/>
    <mergeCell ref="G7:J7"/>
    <mergeCell ref="K7:N7"/>
    <mergeCell ref="O7:R7"/>
  </mergeCells>
  <conditionalFormatting sqref="C9:R12">
    <cfRule type="colorScale" priority="35">
      <colorScale>
        <cfvo type="min"/>
        <cfvo type="percentile" val="50"/>
        <cfvo type="max"/>
        <color theme="0"/>
        <color rgb="FFFFEB84"/>
        <color theme="5"/>
      </colorScale>
    </cfRule>
    <cfRule type="colorScale" priority="36">
      <colorScale>
        <cfvo type="min"/>
        <cfvo type="max"/>
        <color rgb="FFFFFFFF"/>
        <color rgb="FFE67C73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Z1000"/>
  <sheetViews>
    <sheetView showGridLines="0" workbookViewId="0">
      <selection activeCell="F6" sqref="F6"/>
    </sheetView>
  </sheetViews>
  <sheetFormatPr defaultColWidth="12.6640625" defaultRowHeight="15" customHeight="1" x14ac:dyDescent="0.25"/>
  <cols>
    <col min="1" max="1" width="5.33203125" customWidth="1"/>
    <col min="2" max="2" width="26.33203125" customWidth="1"/>
    <col min="3" max="22" width="8.33203125" customWidth="1"/>
  </cols>
  <sheetData>
    <row r="1" spans="1:26" ht="15.75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6" ht="15.7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6" ht="15.75" customHeight="1" x14ac:dyDescent="0.25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6" ht="55.5" customHeight="1" x14ac:dyDescent="0.25">
      <c r="B4" s="56" t="s">
        <v>0</v>
      </c>
      <c r="C4" s="47"/>
      <c r="D4" s="47"/>
      <c r="E4" s="47"/>
      <c r="F4" s="47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6" ht="33" customHeight="1" x14ac:dyDescent="0.25">
      <c r="C5" s="57"/>
      <c r="D5" s="47"/>
      <c r="E5" s="47"/>
      <c r="F5" s="47"/>
      <c r="G5" s="33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6" ht="15.75" customHeight="1" x14ac:dyDescent="0.25">
      <c r="A6" s="4"/>
      <c r="B6" s="4"/>
      <c r="C6" s="60" t="s">
        <v>9</v>
      </c>
      <c r="D6" s="5" t="s">
        <v>10</v>
      </c>
      <c r="E6" s="34" t="s">
        <v>11</v>
      </c>
      <c r="F6" s="6" t="s">
        <v>12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4"/>
      <c r="X6" s="4"/>
      <c r="Y6" s="4"/>
      <c r="Z6" s="4"/>
    </row>
    <row r="7" spans="1:26" ht="15.75" customHeight="1" x14ac:dyDescent="0.25">
      <c r="A7" s="7"/>
      <c r="B7" s="7"/>
      <c r="C7" s="55" t="s">
        <v>2</v>
      </c>
      <c r="D7" s="50"/>
      <c r="E7" s="50"/>
      <c r="F7" s="51"/>
      <c r="G7" s="58"/>
      <c r="H7" s="47"/>
      <c r="I7" s="47"/>
      <c r="J7" s="47"/>
      <c r="K7" s="58"/>
      <c r="L7" s="47"/>
      <c r="M7" s="47"/>
      <c r="N7" s="47"/>
      <c r="O7" s="58"/>
      <c r="P7" s="47"/>
      <c r="Q7" s="47"/>
      <c r="R7" s="47"/>
      <c r="S7" s="58"/>
      <c r="T7" s="47"/>
      <c r="U7" s="47"/>
      <c r="V7" s="47"/>
      <c r="W7" s="7"/>
      <c r="X7" s="7"/>
      <c r="Y7" s="7"/>
      <c r="Z7" s="7"/>
    </row>
    <row r="8" spans="1:26" ht="15.75" customHeight="1" x14ac:dyDescent="0.25">
      <c r="A8" s="8"/>
      <c r="B8" s="9" t="s">
        <v>7</v>
      </c>
      <c r="C8" s="10">
        <v>9010</v>
      </c>
      <c r="D8" s="11">
        <v>1893</v>
      </c>
      <c r="E8" s="11">
        <v>378</v>
      </c>
      <c r="F8" s="12">
        <v>711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6" ht="15.75" customHeight="1" x14ac:dyDescent="0.25">
      <c r="A9" s="8"/>
      <c r="B9" s="36" t="s">
        <v>2</v>
      </c>
      <c r="C9" s="14">
        <f>9010/C8</f>
        <v>1</v>
      </c>
      <c r="D9" s="15">
        <f>1893/D8</f>
        <v>1</v>
      </c>
      <c r="E9" s="15">
        <f>378/E8</f>
        <v>1</v>
      </c>
      <c r="F9" s="16">
        <f>711/F8</f>
        <v>1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</row>
    <row r="10" spans="1:26" ht="15.75" customHeight="1" x14ac:dyDescent="0.25">
      <c r="A10" s="8"/>
      <c r="B10" s="38" t="s">
        <v>8</v>
      </c>
      <c r="C10" s="18">
        <f>228/C8</f>
        <v>2.5305216426193117E-2</v>
      </c>
      <c r="D10" s="19">
        <f>760/1893</f>
        <v>0.40147913365029053</v>
      </c>
      <c r="E10" s="19">
        <f>75/E8</f>
        <v>0.1984126984126984</v>
      </c>
      <c r="F10" s="20">
        <f>58/F8</f>
        <v>8.1575246132208151E-2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</row>
    <row r="11" spans="1:26" ht="15.75" customHeight="1" x14ac:dyDescent="0.25">
      <c r="A11" s="8"/>
      <c r="B11" s="38" t="s">
        <v>4</v>
      </c>
      <c r="C11" s="18">
        <f>298/C8</f>
        <v>3.307436182019978E-2</v>
      </c>
      <c r="D11" s="19">
        <f>96/1893</f>
        <v>5.0713153724247229E-2</v>
      </c>
      <c r="E11" s="19">
        <f>0/E8</f>
        <v>0</v>
      </c>
      <c r="F11" s="20">
        <f>9/F8</f>
        <v>1.2658227848101266E-2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</row>
    <row r="12" spans="1:26" ht="15.75" customHeight="1" x14ac:dyDescent="0.25">
      <c r="A12" s="8"/>
      <c r="B12" s="38" t="s">
        <v>5</v>
      </c>
      <c r="C12" s="18">
        <f>47/C8</f>
        <v>5.2164261931187568E-3</v>
      </c>
      <c r="D12" s="19">
        <f>334/1893</f>
        <v>0.17643951399894348</v>
      </c>
      <c r="E12" s="19">
        <f>55/E8</f>
        <v>0.14550264550264549</v>
      </c>
      <c r="F12" s="20">
        <f>37/F8</f>
        <v>5.2039381153305204E-2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  <row r="13" spans="1:26" ht="15.75" customHeight="1" x14ac:dyDescent="0.25">
      <c r="A13" s="8"/>
      <c r="B13" s="39" t="s">
        <v>6</v>
      </c>
      <c r="C13" s="22">
        <f>1/C8</f>
        <v>1.1098779134295228E-4</v>
      </c>
      <c r="D13" s="23">
        <f>14/1893</f>
        <v>7.3956682514527208E-3</v>
      </c>
      <c r="E13" s="23">
        <f t="shared" ref="E13:F13" si="0">0/E8</f>
        <v>0</v>
      </c>
      <c r="F13" s="24">
        <f t="shared" si="0"/>
        <v>0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</row>
    <row r="14" spans="1:26" ht="15.75" customHeight="1" x14ac:dyDescent="0.25">
      <c r="B14" s="1"/>
      <c r="C14" s="52" t="s">
        <v>3</v>
      </c>
      <c r="D14" s="53"/>
      <c r="E14" s="53"/>
      <c r="F14" s="5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6" ht="15.75" customHeight="1" x14ac:dyDescent="0.25">
      <c r="B15" s="9" t="s">
        <v>7</v>
      </c>
      <c r="C15" s="10">
        <v>7696</v>
      </c>
      <c r="D15" s="11">
        <v>1933</v>
      </c>
      <c r="E15" s="11">
        <v>504</v>
      </c>
      <c r="F15" s="12">
        <v>1204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6" ht="15.75" customHeight="1" x14ac:dyDescent="0.25">
      <c r="B16" s="13" t="s">
        <v>2</v>
      </c>
      <c r="C16" s="14">
        <f>228/C15</f>
        <v>2.9625779625779627E-2</v>
      </c>
      <c r="D16" s="15">
        <f>760/D15</f>
        <v>0.3931712364200724</v>
      </c>
      <c r="E16" s="15">
        <f>75/E15</f>
        <v>0.14880952380952381</v>
      </c>
      <c r="F16" s="16">
        <f>58/F15</f>
        <v>4.817275747508306E-2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2:22" ht="15.75" customHeight="1" x14ac:dyDescent="0.25">
      <c r="B17" s="17" t="s">
        <v>8</v>
      </c>
      <c r="C17" s="18">
        <f>7696/C15</f>
        <v>1</v>
      </c>
      <c r="D17" s="19">
        <f>1933/D15</f>
        <v>1</v>
      </c>
      <c r="E17" s="19">
        <f>504/E15</f>
        <v>1</v>
      </c>
      <c r="F17" s="20">
        <f>1204/F15</f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2:22" ht="15.75" customHeight="1" x14ac:dyDescent="0.25">
      <c r="B18" s="17" t="s">
        <v>4</v>
      </c>
      <c r="C18" s="18">
        <f>75/C15</f>
        <v>9.7453222453222459E-3</v>
      </c>
      <c r="D18" s="19">
        <f>100/D15</f>
        <v>5.1733057423693739E-2</v>
      </c>
      <c r="E18" s="19">
        <f>0/E15</f>
        <v>0</v>
      </c>
      <c r="F18" s="20">
        <f>3/F15</f>
        <v>2.4916943521594683E-3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2:22" ht="15.75" customHeight="1" x14ac:dyDescent="0.25">
      <c r="B19" s="17" t="s">
        <v>5</v>
      </c>
      <c r="C19" s="18">
        <f>30/C15</f>
        <v>3.8981288981288983E-3</v>
      </c>
      <c r="D19" s="19">
        <f>82/D15</f>
        <v>4.2421107087428869E-2</v>
      </c>
      <c r="E19" s="19">
        <f>19/E15</f>
        <v>3.7698412698412696E-2</v>
      </c>
      <c r="F19" s="20">
        <f>7/F15</f>
        <v>5.8139534883720929E-3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2:22" ht="15.75" customHeight="1" x14ac:dyDescent="0.25">
      <c r="B20" s="21" t="s">
        <v>6</v>
      </c>
      <c r="C20" s="22">
        <f>0/C15</f>
        <v>0</v>
      </c>
      <c r="D20" s="23">
        <f>20/D15</f>
        <v>1.0346611484738748E-2</v>
      </c>
      <c r="E20" s="23">
        <f>15/E15</f>
        <v>2.976190476190476E-2</v>
      </c>
      <c r="F20" s="24">
        <f>5/F15</f>
        <v>4.152823920265781E-3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2:22" ht="15.75" customHeight="1" x14ac:dyDescent="0.25">
      <c r="B21" s="1"/>
      <c r="C21" s="55" t="s">
        <v>4</v>
      </c>
      <c r="D21" s="50"/>
      <c r="E21" s="50"/>
      <c r="F21" s="5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ht="15.75" customHeight="1" x14ac:dyDescent="0.25">
      <c r="B22" s="9" t="s">
        <v>7</v>
      </c>
      <c r="C22" s="10">
        <v>451</v>
      </c>
      <c r="D22" s="11">
        <v>216</v>
      </c>
      <c r="E22" s="11">
        <v>31</v>
      </c>
      <c r="F22" s="12">
        <v>106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ht="15.75" customHeight="1" x14ac:dyDescent="0.25">
      <c r="B23" s="13" t="s">
        <v>2</v>
      </c>
      <c r="C23" s="14">
        <f>298/C22</f>
        <v>0.6607538802660754</v>
      </c>
      <c r="D23" s="15">
        <f>96/D22</f>
        <v>0.44444444444444442</v>
      </c>
      <c r="E23" s="15">
        <f>0/E22</f>
        <v>0</v>
      </c>
      <c r="F23" s="16">
        <f>9/F22</f>
        <v>8.4905660377358486E-2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ht="15.75" customHeight="1" x14ac:dyDescent="0.25">
      <c r="B24" s="17" t="s">
        <v>8</v>
      </c>
      <c r="C24" s="18">
        <f>75/C22</f>
        <v>0.16629711751662971</v>
      </c>
      <c r="D24" s="19">
        <f>100/D22</f>
        <v>0.46296296296296297</v>
      </c>
      <c r="E24" s="19">
        <f>0/E22</f>
        <v>0</v>
      </c>
      <c r="F24" s="20">
        <f>3/F22</f>
        <v>2.8301886792452831E-2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2:22" ht="15.75" customHeight="1" x14ac:dyDescent="0.25">
      <c r="B25" s="17" t="s">
        <v>4</v>
      </c>
      <c r="C25" s="18">
        <f>451/C22</f>
        <v>1</v>
      </c>
      <c r="D25" s="19">
        <f>216/D22</f>
        <v>1</v>
      </c>
      <c r="E25" s="19">
        <f>31/E22</f>
        <v>1</v>
      </c>
      <c r="F25" s="20">
        <f>106/F22</f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ht="15.75" customHeight="1" x14ac:dyDescent="0.25">
      <c r="B26" s="17" t="s">
        <v>5</v>
      </c>
      <c r="C26" s="18">
        <f>20/C22</f>
        <v>4.4345898004434593E-2</v>
      </c>
      <c r="D26" s="19">
        <f>24/D22</f>
        <v>0.1111111111111111</v>
      </c>
      <c r="E26" s="19">
        <f>5/E22</f>
        <v>0.16129032258064516</v>
      </c>
      <c r="F26" s="20">
        <f>7/F22</f>
        <v>6.6037735849056603E-2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ht="15.75" customHeight="1" x14ac:dyDescent="0.25">
      <c r="B27" s="21" t="s">
        <v>6</v>
      </c>
      <c r="C27" s="22">
        <f>4/C22</f>
        <v>8.869179600886918E-3</v>
      </c>
      <c r="D27" s="23">
        <f>3/D22</f>
        <v>1.3888888888888888E-2</v>
      </c>
      <c r="E27" s="23">
        <f>7/E22</f>
        <v>0.22580645161290322</v>
      </c>
      <c r="F27" s="24">
        <f>5/F22</f>
        <v>4.716981132075472E-2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2:22" ht="15.75" customHeight="1" x14ac:dyDescent="0.25">
      <c r="B28" s="1"/>
      <c r="C28" s="55" t="s">
        <v>5</v>
      </c>
      <c r="D28" s="50"/>
      <c r="E28" s="50"/>
      <c r="F28" s="5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2:22" ht="15.75" customHeight="1" x14ac:dyDescent="0.25">
      <c r="B29" s="9" t="s">
        <v>7</v>
      </c>
      <c r="C29" s="10">
        <v>2660</v>
      </c>
      <c r="D29" s="11">
        <v>4281</v>
      </c>
      <c r="E29" s="11">
        <v>3746</v>
      </c>
      <c r="F29" s="12">
        <v>2393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2:22" ht="15.75" customHeight="1" x14ac:dyDescent="0.25">
      <c r="B30" s="13" t="s">
        <v>2</v>
      </c>
      <c r="C30" s="14">
        <f>47/C29</f>
        <v>1.7669172932330827E-2</v>
      </c>
      <c r="D30" s="15">
        <f>334/D29</f>
        <v>7.8019154403176832E-2</v>
      </c>
      <c r="E30" s="15">
        <f>55/E29</f>
        <v>1.4682327816337427E-2</v>
      </c>
      <c r="F30" s="16">
        <f>37/F29</f>
        <v>1.5461763476807356E-2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2:22" ht="15.75" customHeight="1" x14ac:dyDescent="0.25">
      <c r="B31" s="17" t="s">
        <v>8</v>
      </c>
      <c r="C31" s="18">
        <f>30/C29</f>
        <v>1.1278195488721804E-2</v>
      </c>
      <c r="D31" s="19">
        <f>82/D29</f>
        <v>1.9154403176827844E-2</v>
      </c>
      <c r="E31" s="19">
        <f>19/E29</f>
        <v>5.0720768820074749E-3</v>
      </c>
      <c r="F31" s="20">
        <f>7/F29</f>
        <v>2.9251984956122023E-3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2:22" ht="15.75" customHeight="1" x14ac:dyDescent="0.25">
      <c r="B32" s="17" t="s">
        <v>4</v>
      </c>
      <c r="C32" s="18">
        <f>20/C29</f>
        <v>7.5187969924812026E-3</v>
      </c>
      <c r="D32" s="19">
        <f>24/D29</f>
        <v>5.6061667834618077E-3</v>
      </c>
      <c r="E32" s="19">
        <f>5/E29</f>
        <v>1.3347570742124934E-3</v>
      </c>
      <c r="F32" s="20">
        <f>7/F29</f>
        <v>2.9251984956122023E-3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2:22" ht="15.75" customHeight="1" x14ac:dyDescent="0.25">
      <c r="B33" s="17" t="s">
        <v>5</v>
      </c>
      <c r="C33" s="18">
        <f>2660/C29</f>
        <v>1</v>
      </c>
      <c r="D33" s="19">
        <f>4281/D29</f>
        <v>1</v>
      </c>
      <c r="E33" s="19">
        <f>3746/E29</f>
        <v>1</v>
      </c>
      <c r="F33" s="20">
        <f>2393/F29</f>
        <v>1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2:22" ht="15.75" customHeight="1" x14ac:dyDescent="0.25">
      <c r="B34" s="21" t="s">
        <v>6</v>
      </c>
      <c r="C34" s="22">
        <f>27/C29</f>
        <v>1.0150375939849625E-2</v>
      </c>
      <c r="D34" s="23">
        <f>354/D29</f>
        <v>8.2690960056061663E-2</v>
      </c>
      <c r="E34" s="23">
        <f>126/E29</f>
        <v>3.363587827015483E-2</v>
      </c>
      <c r="F34" s="24">
        <f>4/F29</f>
        <v>1.6715419974926871E-3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2:22" ht="15.75" customHeight="1" x14ac:dyDescent="0.25">
      <c r="B35" s="1"/>
      <c r="C35" s="55" t="s">
        <v>6</v>
      </c>
      <c r="D35" s="50"/>
      <c r="E35" s="50"/>
      <c r="F35" s="5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2:22" ht="15.75" customHeight="1" x14ac:dyDescent="0.25">
      <c r="B36" s="9" t="s">
        <v>7</v>
      </c>
      <c r="C36" s="10">
        <v>1191</v>
      </c>
      <c r="D36" s="11">
        <v>1490</v>
      </c>
      <c r="E36" s="11">
        <v>1243</v>
      </c>
      <c r="F36" s="12">
        <v>847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2:22" ht="15.75" customHeight="1" x14ac:dyDescent="0.25">
      <c r="B37" s="13" t="s">
        <v>2</v>
      </c>
      <c r="C37" s="14">
        <f>1/C36</f>
        <v>8.3963056255247689E-4</v>
      </c>
      <c r="D37" s="15">
        <f>14/D36</f>
        <v>9.3959731543624154E-3</v>
      </c>
      <c r="E37" s="15">
        <f t="shared" ref="E37:F37" si="1">0/E36</f>
        <v>0</v>
      </c>
      <c r="F37" s="16">
        <f t="shared" si="1"/>
        <v>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2:22" ht="15.75" customHeight="1" x14ac:dyDescent="0.25">
      <c r="B38" s="17" t="s">
        <v>8</v>
      </c>
      <c r="C38" s="18">
        <f>0/C36</f>
        <v>0</v>
      </c>
      <c r="D38" s="19">
        <f>20/D36</f>
        <v>1.3422818791946308E-2</v>
      </c>
      <c r="E38" s="19">
        <f>15/E36</f>
        <v>1.2067578439259855E-2</v>
      </c>
      <c r="F38" s="20">
        <f>1/F36</f>
        <v>1.1806375442739079E-3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2" ht="15.75" customHeight="1" x14ac:dyDescent="0.25">
      <c r="B39" s="17" t="s">
        <v>4</v>
      </c>
      <c r="C39" s="18">
        <f>4/C36</f>
        <v>3.3585222502099076E-3</v>
      </c>
      <c r="D39" s="19">
        <f>3/D36</f>
        <v>2.0134228187919465E-3</v>
      </c>
      <c r="E39" s="19">
        <f>7/E36</f>
        <v>5.6315366049879325E-3</v>
      </c>
      <c r="F39" s="20">
        <f>5/F36</f>
        <v>5.9031877213695395E-3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2:22" ht="15.75" customHeight="1" x14ac:dyDescent="0.25">
      <c r="B40" s="17" t="s">
        <v>5</v>
      </c>
      <c r="C40" s="18">
        <f>27/C36</f>
        <v>2.2670025188916875E-2</v>
      </c>
      <c r="D40" s="19">
        <f>354/D36</f>
        <v>0.23758389261744967</v>
      </c>
      <c r="E40" s="19">
        <f>126/E36</f>
        <v>0.10136765888978279</v>
      </c>
      <c r="F40" s="20">
        <f>4/F36</f>
        <v>4.7225501770956314E-3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2:22" ht="15.75" customHeight="1" x14ac:dyDescent="0.25">
      <c r="B41" s="21" t="s">
        <v>6</v>
      </c>
      <c r="C41" s="22">
        <f>1191/C36</f>
        <v>1</v>
      </c>
      <c r="D41" s="23">
        <f>1490/D36</f>
        <v>1</v>
      </c>
      <c r="E41" s="23">
        <f>1243/E36</f>
        <v>1</v>
      </c>
      <c r="F41" s="24">
        <f>847/F36</f>
        <v>1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2:22" ht="15.75" customHeight="1" x14ac:dyDescent="0.25"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2:22" ht="15.75" customHeight="1" x14ac:dyDescent="0.25"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2:22" ht="15.75" customHeight="1" x14ac:dyDescent="0.25"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2:22" ht="15.75" customHeight="1" x14ac:dyDescent="0.25"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2:22" ht="15.75" customHeight="1" x14ac:dyDescent="0.25"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2:22" ht="15.75" customHeight="1" x14ac:dyDescent="0.25"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22" ht="15.75" customHeight="1" x14ac:dyDescent="0.25"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2:22" ht="15.75" customHeight="1" x14ac:dyDescent="0.25"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2:22" ht="15.75" customHeight="1" x14ac:dyDescent="0.25"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2:22" ht="15.75" customHeight="1" x14ac:dyDescent="0.25"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ht="15.75" customHeight="1" x14ac:dyDescent="0.25"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2:22" ht="15.75" customHeight="1" x14ac:dyDescent="0.25"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2:22" ht="15.75" customHeight="1" x14ac:dyDescent="0.25"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2" ht="15.75" customHeight="1" x14ac:dyDescent="0.25"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2" ht="15.75" customHeight="1" x14ac:dyDescent="0.25"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2:22" ht="15.75" customHeight="1" x14ac:dyDescent="0.25"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2:22" ht="15.75" customHeight="1" x14ac:dyDescent="0.25"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2:22" ht="15.75" customHeight="1" x14ac:dyDescent="0.25"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2:22" ht="15.75" customHeight="1" x14ac:dyDescent="0.25"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2:22" ht="15.75" customHeight="1" x14ac:dyDescent="0.25"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2:22" ht="15.75" customHeight="1" x14ac:dyDescent="0.25"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2:22" ht="15.75" customHeight="1" x14ac:dyDescent="0.25"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2:22" ht="15.75" customHeight="1" x14ac:dyDescent="0.25"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2:22" ht="15.75" customHeight="1" x14ac:dyDescent="0.25"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2:22" ht="15.75" customHeight="1" x14ac:dyDescent="0.25"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2" ht="15.75" customHeight="1" x14ac:dyDescent="0.25"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22" ht="15.75" customHeight="1" x14ac:dyDescent="0.25"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2:22" ht="15.75" customHeight="1" x14ac:dyDescent="0.25"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2:22" ht="15.75" customHeight="1" x14ac:dyDescent="0.25"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2:22" ht="15.75" customHeight="1" x14ac:dyDescent="0.25"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22" ht="15.75" customHeight="1" x14ac:dyDescent="0.25"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22" ht="15.75" customHeight="1" x14ac:dyDescent="0.25"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22" ht="15.75" customHeight="1" x14ac:dyDescent="0.25"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2:22" ht="15.75" customHeight="1" x14ac:dyDescent="0.25"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2:22" ht="15.75" customHeight="1" x14ac:dyDescent="0.25"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2:22" ht="15.75" customHeight="1" x14ac:dyDescent="0.25"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22" ht="15.75" customHeight="1" x14ac:dyDescent="0.25"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2" ht="15.75" customHeight="1" x14ac:dyDescent="0.25"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2" ht="15.75" customHeight="1" x14ac:dyDescent="0.25"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2" ht="15.75" customHeight="1" x14ac:dyDescent="0.25"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2:22" ht="15.75" customHeight="1" x14ac:dyDescent="0.25"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2:22" ht="15.75" customHeight="1" x14ac:dyDescent="0.25"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2:22" ht="15.75" customHeight="1" x14ac:dyDescent="0.25"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2:22" ht="15.75" customHeight="1" x14ac:dyDescent="0.25"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2:22" ht="15.75" customHeight="1" x14ac:dyDescent="0.25"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2:22" ht="15.75" customHeight="1" x14ac:dyDescent="0.25"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2:22" ht="15.75" customHeight="1" x14ac:dyDescent="0.25"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2:22" ht="15.75" customHeight="1" x14ac:dyDescent="0.25"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 ht="15.75" customHeight="1" x14ac:dyDescent="0.25"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2:22" ht="15.75" customHeight="1" x14ac:dyDescent="0.25"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2:22" ht="15.75" customHeight="1" x14ac:dyDescent="0.25"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ht="15.75" customHeight="1" x14ac:dyDescent="0.25"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2:22" ht="15.75" customHeight="1" x14ac:dyDescent="0.25"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2:22" ht="15.75" customHeight="1" x14ac:dyDescent="0.25"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2:22" ht="15.75" customHeight="1" x14ac:dyDescent="0.25"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2:22" ht="15.75" customHeight="1" x14ac:dyDescent="0.25"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2:22" ht="15.75" customHeight="1" x14ac:dyDescent="0.25"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2:22" ht="15.75" customHeight="1" x14ac:dyDescent="0.25"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ht="15.75" customHeight="1" x14ac:dyDescent="0.25"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2:22" ht="15.75" customHeight="1" x14ac:dyDescent="0.25"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2:22" ht="15.75" customHeight="1" x14ac:dyDescent="0.25"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2:22" ht="15.75" customHeight="1" x14ac:dyDescent="0.25"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2:22" ht="15.75" customHeight="1" x14ac:dyDescent="0.25"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2:22" ht="15.75" customHeight="1" x14ac:dyDescent="0.25"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2:22" ht="15.75" customHeight="1" x14ac:dyDescent="0.25"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2:22" ht="15.75" customHeight="1" x14ac:dyDescent="0.25"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2:22" ht="15.75" customHeight="1" x14ac:dyDescent="0.25"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2:22" ht="15.75" customHeight="1" x14ac:dyDescent="0.25"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2:22" ht="15.75" customHeight="1" x14ac:dyDescent="0.25"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2:22" ht="15.75" customHeight="1" x14ac:dyDescent="0.25"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2:22" ht="15.75" customHeight="1" x14ac:dyDescent="0.25"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2:22" ht="15.75" customHeight="1" x14ac:dyDescent="0.25"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2:22" ht="15.75" customHeight="1" x14ac:dyDescent="0.25"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2:22" ht="15.75" customHeight="1" x14ac:dyDescent="0.25"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2:22" ht="15.75" customHeight="1" x14ac:dyDescent="0.25"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2:22" ht="15.75" customHeight="1" x14ac:dyDescent="0.25"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2:22" ht="15.75" customHeight="1" x14ac:dyDescent="0.25"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2:22" ht="15.75" customHeight="1" x14ac:dyDescent="0.25"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2:22" ht="15.75" customHeight="1" x14ac:dyDescent="0.25"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2:22" ht="15.75" customHeight="1" x14ac:dyDescent="0.25"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2:22" ht="15.75" customHeight="1" x14ac:dyDescent="0.25"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2:22" ht="15.75" customHeight="1" x14ac:dyDescent="0.25"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2:22" ht="15.75" customHeight="1" x14ac:dyDescent="0.25"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2:22" ht="15.75" customHeight="1" x14ac:dyDescent="0.25"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2:22" ht="15.75" customHeight="1" x14ac:dyDescent="0.25"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2:22" ht="15.75" customHeight="1" x14ac:dyDescent="0.25"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2:22" ht="15.75" customHeight="1" x14ac:dyDescent="0.25"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2:22" ht="15.75" customHeight="1" x14ac:dyDescent="0.25"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2:22" ht="15.75" customHeight="1" x14ac:dyDescent="0.25"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2:22" ht="15.75" customHeight="1" x14ac:dyDescent="0.25"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2:22" ht="15.75" customHeight="1" x14ac:dyDescent="0.25"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2:22" ht="15.75" customHeight="1" x14ac:dyDescent="0.25"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2:22" ht="15.75" customHeight="1" x14ac:dyDescent="0.25"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2:22" ht="15.75" customHeight="1" x14ac:dyDescent="0.25"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2:22" ht="15.75" customHeight="1" x14ac:dyDescent="0.25"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2:22" ht="15.75" customHeight="1" x14ac:dyDescent="0.25"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2:22" ht="15.75" customHeight="1" x14ac:dyDescent="0.25"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2:22" ht="15.75" customHeight="1" x14ac:dyDescent="0.25"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2:22" ht="15.75" customHeight="1" x14ac:dyDescent="0.25"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2:22" ht="15.75" customHeight="1" x14ac:dyDescent="0.25"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2:22" ht="15.75" customHeight="1" x14ac:dyDescent="0.25"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2:22" ht="15.75" customHeight="1" x14ac:dyDescent="0.25"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2:22" ht="15.75" customHeight="1" x14ac:dyDescent="0.25"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2:22" ht="15.75" customHeight="1" x14ac:dyDescent="0.25"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2:22" ht="15.75" customHeight="1" x14ac:dyDescent="0.25"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2:22" ht="15.75" customHeight="1" x14ac:dyDescent="0.25"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2:22" ht="15.75" customHeight="1" x14ac:dyDescent="0.25"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2:22" ht="15.75" customHeight="1" x14ac:dyDescent="0.25"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2:22" ht="15.75" customHeight="1" x14ac:dyDescent="0.25"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2:22" ht="15.75" customHeight="1" x14ac:dyDescent="0.25"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2:22" ht="15.75" customHeight="1" x14ac:dyDescent="0.25"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2:22" ht="15.75" customHeight="1" x14ac:dyDescent="0.25"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2:22" ht="15.75" customHeight="1" x14ac:dyDescent="0.25"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2:22" ht="15.75" customHeight="1" x14ac:dyDescent="0.25"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2:22" ht="15.75" customHeight="1" x14ac:dyDescent="0.25"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2:22" ht="15.75" customHeight="1" x14ac:dyDescent="0.25"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2:22" ht="15.75" customHeight="1" x14ac:dyDescent="0.25"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2:22" ht="15.75" customHeight="1" x14ac:dyDescent="0.25"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2:22" ht="15.75" customHeight="1" x14ac:dyDescent="0.25"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2:22" ht="15.75" customHeight="1" x14ac:dyDescent="0.25"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2:22" ht="15.75" customHeight="1" x14ac:dyDescent="0.25"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2:22" ht="15.75" customHeight="1" x14ac:dyDescent="0.25"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2:22" ht="15.75" customHeight="1" x14ac:dyDescent="0.25"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2:22" ht="15.75" customHeight="1" x14ac:dyDescent="0.25"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2:22" ht="15.75" customHeight="1" x14ac:dyDescent="0.25"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2:22" ht="15.75" customHeight="1" x14ac:dyDescent="0.25"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2:22" ht="15.75" customHeight="1" x14ac:dyDescent="0.25"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2:22" ht="15.75" customHeight="1" x14ac:dyDescent="0.25"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2:22" ht="15.75" customHeight="1" x14ac:dyDescent="0.25"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2:22" ht="15.75" customHeight="1" x14ac:dyDescent="0.25"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2:22" ht="15.75" customHeight="1" x14ac:dyDescent="0.25"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2:22" ht="15.75" customHeight="1" x14ac:dyDescent="0.25"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2:22" ht="15.75" customHeight="1" x14ac:dyDescent="0.25"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2:22" ht="15.75" customHeight="1" x14ac:dyDescent="0.25"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2:22" ht="15.75" customHeight="1" x14ac:dyDescent="0.25"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2:22" ht="15.75" customHeight="1" x14ac:dyDescent="0.25"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2:22" ht="15.75" customHeight="1" x14ac:dyDescent="0.25"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2:22" ht="15.75" customHeight="1" x14ac:dyDescent="0.25"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2:22" ht="15.75" customHeight="1" x14ac:dyDescent="0.25"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2:22" ht="15.75" customHeight="1" x14ac:dyDescent="0.25"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2:22" ht="15.75" customHeight="1" x14ac:dyDescent="0.25"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2:22" ht="15.75" customHeight="1" x14ac:dyDescent="0.25"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2:22" ht="15.75" customHeight="1" x14ac:dyDescent="0.25"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2:22" ht="15.75" customHeight="1" x14ac:dyDescent="0.25"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2:22" ht="15.75" customHeight="1" x14ac:dyDescent="0.25"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2:22" ht="15.75" customHeight="1" x14ac:dyDescent="0.25"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2:22" ht="15.75" customHeight="1" x14ac:dyDescent="0.25"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2:22" ht="15.75" customHeight="1" x14ac:dyDescent="0.25"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2:22" ht="15.75" customHeight="1" x14ac:dyDescent="0.25"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2:22" ht="15.75" customHeight="1" x14ac:dyDescent="0.25"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2:22" ht="15.75" customHeight="1" x14ac:dyDescent="0.25"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2:22" ht="15.75" customHeight="1" x14ac:dyDescent="0.25"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2:22" ht="15.75" customHeight="1" x14ac:dyDescent="0.25"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2:22" ht="15.75" customHeight="1" x14ac:dyDescent="0.25"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2:22" ht="15.75" customHeight="1" x14ac:dyDescent="0.25"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2:22" ht="15.75" customHeight="1" x14ac:dyDescent="0.25"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2:22" ht="15.75" customHeight="1" x14ac:dyDescent="0.25"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2:22" ht="15.75" customHeight="1" x14ac:dyDescent="0.25"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2:22" ht="15.75" customHeight="1" x14ac:dyDescent="0.25"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2:22" ht="15.75" customHeight="1" x14ac:dyDescent="0.25"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2:22" ht="15.75" customHeight="1" x14ac:dyDescent="0.25"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2:22" ht="15.75" customHeight="1" x14ac:dyDescent="0.25"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2:22" ht="15.75" customHeight="1" x14ac:dyDescent="0.25"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2:22" ht="15.75" customHeight="1" x14ac:dyDescent="0.25"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2:22" ht="15.75" customHeight="1" x14ac:dyDescent="0.25"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2:22" ht="15.75" customHeight="1" x14ac:dyDescent="0.25"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2:22" ht="15.75" customHeight="1" x14ac:dyDescent="0.25"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2:22" ht="15.75" customHeight="1" x14ac:dyDescent="0.25"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2:22" ht="15.75" customHeight="1" x14ac:dyDescent="0.25"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2:22" ht="15.75" customHeight="1" x14ac:dyDescent="0.25"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2:22" ht="15.75" customHeight="1" x14ac:dyDescent="0.25"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2:22" ht="15.75" customHeight="1" x14ac:dyDescent="0.25"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2:22" ht="15.75" customHeight="1" x14ac:dyDescent="0.25"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2:22" ht="15.75" customHeight="1" x14ac:dyDescent="0.25"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2:22" ht="15.75" customHeight="1" x14ac:dyDescent="0.25"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2:22" ht="15.75" customHeight="1" x14ac:dyDescent="0.25"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2:22" ht="15.75" customHeight="1" x14ac:dyDescent="0.25"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2:22" ht="15.75" customHeight="1" x14ac:dyDescent="0.25"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2:22" ht="15.75" customHeight="1" x14ac:dyDescent="0.25"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2:22" ht="15.75" customHeight="1" x14ac:dyDescent="0.25"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2:22" ht="15.75" customHeight="1" x14ac:dyDescent="0.25"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2:22" ht="15.75" customHeight="1" x14ac:dyDescent="0.25"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2:22" ht="15.75" customHeight="1" x14ac:dyDescent="0.25"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2:22" ht="15.75" customHeight="1" x14ac:dyDescent="0.25"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2:22" ht="15.75" customHeight="1" x14ac:dyDescent="0.25"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2:22" ht="15.75" customHeight="1" x14ac:dyDescent="0.25"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2:22" ht="15.75" customHeight="1" x14ac:dyDescent="0.25"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2:22" ht="15.75" customHeight="1" x14ac:dyDescent="0.25"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2:22" ht="15.75" customHeight="1" x14ac:dyDescent="0.25"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2:22" ht="15.75" customHeight="1" x14ac:dyDescent="0.25"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2:22" ht="15.75" customHeight="1" x14ac:dyDescent="0.25"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2:22" ht="15.75" customHeight="1" x14ac:dyDescent="0.25"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2:22" ht="15.75" customHeight="1" x14ac:dyDescent="0.25"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2:22" ht="15.75" customHeight="1" x14ac:dyDescent="0.25"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2:22" ht="15.75" customHeight="1" x14ac:dyDescent="0.25"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2:22" ht="15.75" customHeight="1" x14ac:dyDescent="0.25"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2:22" ht="15.75" customHeight="1" x14ac:dyDescent="0.25"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2:22" ht="15.75" customHeight="1" x14ac:dyDescent="0.25"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2:22" ht="15.75" customHeight="1" x14ac:dyDescent="0.25"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2:22" ht="15.75" customHeight="1" x14ac:dyDescent="0.25"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2:22" ht="15.75" customHeight="1" x14ac:dyDescent="0.25"/>
    <row r="243" spans="2:22" ht="15.75" customHeight="1" x14ac:dyDescent="0.25"/>
    <row r="244" spans="2:22" ht="15.75" customHeight="1" x14ac:dyDescent="0.25"/>
    <row r="245" spans="2:22" ht="15.75" customHeight="1" x14ac:dyDescent="0.25"/>
    <row r="246" spans="2:22" ht="15.75" customHeight="1" x14ac:dyDescent="0.25"/>
    <row r="247" spans="2:22" ht="15.75" customHeight="1" x14ac:dyDescent="0.25"/>
    <row r="248" spans="2:22" ht="15.75" customHeight="1" x14ac:dyDescent="0.25"/>
    <row r="249" spans="2:22" ht="15.75" customHeight="1" x14ac:dyDescent="0.25"/>
    <row r="250" spans="2:22" ht="15.75" customHeight="1" x14ac:dyDescent="0.25"/>
    <row r="251" spans="2:22" ht="15.75" customHeight="1" x14ac:dyDescent="0.25"/>
    <row r="252" spans="2:22" ht="15.75" customHeight="1" x14ac:dyDescent="0.25"/>
    <row r="253" spans="2:22" ht="15.75" customHeight="1" x14ac:dyDescent="0.25"/>
    <row r="254" spans="2:22" ht="15.75" customHeight="1" x14ac:dyDescent="0.25"/>
    <row r="255" spans="2:22" ht="15.75" customHeight="1" x14ac:dyDescent="0.25"/>
    <row r="256" spans="2:22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G7:J7"/>
    <mergeCell ref="K7:N7"/>
    <mergeCell ref="O7:R7"/>
    <mergeCell ref="S7:V7"/>
    <mergeCell ref="C14:F14"/>
    <mergeCell ref="C21:F21"/>
    <mergeCell ref="C28:F28"/>
    <mergeCell ref="C35:F35"/>
    <mergeCell ref="B4:F4"/>
    <mergeCell ref="C5:F5"/>
    <mergeCell ref="C7:F7"/>
  </mergeCells>
  <conditionalFormatting sqref="C16:F20">
    <cfRule type="colorScale" priority="5">
      <colorScale>
        <cfvo type="percent" val="0"/>
        <cfvo type="percentile" val="50"/>
        <cfvo type="percent" val="100"/>
        <color theme="0"/>
        <color rgb="FFFFEB84"/>
        <color theme="5"/>
      </colorScale>
    </cfRule>
    <cfRule type="colorScale" priority="6">
      <colorScale>
        <cfvo type="percent" val="0"/>
        <cfvo type="percentile" val="50"/>
        <cfvo type="percent" val="100"/>
        <color theme="0"/>
        <color rgb="FFFFEB84"/>
        <color rgb="FFFF0000"/>
      </colorScale>
    </cfRule>
    <cfRule type="colorScale" priority="7">
      <colorScale>
        <cfvo type="min"/>
        <cfvo type="percentile" val="50"/>
        <cfvo type="max"/>
        <color theme="0"/>
        <color rgb="FFFFEB84"/>
        <color rgb="FFC00000"/>
      </colorScale>
    </cfRule>
    <cfRule type="colorScale" priority="8">
      <colorScale>
        <cfvo type="min"/>
        <cfvo type="max"/>
        <color rgb="FFFFFFFF"/>
        <color rgb="FFE67C73"/>
      </colorScale>
    </cfRule>
  </conditionalFormatting>
  <conditionalFormatting sqref="C23:F27">
    <cfRule type="colorScale" priority="9">
      <colorScale>
        <cfvo type="percent" val="0"/>
        <cfvo type="percentile" val="50"/>
        <cfvo type="percent" val="100"/>
        <color theme="0"/>
        <color rgb="FFFFEB84"/>
        <color theme="5"/>
      </colorScale>
    </cfRule>
    <cfRule type="colorScale" priority="10">
      <colorScale>
        <cfvo type="percent" val="0"/>
        <cfvo type="percentile" val="50"/>
        <cfvo type="percent" val="100"/>
        <color theme="0"/>
        <color rgb="FFFFEB84"/>
        <color rgb="FFFF0000"/>
      </colorScale>
    </cfRule>
    <cfRule type="colorScale" priority="11">
      <colorScale>
        <cfvo type="min"/>
        <cfvo type="percentile" val="50"/>
        <cfvo type="max"/>
        <color theme="0"/>
        <color rgb="FFFFEB84"/>
        <color rgb="FFC00000"/>
      </colorScale>
    </cfRule>
    <cfRule type="colorScale" priority="12">
      <colorScale>
        <cfvo type="min"/>
        <cfvo type="max"/>
        <color rgb="FFFFFFFF"/>
        <color rgb="FFE67C73"/>
      </colorScale>
    </cfRule>
  </conditionalFormatting>
  <conditionalFormatting sqref="C30:F34">
    <cfRule type="colorScale" priority="13">
      <colorScale>
        <cfvo type="percent" val="0"/>
        <cfvo type="percentile" val="50"/>
        <cfvo type="percent" val="100"/>
        <color theme="0"/>
        <color rgb="FFFFEB84"/>
        <color theme="5"/>
      </colorScale>
    </cfRule>
    <cfRule type="colorScale" priority="14">
      <colorScale>
        <cfvo type="percent" val="0"/>
        <cfvo type="percentile" val="50"/>
        <cfvo type="percent" val="100"/>
        <color theme="0"/>
        <color rgb="FFFFEB84"/>
        <color rgb="FFFF0000"/>
      </colorScale>
    </cfRule>
    <cfRule type="colorScale" priority="15">
      <colorScale>
        <cfvo type="min"/>
        <cfvo type="percentile" val="50"/>
        <cfvo type="max"/>
        <color theme="0"/>
        <color rgb="FFFFEB84"/>
        <color rgb="FFC00000"/>
      </colorScale>
    </cfRule>
    <cfRule type="colorScale" priority="16">
      <colorScale>
        <cfvo type="min"/>
        <cfvo type="max"/>
        <color rgb="FFFFFFFF"/>
        <color rgb="FFE67C73"/>
      </colorScale>
    </cfRule>
  </conditionalFormatting>
  <conditionalFormatting sqref="C37:F41">
    <cfRule type="colorScale" priority="17">
      <colorScale>
        <cfvo type="percent" val="0"/>
        <cfvo type="percentile" val="50"/>
        <cfvo type="percent" val="100"/>
        <color theme="0"/>
        <color rgb="FFFFEB84"/>
        <color theme="5"/>
      </colorScale>
    </cfRule>
    <cfRule type="colorScale" priority="18">
      <colorScale>
        <cfvo type="percent" val="0"/>
        <cfvo type="percentile" val="50"/>
        <cfvo type="percent" val="100"/>
        <color theme="0"/>
        <color rgb="FFFFEB84"/>
        <color rgb="FFFF0000"/>
      </colorScale>
    </cfRule>
    <cfRule type="colorScale" priority="19">
      <colorScale>
        <cfvo type="min"/>
        <cfvo type="percentile" val="50"/>
        <cfvo type="max"/>
        <color theme="0"/>
        <color rgb="FFFFEB84"/>
        <color rgb="FFC00000"/>
      </colorScale>
    </cfRule>
    <cfRule type="colorScale" priority="20">
      <colorScale>
        <cfvo type="min"/>
        <cfvo type="max"/>
        <color rgb="FFFFFFFF"/>
        <color rgb="FFE67C73"/>
      </colorScale>
    </cfRule>
  </conditionalFormatting>
  <conditionalFormatting sqref="C9:V13">
    <cfRule type="colorScale" priority="1">
      <colorScale>
        <cfvo type="percent" val="0"/>
        <cfvo type="percentile" val="50"/>
        <cfvo type="percent" val="100"/>
        <color theme="0"/>
        <color rgb="FFFFEB84"/>
        <color theme="5"/>
      </colorScale>
    </cfRule>
    <cfRule type="colorScale" priority="2">
      <colorScale>
        <cfvo type="percent" val="0"/>
        <cfvo type="percentile" val="50"/>
        <cfvo type="percent" val="100"/>
        <color theme="0"/>
        <color rgb="FFFFEB84"/>
        <color rgb="FFFF0000"/>
      </colorScale>
    </cfRule>
    <cfRule type="colorScale" priority="3">
      <colorScale>
        <cfvo type="min"/>
        <cfvo type="percentile" val="50"/>
        <cfvo type="max"/>
        <color theme="0"/>
        <color rgb="FFFFEB84"/>
        <color rgb="FFC00000"/>
      </colorScale>
    </cfRule>
    <cfRule type="colorScale" priority="4">
      <colorScale>
        <cfvo type="min"/>
        <cfvo type="max"/>
        <color rgb="FFFFFFFF"/>
        <color rgb="FFE67C73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1000"/>
  <sheetViews>
    <sheetView showGridLines="0" workbookViewId="0">
      <selection activeCell="K9" sqref="K9"/>
    </sheetView>
  </sheetViews>
  <sheetFormatPr defaultColWidth="12.6640625" defaultRowHeight="15" customHeight="1" x14ac:dyDescent="0.25"/>
  <cols>
    <col min="1" max="1" width="4.6640625" customWidth="1"/>
    <col min="2" max="2" width="26.6640625" customWidth="1"/>
    <col min="3" max="24" width="8.33203125" customWidth="1"/>
  </cols>
  <sheetData>
    <row r="1" spans="1:26" ht="15.75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5.75" customHeight="1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ht="15.75" customHeight="1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6" ht="52.5" customHeight="1" x14ac:dyDescent="0.25">
      <c r="A4" s="1"/>
      <c r="B4" s="59" t="s">
        <v>0</v>
      </c>
      <c r="C4" s="47"/>
      <c r="D4" s="47"/>
      <c r="E4" s="47"/>
      <c r="F4" s="47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6" ht="33" customHeight="1" thickBot="1" x14ac:dyDescent="0.3">
      <c r="A5" s="1"/>
      <c r="C5" s="48"/>
      <c r="D5" s="47"/>
      <c r="E5" s="47"/>
      <c r="F5" s="47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</row>
    <row r="6" spans="1:26" ht="15.75" customHeight="1" thickBot="1" x14ac:dyDescent="0.3">
      <c r="A6" s="4"/>
      <c r="B6" s="4"/>
      <c r="C6" s="60" t="s">
        <v>9</v>
      </c>
      <c r="D6" s="5" t="s">
        <v>10</v>
      </c>
      <c r="E6" s="34" t="s">
        <v>11</v>
      </c>
      <c r="F6" s="6" t="s">
        <v>12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4"/>
      <c r="Z6" s="4"/>
    </row>
    <row r="7" spans="1:26" ht="15.75" customHeight="1" thickBot="1" x14ac:dyDescent="0.3">
      <c r="A7" s="7"/>
      <c r="B7" s="7"/>
      <c r="C7" s="55" t="s">
        <v>2</v>
      </c>
      <c r="D7" s="50"/>
      <c r="E7" s="50"/>
      <c r="F7" s="50"/>
      <c r="G7" s="58"/>
      <c r="H7" s="47"/>
      <c r="I7" s="47"/>
      <c r="J7" s="47"/>
      <c r="K7" s="47"/>
      <c r="L7" s="47"/>
      <c r="M7" s="58"/>
      <c r="N7" s="47"/>
      <c r="O7" s="47"/>
      <c r="P7" s="47"/>
      <c r="Q7" s="47"/>
      <c r="R7" s="47"/>
      <c r="S7" s="58"/>
      <c r="T7" s="47"/>
      <c r="U7" s="47"/>
      <c r="V7" s="47"/>
      <c r="W7" s="47"/>
      <c r="X7" s="47"/>
      <c r="Y7" s="7"/>
      <c r="Z7" s="7"/>
    </row>
    <row r="8" spans="1:26" ht="15.75" customHeight="1" thickBot="1" x14ac:dyDescent="0.3">
      <c r="A8" s="1"/>
      <c r="B8" s="41" t="s">
        <v>7</v>
      </c>
      <c r="C8" s="10">
        <v>9010</v>
      </c>
      <c r="D8" s="11">
        <v>1893</v>
      </c>
      <c r="E8" s="11">
        <v>378</v>
      </c>
      <c r="F8" s="11">
        <v>711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6" ht="15.75" customHeight="1" x14ac:dyDescent="0.25">
      <c r="A9" s="1"/>
      <c r="B9" s="36" t="s">
        <v>2</v>
      </c>
      <c r="C9" s="14">
        <f>9010/C8</f>
        <v>1</v>
      </c>
      <c r="D9" s="15">
        <f>1893/D8</f>
        <v>1</v>
      </c>
      <c r="E9" s="15">
        <f>378/E8</f>
        <v>1</v>
      </c>
      <c r="F9" s="15">
        <f>711/F8</f>
        <v>1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</row>
    <row r="10" spans="1:26" ht="15.75" customHeight="1" x14ac:dyDescent="0.25">
      <c r="A10" s="1"/>
      <c r="B10" s="38" t="s">
        <v>4</v>
      </c>
      <c r="C10" s="18">
        <f>298/C8</f>
        <v>3.307436182019978E-2</v>
      </c>
      <c r="D10" s="19">
        <f>96/1893</f>
        <v>5.0713153724247229E-2</v>
      </c>
      <c r="E10" s="19">
        <f>0/E8</f>
        <v>0</v>
      </c>
      <c r="F10" s="19">
        <f>9/F8</f>
        <v>1.2658227848101266E-2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26" ht="15.75" customHeight="1" x14ac:dyDescent="0.25">
      <c r="A11" s="1"/>
      <c r="B11" s="38" t="s">
        <v>5</v>
      </c>
      <c r="C11" s="18">
        <f>47/C8</f>
        <v>5.2164261931187568E-3</v>
      </c>
      <c r="D11" s="19">
        <f>334/1893</f>
        <v>0.17643951399894348</v>
      </c>
      <c r="E11" s="19">
        <f>55/E8</f>
        <v>0.14550264550264549</v>
      </c>
      <c r="F11" s="19">
        <f>37/F8</f>
        <v>5.2039381153305204E-2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6" ht="15.75" customHeight="1" thickBot="1" x14ac:dyDescent="0.3">
      <c r="A12" s="1"/>
      <c r="B12" s="39" t="s">
        <v>6</v>
      </c>
      <c r="C12" s="22">
        <f>1/C8</f>
        <v>1.1098779134295228E-4</v>
      </c>
      <c r="D12" s="23">
        <f>14/1893</f>
        <v>7.3956682514527208E-3</v>
      </c>
      <c r="E12" s="23">
        <f t="shared" ref="E12:F12" si="0">0/E8</f>
        <v>0</v>
      </c>
      <c r="F12" s="23">
        <f t="shared" si="0"/>
        <v>0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26" ht="15.75" customHeight="1" thickBot="1" x14ac:dyDescent="0.3">
      <c r="A13" s="1"/>
      <c r="B13" s="1"/>
      <c r="C13" s="52" t="s">
        <v>4</v>
      </c>
      <c r="D13" s="53"/>
      <c r="E13" s="53"/>
      <c r="F13" s="5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6" ht="15.75" customHeight="1" thickBot="1" x14ac:dyDescent="0.3">
      <c r="A14" s="1"/>
      <c r="B14" s="41" t="s">
        <v>7</v>
      </c>
      <c r="C14" s="42">
        <v>451</v>
      </c>
      <c r="D14" s="11">
        <v>216</v>
      </c>
      <c r="E14" s="11">
        <v>31</v>
      </c>
      <c r="F14" s="11">
        <v>106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6" ht="15.75" customHeight="1" x14ac:dyDescent="0.25">
      <c r="A15" s="1"/>
      <c r="B15" s="36" t="s">
        <v>2</v>
      </c>
      <c r="C15" s="14">
        <f>298/C14</f>
        <v>0.6607538802660754</v>
      </c>
      <c r="D15" s="15">
        <f>96/D14</f>
        <v>0.44444444444444442</v>
      </c>
      <c r="E15" s="15">
        <f>0/E14</f>
        <v>0</v>
      </c>
      <c r="F15" s="26">
        <f>9/F14</f>
        <v>8.4905660377358486E-2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6" ht="15.75" customHeight="1" x14ac:dyDescent="0.25">
      <c r="A16" s="1"/>
      <c r="B16" s="38" t="s">
        <v>4</v>
      </c>
      <c r="C16" s="18">
        <f>451/C14</f>
        <v>1</v>
      </c>
      <c r="D16" s="19">
        <f>216/D14</f>
        <v>1</v>
      </c>
      <c r="E16" s="19">
        <f>31/E14</f>
        <v>1</v>
      </c>
      <c r="F16" s="28">
        <f>106/F14</f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 x14ac:dyDescent="0.25">
      <c r="A17" s="1"/>
      <c r="B17" s="38" t="s">
        <v>5</v>
      </c>
      <c r="C17" s="18">
        <f>20/C14</f>
        <v>4.4345898004434593E-2</v>
      </c>
      <c r="D17" s="19">
        <f>24/D14</f>
        <v>0.1111111111111111</v>
      </c>
      <c r="E17" s="19">
        <f>5/E14</f>
        <v>0.16129032258064516</v>
      </c>
      <c r="F17" s="28">
        <f>7/F14</f>
        <v>6.6037735849056603E-2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 thickBot="1" x14ac:dyDescent="0.3">
      <c r="A18" s="1"/>
      <c r="B18" s="39" t="s">
        <v>6</v>
      </c>
      <c r="C18" s="22">
        <f>4/C14</f>
        <v>8.869179600886918E-3</v>
      </c>
      <c r="D18" s="23">
        <f>3/D14</f>
        <v>1.3888888888888888E-2</v>
      </c>
      <c r="E18" s="23">
        <f>7/E14</f>
        <v>0.22580645161290322</v>
      </c>
      <c r="F18" s="30">
        <f>5/F14</f>
        <v>4.716981132075472E-2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thickBot="1" x14ac:dyDescent="0.3">
      <c r="A19" s="1"/>
      <c r="B19" s="1"/>
      <c r="C19" s="55" t="s">
        <v>5</v>
      </c>
      <c r="D19" s="50"/>
      <c r="E19" s="50"/>
      <c r="F19" s="50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thickBot="1" x14ac:dyDescent="0.3">
      <c r="A20" s="1"/>
      <c r="B20" s="41" t="s">
        <v>7</v>
      </c>
      <c r="C20" s="42">
        <v>2660</v>
      </c>
      <c r="D20" s="11">
        <v>4281</v>
      </c>
      <c r="E20" s="11">
        <v>3746</v>
      </c>
      <c r="F20" s="11">
        <v>2393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1"/>
      <c r="B21" s="36" t="s">
        <v>2</v>
      </c>
      <c r="C21" s="14">
        <f>47/C20</f>
        <v>1.7669172932330827E-2</v>
      </c>
      <c r="D21" s="15">
        <f>334/D20</f>
        <v>7.8019154403176832E-2</v>
      </c>
      <c r="E21" s="15">
        <f>55/E20</f>
        <v>1.4682327816337427E-2</v>
      </c>
      <c r="F21" s="26">
        <f>37/F20</f>
        <v>1.5461763476807356E-2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1"/>
      <c r="B22" s="38" t="s">
        <v>4</v>
      </c>
      <c r="C22" s="18">
        <f>20/C20</f>
        <v>7.5187969924812026E-3</v>
      </c>
      <c r="D22" s="19">
        <f>24/D20</f>
        <v>5.6061667834618077E-3</v>
      </c>
      <c r="E22" s="19">
        <f>5/E20</f>
        <v>1.3347570742124934E-3</v>
      </c>
      <c r="F22" s="28">
        <f>7/F20</f>
        <v>2.9251984956122023E-3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1"/>
      <c r="B23" s="38" t="s">
        <v>5</v>
      </c>
      <c r="C23" s="18">
        <f>2660/C20</f>
        <v>1</v>
      </c>
      <c r="D23" s="19">
        <f>4281/D20</f>
        <v>1</v>
      </c>
      <c r="E23" s="19">
        <f>3746/E20</f>
        <v>1</v>
      </c>
      <c r="F23" s="28">
        <f>2393/F20</f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thickBot="1" x14ac:dyDescent="0.3">
      <c r="A24" s="1"/>
      <c r="B24" s="39" t="s">
        <v>6</v>
      </c>
      <c r="C24" s="43">
        <f>27/C20</f>
        <v>1.0150375939849625E-2</v>
      </c>
      <c r="D24" s="44">
        <f>354/D20</f>
        <v>8.2690960056061663E-2</v>
      </c>
      <c r="E24" s="44">
        <f>126/E20</f>
        <v>3.363587827015483E-2</v>
      </c>
      <c r="F24" s="45">
        <f>4/F20</f>
        <v>1.6715419974926871E-3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thickBot="1" x14ac:dyDescent="0.3">
      <c r="A25" s="1"/>
      <c r="B25" s="1"/>
      <c r="C25" s="55" t="s">
        <v>6</v>
      </c>
      <c r="D25" s="50"/>
      <c r="E25" s="50"/>
      <c r="F25" s="50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thickBot="1" x14ac:dyDescent="0.3">
      <c r="A26" s="1"/>
      <c r="B26" s="41" t="s">
        <v>7</v>
      </c>
      <c r="C26" s="10">
        <v>1191</v>
      </c>
      <c r="D26" s="11">
        <v>1490</v>
      </c>
      <c r="E26" s="11">
        <v>1243</v>
      </c>
      <c r="F26" s="11">
        <v>847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1"/>
      <c r="B27" s="36" t="s">
        <v>2</v>
      </c>
      <c r="C27" s="14">
        <f>1/C26</f>
        <v>8.3963056255247689E-4</v>
      </c>
      <c r="D27" s="15">
        <f>14/D26</f>
        <v>9.3959731543624154E-3</v>
      </c>
      <c r="E27" s="15">
        <f t="shared" ref="E27:F27" si="1">0/E26</f>
        <v>0</v>
      </c>
      <c r="F27" s="26">
        <f t="shared" si="1"/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1"/>
      <c r="B28" s="38" t="s">
        <v>4</v>
      </c>
      <c r="C28" s="18">
        <f>4/C26</f>
        <v>3.3585222502099076E-3</v>
      </c>
      <c r="D28" s="19">
        <f>3/D26</f>
        <v>2.0134228187919465E-3</v>
      </c>
      <c r="E28" s="19">
        <f>7/E26</f>
        <v>5.6315366049879325E-3</v>
      </c>
      <c r="F28" s="28">
        <f>5/F26</f>
        <v>5.9031877213695395E-3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1"/>
      <c r="B29" s="38" t="s">
        <v>5</v>
      </c>
      <c r="C29" s="18">
        <f>27/C26</f>
        <v>2.2670025188916875E-2</v>
      </c>
      <c r="D29" s="19">
        <f>354/D26</f>
        <v>0.23758389261744967</v>
      </c>
      <c r="E29" s="19">
        <f>126/E26</f>
        <v>0.10136765888978279</v>
      </c>
      <c r="F29" s="28">
        <f>4/F26</f>
        <v>4.7225501770956314E-3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thickBot="1" x14ac:dyDescent="0.3">
      <c r="A30" s="1"/>
      <c r="B30" s="39" t="s">
        <v>6</v>
      </c>
      <c r="C30" s="22">
        <f>1191/C26</f>
        <v>1</v>
      </c>
      <c r="D30" s="23">
        <f>1490/D26</f>
        <v>1</v>
      </c>
      <c r="E30" s="23">
        <f>1243/E26</f>
        <v>1</v>
      </c>
      <c r="F30" s="30">
        <f>847/F26</f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/>
    <row r="232" spans="1:24" ht="15.75" customHeight="1" x14ac:dyDescent="0.25"/>
    <row r="233" spans="1:24" ht="15.75" customHeight="1" x14ac:dyDescent="0.25"/>
    <row r="234" spans="1:24" ht="15.75" customHeight="1" x14ac:dyDescent="0.25"/>
    <row r="235" spans="1:24" ht="15.75" customHeight="1" x14ac:dyDescent="0.25"/>
    <row r="236" spans="1:24" ht="15.75" customHeight="1" x14ac:dyDescent="0.25"/>
    <row r="237" spans="1:24" ht="15.75" customHeight="1" x14ac:dyDescent="0.25"/>
    <row r="238" spans="1:24" ht="15.75" customHeight="1" x14ac:dyDescent="0.25"/>
    <row r="239" spans="1:24" ht="15.75" customHeight="1" x14ac:dyDescent="0.25"/>
    <row r="240" spans="1:24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G7:L7"/>
    <mergeCell ref="M7:R7"/>
    <mergeCell ref="S7:X7"/>
    <mergeCell ref="C13:F13"/>
    <mergeCell ref="C19:F19"/>
    <mergeCell ref="C25:F25"/>
    <mergeCell ref="B4:F4"/>
    <mergeCell ref="C5:F5"/>
    <mergeCell ref="C7:F7"/>
  </mergeCells>
  <conditionalFormatting sqref="C15:F18">
    <cfRule type="colorScale" priority="51">
      <colorScale>
        <cfvo type="min"/>
        <cfvo type="percentile" val="50"/>
        <cfvo type="max"/>
        <color theme="0"/>
        <color rgb="FFFFEB84"/>
        <color theme="5"/>
      </colorScale>
    </cfRule>
    <cfRule type="colorScale" priority="52">
      <colorScale>
        <cfvo type="min"/>
        <cfvo type="max"/>
        <color rgb="FFFFFFFF"/>
        <color rgb="FFE67C73"/>
      </colorScale>
    </cfRule>
  </conditionalFormatting>
  <conditionalFormatting sqref="C21:F24">
    <cfRule type="colorScale" priority="53">
      <colorScale>
        <cfvo type="min"/>
        <cfvo type="percentile" val="50"/>
        <cfvo type="max"/>
        <color theme="0"/>
        <color rgb="FFFFEB84"/>
        <color theme="5"/>
      </colorScale>
    </cfRule>
    <cfRule type="colorScale" priority="54">
      <colorScale>
        <cfvo type="min"/>
        <cfvo type="max"/>
        <color rgb="FFFFFFFF"/>
        <color rgb="FFE67C73"/>
      </colorScale>
    </cfRule>
  </conditionalFormatting>
  <conditionalFormatting sqref="C27:F30">
    <cfRule type="colorScale" priority="55">
      <colorScale>
        <cfvo type="min"/>
        <cfvo type="percentile" val="50"/>
        <cfvo type="max"/>
        <color theme="0"/>
        <color rgb="FFFFEB84"/>
        <color theme="5"/>
      </colorScale>
    </cfRule>
    <cfRule type="colorScale" priority="56">
      <colorScale>
        <cfvo type="min"/>
        <cfvo type="max"/>
        <color rgb="FFFFFFFF"/>
        <color rgb="FFE67C73"/>
      </colorScale>
    </cfRule>
  </conditionalFormatting>
  <conditionalFormatting sqref="C9:X12">
    <cfRule type="colorScale" priority="57">
      <colorScale>
        <cfvo type="min"/>
        <cfvo type="percentile" val="50"/>
        <cfvo type="max"/>
        <color theme="0"/>
        <color rgb="FFFFEB84"/>
        <color theme="5"/>
      </colorScale>
    </cfRule>
    <cfRule type="colorScale" priority="58">
      <colorScale>
        <cfvo type="min"/>
        <cfvo type="max"/>
        <color rgb="FFFFFFFF"/>
        <color rgb="FFE67C73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Mice Only</vt:lpstr>
      <vt:lpstr>All Samples</vt:lpstr>
      <vt:lpstr>Mice Only - v2</vt:lpstr>
      <vt:lpstr>All Samples - 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Favazza, Nicholas</cp:lastModifiedBy>
  <dcterms:created xsi:type="dcterms:W3CDTF">2026-02-27T21:29:53Z</dcterms:created>
  <dcterms:modified xsi:type="dcterms:W3CDTF">2026-02-27T21:29:54Z</dcterms:modified>
</cp:coreProperties>
</file>