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showInkAnnotation="0" updateLinks="always"/>
  <mc:AlternateContent xmlns:mc="http://schemas.openxmlformats.org/markup-compatibility/2006">
    <mc:Choice Requires="x15">
      <x15ac:absPath xmlns:x15ac="http://schemas.microsoft.com/office/spreadsheetml/2010/11/ac" url="https://livejohnshopkins.sharepoint.com/sites/JHUVectorSurveillance/Shared Documents/Lab Meeting/Vectorcam_Manuscripts/Cost-unit_Analysis/"/>
    </mc:Choice>
  </mc:AlternateContent>
  <xr:revisionPtr revIDLastSave="2823" documentId="8_{5CEB3B22-8ADB-4216-BAFF-00C85214DC91}" xr6:coauthVersionLast="47" xr6:coauthVersionMax="47" xr10:uidLastSave="{60F8855D-D7BE-4FAC-A8E2-F3BD782551BC}"/>
  <bookViews>
    <workbookView xWindow="-98" yWindow="-98" windowWidth="22276" windowHeight="13276" firstSheet="3" activeTab="8" xr2:uid="{442136C1-2F58-490C-99CD-D6A574E68B32}"/>
  </bookViews>
  <sheets>
    <sheet name="Description of Model" sheetId="15" r:id="rId1"/>
    <sheet name="Comparative Analysis" sheetId="16" r:id="rId2"/>
    <sheet name="Manuscript tables" sheetId="17" r:id="rId3"/>
    <sheet name="Bar chart" sheetId="22" r:id="rId4"/>
    <sheet name="Sensitivity analysis CDC light " sheetId="23" r:id="rId5"/>
    <sheet name="Personnel &amp; Transport" sheetId="3" r:id="rId6"/>
    <sheet name="VectorCam Cost-Depreciation" sheetId="10" r:id="rId7"/>
    <sheet name="Supplies" sheetId="12" r:id="rId8"/>
    <sheet name="VectorCam Service Fee&amp;Cloud" sheetId="18" r:id="rId9"/>
    <sheet name="Routine Uganda Surveillance" sheetId="4" r:id="rId10"/>
    <sheet name="Model 1" sheetId="13" r:id="rId11"/>
    <sheet name="Model 2" sheetId="5" r:id="rId12"/>
    <sheet name="Model 3" sheetId="6" r:id="rId13"/>
    <sheet name="Uganda Surveillance Budget" sheetId="8" r:id="rId14"/>
    <sheet name="Motorola 2021 invoice" sheetId="21" r:id="rId15"/>
    <sheet name="OLD_AWS Estimate" sheetId="19" r:id="rId16"/>
  </sheets>
  <externalReferences>
    <externalReference r:id="rId17"/>
  </externalReferences>
  <definedNames>
    <definedName name="_xlnm._FilterDatabase" localSheetId="14" hidden="1">'Motorola 2021 invoice'!$A$1:$M$1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3" i="17" l="1"/>
  <c r="B172" i="17"/>
  <c r="C173" i="17"/>
  <c r="C172" i="17"/>
  <c r="D95" i="17"/>
  <c r="E95" i="17" s="1"/>
  <c r="C95" i="17"/>
  <c r="D160" i="17"/>
  <c r="D159" i="17"/>
  <c r="D158" i="17"/>
  <c r="C170" i="17" s="1"/>
  <c r="D157" i="17"/>
  <c r="C169" i="17" s="1"/>
  <c r="D156" i="17"/>
  <c r="C168" i="17" s="1"/>
  <c r="D155" i="17"/>
  <c r="C167" i="17" s="1"/>
  <c r="D154" i="17"/>
  <c r="C166" i="17" s="1"/>
  <c r="D153" i="17"/>
  <c r="C171" i="17" s="1"/>
  <c r="B95" i="17" s="1"/>
  <c r="D145" i="17"/>
  <c r="D141" i="17"/>
  <c r="F68" i="23"/>
  <c r="E75" i="23"/>
  <c r="F75" i="23"/>
  <c r="E68" i="23"/>
  <c r="E69" i="23" s="1"/>
  <c r="E64" i="23"/>
  <c r="F63" i="23"/>
  <c r="I63" i="23" s="1"/>
  <c r="I62" i="23"/>
  <c r="F62" i="23"/>
  <c r="G62" i="23" s="1"/>
  <c r="J62" i="23" s="1"/>
  <c r="F61" i="23"/>
  <c r="I61" i="23" s="1"/>
  <c r="F60" i="23"/>
  <c r="I60" i="23" s="1"/>
  <c r="F59" i="23"/>
  <c r="G59" i="23" s="1"/>
  <c r="J59" i="23" s="1"/>
  <c r="D58" i="23"/>
  <c r="F58" i="23" s="1"/>
  <c r="E54" i="23"/>
  <c r="F53" i="23"/>
  <c r="I53" i="23" s="1"/>
  <c r="F52" i="23"/>
  <c r="G52" i="23" s="1"/>
  <c r="J52" i="23" s="1"/>
  <c r="J51" i="23"/>
  <c r="I51" i="23"/>
  <c r="G51" i="23"/>
  <c r="F51" i="23"/>
  <c r="F50" i="23"/>
  <c r="I50" i="23" s="1"/>
  <c r="F49" i="23"/>
  <c r="G49" i="23" s="1"/>
  <c r="J49" i="23" s="1"/>
  <c r="J48" i="23"/>
  <c r="I48" i="23"/>
  <c r="G48" i="23"/>
  <c r="F48" i="23"/>
  <c r="F47" i="23"/>
  <c r="I47" i="23" s="1"/>
  <c r="F46" i="23"/>
  <c r="I46" i="23" s="1"/>
  <c r="J45" i="23"/>
  <c r="I45" i="23"/>
  <c r="G45" i="23"/>
  <c r="F45" i="23"/>
  <c r="E42" i="23"/>
  <c r="F41" i="23"/>
  <c r="G41" i="23" s="1"/>
  <c r="J41" i="23" s="1"/>
  <c r="D40" i="23"/>
  <c r="F40" i="23" s="1"/>
  <c r="F39" i="23"/>
  <c r="I38" i="23"/>
  <c r="G38" i="23"/>
  <c r="F38" i="23"/>
  <c r="B28" i="23"/>
  <c r="B27" i="23"/>
  <c r="B26" i="23"/>
  <c r="H21" i="23"/>
  <c r="J19" i="23"/>
  <c r="I19" i="23"/>
  <c r="G19" i="23"/>
  <c r="F19" i="23"/>
  <c r="E19" i="23"/>
  <c r="J18" i="23"/>
  <c r="I18" i="23"/>
  <c r="G18" i="23"/>
  <c r="E18" i="23"/>
  <c r="F18" i="23" s="1"/>
  <c r="F17" i="23"/>
  <c r="F20" i="23" s="1"/>
  <c r="J16" i="23"/>
  <c r="G16" i="23"/>
  <c r="F16" i="23"/>
  <c r="I16" i="23" s="1"/>
  <c r="E16" i="23"/>
  <c r="G15" i="23"/>
  <c r="J15" i="23" s="1"/>
  <c r="F15" i="23"/>
  <c r="I15" i="23" s="1"/>
  <c r="E15" i="23"/>
  <c r="J14" i="23"/>
  <c r="I14" i="23"/>
  <c r="G14" i="23"/>
  <c r="F14" i="23"/>
  <c r="E14" i="23"/>
  <c r="G13" i="23"/>
  <c r="J13" i="23" s="1"/>
  <c r="F13" i="23"/>
  <c r="I13" i="23" s="1"/>
  <c r="H9" i="23"/>
  <c r="G7" i="23"/>
  <c r="J7" i="23" s="1"/>
  <c r="F7" i="23"/>
  <c r="I7" i="23" s="1"/>
  <c r="E7" i="23"/>
  <c r="G6" i="23"/>
  <c r="F6" i="23" s="1"/>
  <c r="I6" i="23" s="1"/>
  <c r="F5" i="23"/>
  <c r="F8" i="23" s="1"/>
  <c r="D68" i="12"/>
  <c r="J20" i="12"/>
  <c r="G16" i="12"/>
  <c r="G15" i="12"/>
  <c r="G14" i="12"/>
  <c r="G13" i="12"/>
  <c r="G58" i="12"/>
  <c r="G75" i="12"/>
  <c r="G53" i="12"/>
  <c r="G52" i="12"/>
  <c r="G51" i="12"/>
  <c r="G50" i="12"/>
  <c r="G49" i="12"/>
  <c r="G48" i="12"/>
  <c r="G47" i="12"/>
  <c r="G46" i="12"/>
  <c r="G45" i="12"/>
  <c r="F45" i="12"/>
  <c r="E14" i="12"/>
  <c r="F81" i="17"/>
  <c r="F83" i="17"/>
  <c r="D60" i="17"/>
  <c r="C71" i="17" s="1"/>
  <c r="D71" i="17" s="1"/>
  <c r="E71" i="17" s="1"/>
  <c r="F71" i="17" s="1"/>
  <c r="D63" i="17"/>
  <c r="E79" i="17" s="1"/>
  <c r="F79" i="17" s="1"/>
  <c r="D61" i="17"/>
  <c r="D79" i="17"/>
  <c r="E7" i="22"/>
  <c r="E6" i="22"/>
  <c r="D133" i="17"/>
  <c r="B170" i="17" s="1"/>
  <c r="D131" i="17"/>
  <c r="B168" i="17" s="1"/>
  <c r="D129" i="17"/>
  <c r="B166" i="17" s="1"/>
  <c r="D127" i="17"/>
  <c r="D152" i="17" s="1"/>
  <c r="D126" i="17"/>
  <c r="D151" i="17" s="1"/>
  <c r="D125" i="17"/>
  <c r="D150" i="17" s="1"/>
  <c r="D119" i="17"/>
  <c r="D144" i="17" s="1"/>
  <c r="D117" i="17"/>
  <c r="D142" i="17" s="1"/>
  <c r="B111" i="17"/>
  <c r="H7" i="22"/>
  <c r="H6" i="22"/>
  <c r="G7" i="22"/>
  <c r="G6" i="22"/>
  <c r="F7" i="22"/>
  <c r="F10" i="22"/>
  <c r="F6" i="22"/>
  <c r="B41" i="17"/>
  <c r="C48" i="17" s="1"/>
  <c r="B65" i="17"/>
  <c r="C86" i="17" s="1"/>
  <c r="D86" i="17" s="1"/>
  <c r="F86" i="17" s="1"/>
  <c r="B63" i="17"/>
  <c r="B62" i="17"/>
  <c r="C83" i="17" s="1"/>
  <c r="E83" i="17" s="1"/>
  <c r="B60" i="17"/>
  <c r="C76" i="17"/>
  <c r="D76" i="17" s="1"/>
  <c r="E76" i="17" s="1"/>
  <c r="F76" i="17" s="1"/>
  <c r="I15" i="12"/>
  <c r="E75" i="12"/>
  <c r="F75" i="12" s="1"/>
  <c r="I75" i="12" s="1"/>
  <c r="I76" i="12" s="1"/>
  <c r="I31" i="12" s="1"/>
  <c r="J28" i="12"/>
  <c r="J26" i="12"/>
  <c r="J64" i="12"/>
  <c r="J42" i="12"/>
  <c r="C41" i="17"/>
  <c r="D48" i="17" s="1"/>
  <c r="E41" i="17"/>
  <c r="F48" i="17" s="1"/>
  <c r="D41" i="17"/>
  <c r="E48" i="17" s="1"/>
  <c r="C43" i="17"/>
  <c r="D50" i="17" s="1"/>
  <c r="O4" i="16"/>
  <c r="P4" i="16"/>
  <c r="Q4" i="16"/>
  <c r="N4" i="16"/>
  <c r="K4" i="16"/>
  <c r="L4" i="16"/>
  <c r="M4" i="16"/>
  <c r="J4" i="16"/>
  <c r="F5" i="16"/>
  <c r="G5" i="16"/>
  <c r="H5" i="16"/>
  <c r="I5" i="16"/>
  <c r="G4" i="16"/>
  <c r="H4" i="16"/>
  <c r="I4" i="16"/>
  <c r="F4" i="16"/>
  <c r="C4" i="16"/>
  <c r="D4" i="16"/>
  <c r="E4" i="16"/>
  <c r="K27" i="6"/>
  <c r="J27" i="6"/>
  <c r="I27" i="6"/>
  <c r="H27" i="6"/>
  <c r="K8" i="5"/>
  <c r="J8" i="5"/>
  <c r="I8" i="5"/>
  <c r="H8" i="5"/>
  <c r="J7" i="5"/>
  <c r="I7" i="5"/>
  <c r="H7" i="5"/>
  <c r="J6" i="5"/>
  <c r="I6" i="5"/>
  <c r="H6" i="5"/>
  <c r="K27" i="5"/>
  <c r="J27" i="5"/>
  <c r="I27" i="5"/>
  <c r="H27" i="5"/>
  <c r="D75" i="12"/>
  <c r="I21" i="5"/>
  <c r="H21" i="5" s="1"/>
  <c r="G6" i="12"/>
  <c r="F6" i="12" s="1"/>
  <c r="I19" i="4"/>
  <c r="H19" i="4" s="1"/>
  <c r="G18" i="10"/>
  <c r="H18" i="10"/>
  <c r="I6" i="10"/>
  <c r="H6" i="10"/>
  <c r="J18" i="12"/>
  <c r="I18" i="12"/>
  <c r="E15" i="12"/>
  <c r="D161" i="17" l="1"/>
  <c r="B94" i="17"/>
  <c r="E94" i="17"/>
  <c r="D94" i="17"/>
  <c r="C94" i="17"/>
  <c r="C97" i="17" s="1"/>
  <c r="E102" i="17" s="1"/>
  <c r="C96" i="17"/>
  <c r="E86" i="17"/>
  <c r="I59" i="23"/>
  <c r="I40" i="23"/>
  <c r="G40" i="23"/>
  <c r="J40" i="23" s="1"/>
  <c r="F64" i="23"/>
  <c r="I58" i="23"/>
  <c r="I64" i="23" s="1"/>
  <c r="G58" i="23"/>
  <c r="I75" i="23"/>
  <c r="I76" i="23" s="1"/>
  <c r="I31" i="23" s="1"/>
  <c r="G75" i="23"/>
  <c r="F76" i="23"/>
  <c r="F31" i="23" s="1"/>
  <c r="G68" i="23"/>
  <c r="F69" i="23"/>
  <c r="I68" i="23"/>
  <c r="I69" i="23" s="1"/>
  <c r="F42" i="23"/>
  <c r="F26" i="23" s="1"/>
  <c r="I17" i="23"/>
  <c r="I20" i="23" s="1"/>
  <c r="G46" i="23"/>
  <c r="J46" i="23" s="1"/>
  <c r="J54" i="23" s="1"/>
  <c r="I52" i="23"/>
  <c r="I54" i="23" s="1"/>
  <c r="J6" i="23"/>
  <c r="I41" i="23"/>
  <c r="I49" i="23"/>
  <c r="G63" i="23"/>
  <c r="J63" i="23" s="1"/>
  <c r="I39" i="23"/>
  <c r="I42" i="23" s="1"/>
  <c r="I26" i="23" s="1"/>
  <c r="G47" i="23"/>
  <c r="J47" i="23" s="1"/>
  <c r="G61" i="23"/>
  <c r="J61" i="23" s="1"/>
  <c r="I5" i="23"/>
  <c r="I8" i="23" s="1"/>
  <c r="G17" i="23"/>
  <c r="G53" i="23"/>
  <c r="J53" i="23" s="1"/>
  <c r="G5" i="23"/>
  <c r="F54" i="23"/>
  <c r="J38" i="23"/>
  <c r="G60" i="23"/>
  <c r="J60" i="23" s="1"/>
  <c r="G39" i="23"/>
  <c r="J39" i="23" s="1"/>
  <c r="G50" i="23"/>
  <c r="J50" i="23" s="1"/>
  <c r="G54" i="12"/>
  <c r="G55" i="12" s="1"/>
  <c r="H23" i="4"/>
  <c r="H17" i="13" s="1"/>
  <c r="H18" i="6" s="1"/>
  <c r="H33" i="6" s="1"/>
  <c r="F76" i="12"/>
  <c r="F31" i="12" s="1"/>
  <c r="G7" i="21"/>
  <c r="H6" i="21"/>
  <c r="H5" i="21"/>
  <c r="H4" i="21"/>
  <c r="H3" i="21"/>
  <c r="H2" i="21"/>
  <c r="H7" i="21" s="1"/>
  <c r="G42" i="23" l="1"/>
  <c r="G26" i="23" s="1"/>
  <c r="J55" i="23"/>
  <c r="I27" i="23" s="1"/>
  <c r="J27" i="23"/>
  <c r="J5" i="23"/>
  <c r="J8" i="23" s="1"/>
  <c r="G8" i="23"/>
  <c r="J68" i="23"/>
  <c r="G70" i="23"/>
  <c r="F30" i="23" s="1"/>
  <c r="F32" i="23" s="1"/>
  <c r="G69" i="23"/>
  <c r="G30" i="23" s="1"/>
  <c r="G54" i="23"/>
  <c r="G76" i="23"/>
  <c r="G31" i="23" s="1"/>
  <c r="J75" i="23"/>
  <c r="J76" i="23" s="1"/>
  <c r="J31" i="23" s="1"/>
  <c r="J17" i="23"/>
  <c r="J20" i="23" s="1"/>
  <c r="G20" i="23"/>
  <c r="J42" i="23"/>
  <c r="J26" i="23" s="1"/>
  <c r="G64" i="23"/>
  <c r="J58" i="23"/>
  <c r="J64" i="23" s="1"/>
  <c r="H32" i="13"/>
  <c r="J23" i="4"/>
  <c r="J17" i="13" s="1"/>
  <c r="J18" i="6" s="1"/>
  <c r="J33" i="6" s="1"/>
  <c r="H38" i="4"/>
  <c r="J75" i="12"/>
  <c r="J76" i="12" s="1"/>
  <c r="J31" i="12" s="1"/>
  <c r="G76" i="12"/>
  <c r="G31" i="12" s="1"/>
  <c r="H22" i="10"/>
  <c r="J22" i="10" s="1"/>
  <c r="G18" i="12" s="1"/>
  <c r="G22" i="10"/>
  <c r="I22" i="10" s="1"/>
  <c r="E22" i="10"/>
  <c r="F22" i="10" s="1"/>
  <c r="E18" i="12" s="1"/>
  <c r="F18" i="12" s="1"/>
  <c r="F17" i="10"/>
  <c r="E17" i="10" s="1"/>
  <c r="F34" i="10"/>
  <c r="D8" i="10" s="1"/>
  <c r="E8" i="10" s="1"/>
  <c r="I8" i="10" s="1"/>
  <c r="H8" i="10" s="1"/>
  <c r="E6" i="10"/>
  <c r="E5" i="10"/>
  <c r="E7" i="12" s="1"/>
  <c r="D29" i="18"/>
  <c r="M9" i="18"/>
  <c r="J41" i="18"/>
  <c r="J40" i="18"/>
  <c r="I40" i="18" s="1"/>
  <c r="C77" i="17"/>
  <c r="D77" i="17" s="1"/>
  <c r="E77" i="17" s="1"/>
  <c r="F77" i="17" s="1"/>
  <c r="F5" i="12"/>
  <c r="G5" i="12" s="1"/>
  <c r="J5" i="12" s="1"/>
  <c r="D10" i="18"/>
  <c r="E13" i="18"/>
  <c r="Y25" i="18"/>
  <c r="Y26" i="18" s="1"/>
  <c r="D24" i="18"/>
  <c r="D25" i="18" s="1"/>
  <c r="D27" i="18" s="1"/>
  <c r="J11" i="18"/>
  <c r="J12" i="18"/>
  <c r="J13" i="18"/>
  <c r="E10" i="18"/>
  <c r="D14" i="18"/>
  <c r="E14" i="18" s="1"/>
  <c r="J14" i="18" s="1"/>
  <c r="D4" i="10"/>
  <c r="E68" i="12" s="1"/>
  <c r="F38" i="12"/>
  <c r="G38" i="12" s="1"/>
  <c r="C22" i="17"/>
  <c r="O10" i="8"/>
  <c r="F4" i="19"/>
  <c r="N52" i="18" s="1"/>
  <c r="C29" i="17"/>
  <c r="D28" i="17"/>
  <c r="N53" i="18"/>
  <c r="D26" i="17"/>
  <c r="D32" i="17"/>
  <c r="C32" i="17"/>
  <c r="D31" i="17"/>
  <c r="C31" i="17"/>
  <c r="C28" i="17"/>
  <c r="D29" i="17"/>
  <c r="C26" i="17"/>
  <c r="D22" i="17"/>
  <c r="D23" i="17"/>
  <c r="D24" i="17"/>
  <c r="D21" i="17"/>
  <c r="C23" i="17"/>
  <c r="C24" i="17"/>
  <c r="C21" i="17"/>
  <c r="E52" i="18"/>
  <c r="I52" i="18" s="1"/>
  <c r="E51" i="18"/>
  <c r="I51" i="18" s="1"/>
  <c r="I53" i="18" s="1"/>
  <c r="B26" i="12"/>
  <c r="B27" i="12"/>
  <c r="B28" i="12"/>
  <c r="H9" i="12"/>
  <c r="H21" i="12"/>
  <c r="E16" i="12"/>
  <c r="D7" i="10"/>
  <c r="E20" i="10" s="1"/>
  <c r="F20" i="10" s="1"/>
  <c r="I20" i="13"/>
  <c r="J11" i="13"/>
  <c r="I11" i="13"/>
  <c r="H11" i="13"/>
  <c r="H27" i="13" s="1"/>
  <c r="I21" i="6"/>
  <c r="H21" i="6" s="1"/>
  <c r="G18" i="4"/>
  <c r="K11" i="13"/>
  <c r="K27" i="13" s="1"/>
  <c r="G20" i="4"/>
  <c r="N3" i="6"/>
  <c r="N3" i="5"/>
  <c r="N3" i="13"/>
  <c r="I26" i="4"/>
  <c r="F2" i="8"/>
  <c r="J2" i="8"/>
  <c r="H2" i="8"/>
  <c r="N2" i="8"/>
  <c r="Q1" i="8"/>
  <c r="P2" i="8" s="1"/>
  <c r="P3" i="8" s="1"/>
  <c r="N4" i="4"/>
  <c r="E64" i="12"/>
  <c r="F63" i="12"/>
  <c r="I63" i="12" s="1"/>
  <c r="F62" i="12"/>
  <c r="I62" i="12" s="1"/>
  <c r="F61" i="12"/>
  <c r="I61" i="12" s="1"/>
  <c r="F60" i="12"/>
  <c r="I60" i="12" s="1"/>
  <c r="D59" i="12"/>
  <c r="F59" i="12" s="1"/>
  <c r="I59" i="12" s="1"/>
  <c r="D58" i="12"/>
  <c r="F58" i="12" s="1"/>
  <c r="E54" i="12"/>
  <c r="F53" i="12"/>
  <c r="F52" i="12"/>
  <c r="F51" i="12"/>
  <c r="F50" i="12"/>
  <c r="F49" i="12"/>
  <c r="F48" i="12"/>
  <c r="F47" i="12"/>
  <c r="F46" i="12"/>
  <c r="E42" i="12"/>
  <c r="F41" i="12"/>
  <c r="D40" i="12"/>
  <c r="F40" i="12" s="1"/>
  <c r="F39" i="12"/>
  <c r="F13" i="12"/>
  <c r="F20" i="12" s="1"/>
  <c r="I7" i="10"/>
  <c r="H7" i="10" s="1"/>
  <c r="F7" i="10" s="1"/>
  <c r="H77" i="3"/>
  <c r="H78" i="3" s="1"/>
  <c r="H81" i="3"/>
  <c r="I77" i="3"/>
  <c r="H69" i="3"/>
  <c r="C11" i="3"/>
  <c r="C10" i="3"/>
  <c r="F9" i="4" s="1"/>
  <c r="C9" i="3"/>
  <c r="C8" i="3"/>
  <c r="C7" i="3"/>
  <c r="C5" i="3"/>
  <c r="F14" i="4" s="1"/>
  <c r="H14" i="4" s="1"/>
  <c r="I14" i="4" s="1"/>
  <c r="E62" i="17" s="1"/>
  <c r="C75" i="17" s="1"/>
  <c r="D75" i="17" s="1"/>
  <c r="E75" i="17" s="1"/>
  <c r="F75" i="17" s="1"/>
  <c r="C4" i="3"/>
  <c r="M2" i="8"/>
  <c r="K2" i="8"/>
  <c r="I2" i="8"/>
  <c r="L23" i="8"/>
  <c r="J23" i="8"/>
  <c r="H23" i="8"/>
  <c r="F23" i="8"/>
  <c r="D23" i="8"/>
  <c r="B23" i="8"/>
  <c r="N23" i="8" s="1"/>
  <c r="O23" i="8" s="1"/>
  <c r="L22" i="8"/>
  <c r="J22" i="8"/>
  <c r="H22" i="8"/>
  <c r="F22" i="8"/>
  <c r="D22" i="8"/>
  <c r="B22" i="8"/>
  <c r="N22" i="8" s="1"/>
  <c r="O22" i="8" s="1"/>
  <c r="L21" i="8"/>
  <c r="J21" i="8"/>
  <c r="H21" i="8"/>
  <c r="F21" i="8"/>
  <c r="D21" i="8"/>
  <c r="B21" i="8"/>
  <c r="N21" i="8" s="1"/>
  <c r="O21" i="8" s="1"/>
  <c r="L20" i="8"/>
  <c r="J20" i="8"/>
  <c r="H20" i="8"/>
  <c r="F20" i="8"/>
  <c r="D20" i="8"/>
  <c r="B20" i="8"/>
  <c r="N20" i="8" s="1"/>
  <c r="O20" i="8" s="1"/>
  <c r="L19" i="8"/>
  <c r="J19" i="8"/>
  <c r="H19" i="8"/>
  <c r="F19" i="8"/>
  <c r="D19" i="8"/>
  <c r="B19" i="8"/>
  <c r="N19" i="8" s="1"/>
  <c r="O19" i="8" s="1"/>
  <c r="L18" i="8"/>
  <c r="J18" i="8"/>
  <c r="H18" i="8"/>
  <c r="F18" i="8"/>
  <c r="D18" i="8"/>
  <c r="B18" i="8"/>
  <c r="N18" i="8" s="1"/>
  <c r="O18" i="8" s="1"/>
  <c r="L17" i="8"/>
  <c r="J17" i="8"/>
  <c r="H17" i="8"/>
  <c r="F17" i="8"/>
  <c r="D17" i="8"/>
  <c r="B17" i="8"/>
  <c r="N17" i="8" s="1"/>
  <c r="O17" i="8" s="1"/>
  <c r="L16" i="8"/>
  <c r="J16" i="8"/>
  <c r="H16" i="8"/>
  <c r="F16" i="8"/>
  <c r="D16" i="8"/>
  <c r="B16" i="8"/>
  <c r="N16" i="8" s="1"/>
  <c r="O16" i="8" s="1"/>
  <c r="L15" i="8"/>
  <c r="J15" i="8"/>
  <c r="H15" i="8"/>
  <c r="F15" i="8"/>
  <c r="D15" i="8"/>
  <c r="B15" i="8"/>
  <c r="N15" i="8" s="1"/>
  <c r="O15" i="8" s="1"/>
  <c r="L14" i="8"/>
  <c r="J14" i="8"/>
  <c r="H14" i="8"/>
  <c r="F14" i="8"/>
  <c r="D14" i="8"/>
  <c r="B14" i="8"/>
  <c r="N14" i="8" s="1"/>
  <c r="O14" i="8" s="1"/>
  <c r="L13" i="8"/>
  <c r="J13" i="8"/>
  <c r="H13" i="8"/>
  <c r="F13" i="8"/>
  <c r="D13" i="8"/>
  <c r="B13" i="8"/>
  <c r="N13" i="8" s="1"/>
  <c r="O13" i="8" s="1"/>
  <c r="L12" i="8"/>
  <c r="J12" i="8"/>
  <c r="H12" i="8"/>
  <c r="F12" i="8"/>
  <c r="D12" i="8"/>
  <c r="B12" i="8"/>
  <c r="N12" i="8" s="1"/>
  <c r="O12" i="8" s="1"/>
  <c r="L11" i="8"/>
  <c r="J11" i="8"/>
  <c r="H11" i="8"/>
  <c r="F11" i="8"/>
  <c r="D11" i="8"/>
  <c r="B11" i="8"/>
  <c r="N11" i="8" s="1"/>
  <c r="O11" i="8" s="1"/>
  <c r="L10" i="8"/>
  <c r="J10" i="8"/>
  <c r="H10" i="8"/>
  <c r="F10" i="8"/>
  <c r="D10" i="8"/>
  <c r="B10" i="8"/>
  <c r="N10" i="8" s="1"/>
  <c r="L9" i="8"/>
  <c r="J9" i="8"/>
  <c r="H9" i="8"/>
  <c r="F9" i="8"/>
  <c r="D9" i="8"/>
  <c r="B9" i="8"/>
  <c r="N9" i="8" s="1"/>
  <c r="O9" i="8" s="1"/>
  <c r="L8" i="8"/>
  <c r="J8" i="8"/>
  <c r="H8" i="8"/>
  <c r="F8" i="8"/>
  <c r="D8" i="8"/>
  <c r="B8" i="8"/>
  <c r="N8" i="8" s="1"/>
  <c r="O8" i="8" s="1"/>
  <c r="L7" i="8"/>
  <c r="J7" i="8"/>
  <c r="H7" i="8"/>
  <c r="F7" i="8"/>
  <c r="D7" i="8"/>
  <c r="B7" i="8"/>
  <c r="N7" i="8" s="1"/>
  <c r="O7" i="8" s="1"/>
  <c r="L6" i="8"/>
  <c r="J6" i="8"/>
  <c r="H6" i="8"/>
  <c r="F6" i="8"/>
  <c r="D6" i="8"/>
  <c r="B6" i="8"/>
  <c r="N6" i="8" s="1"/>
  <c r="O6" i="8" s="1"/>
  <c r="L5" i="8"/>
  <c r="J5" i="8"/>
  <c r="H5" i="8"/>
  <c r="F5" i="8"/>
  <c r="D5" i="8"/>
  <c r="B5" i="8"/>
  <c r="N5" i="8" s="1"/>
  <c r="O5" i="8" s="1"/>
  <c r="L4" i="8"/>
  <c r="J4" i="8"/>
  <c r="H4" i="8"/>
  <c r="F4" i="8"/>
  <c r="D4" i="8"/>
  <c r="B4" i="8"/>
  <c r="N4" i="8" s="1"/>
  <c r="O4" i="8" s="1"/>
  <c r="L3" i="8"/>
  <c r="J3" i="8"/>
  <c r="H3" i="8"/>
  <c r="F3" i="8"/>
  <c r="D3" i="8"/>
  <c r="B3" i="8"/>
  <c r="N3" i="8" s="1"/>
  <c r="O3" i="8" s="1"/>
  <c r="O24" i="8" s="1"/>
  <c r="L2" i="8"/>
  <c r="G2" i="8"/>
  <c r="D2" i="8"/>
  <c r="E2" i="8" s="1"/>
  <c r="B2" i="8"/>
  <c r="G32" i="23" l="1"/>
  <c r="J28" i="23"/>
  <c r="J65" i="23"/>
  <c r="I28" i="23" s="1"/>
  <c r="I29" i="23" s="1"/>
  <c r="G27" i="23"/>
  <c r="G55" i="23"/>
  <c r="F27" i="23" s="1"/>
  <c r="G65" i="23"/>
  <c r="F28" i="23" s="1"/>
  <c r="G28" i="23"/>
  <c r="J69" i="23"/>
  <c r="J30" i="23" s="1"/>
  <c r="J32" i="23" s="1"/>
  <c r="J70" i="23"/>
  <c r="I30" i="23" s="1"/>
  <c r="I32" i="23" s="1"/>
  <c r="J29" i="23"/>
  <c r="F6" i="17"/>
  <c r="F13" i="17" s="1"/>
  <c r="F7" i="17"/>
  <c r="F15" i="17" s="1"/>
  <c r="J32" i="13"/>
  <c r="I27" i="13"/>
  <c r="J27" i="13"/>
  <c r="C9" i="17"/>
  <c r="C17" i="17" s="1"/>
  <c r="I23" i="4"/>
  <c r="I17" i="13" s="1"/>
  <c r="H18" i="5"/>
  <c r="H33" i="5" s="1"/>
  <c r="K23" i="4"/>
  <c r="K17" i="13" s="1"/>
  <c r="K18" i="6" s="1"/>
  <c r="K33" i="6" s="1"/>
  <c r="J38" i="4"/>
  <c r="E6" i="17"/>
  <c r="E13" i="17" s="1"/>
  <c r="G21" i="5"/>
  <c r="K21" i="5"/>
  <c r="J21" i="5"/>
  <c r="D7" i="17"/>
  <c r="D15" i="17" s="1"/>
  <c r="C8" i="17"/>
  <c r="C16" i="17" s="1"/>
  <c r="C6" i="17"/>
  <c r="C13" i="17" s="1"/>
  <c r="J46" i="12"/>
  <c r="I46" i="12"/>
  <c r="J47" i="12"/>
  <c r="I47" i="12"/>
  <c r="J48" i="12"/>
  <c r="I48" i="12"/>
  <c r="J49" i="12"/>
  <c r="I49" i="12"/>
  <c r="J50" i="12"/>
  <c r="I50" i="12"/>
  <c r="J51" i="12"/>
  <c r="I51" i="12"/>
  <c r="J52" i="12"/>
  <c r="I52" i="12"/>
  <c r="J53" i="12"/>
  <c r="I53" i="12"/>
  <c r="E18" i="10"/>
  <c r="F18" i="10" s="1"/>
  <c r="G6" i="10"/>
  <c r="G8" i="10"/>
  <c r="G7" i="10"/>
  <c r="H20" i="10" s="1"/>
  <c r="E19" i="10"/>
  <c r="F19" i="10" s="1"/>
  <c r="I5" i="10"/>
  <c r="J19" i="10"/>
  <c r="J15" i="12" s="1"/>
  <c r="D123" i="17" s="1"/>
  <c r="D148" i="17" s="1"/>
  <c r="E4" i="10"/>
  <c r="I4" i="10" s="1"/>
  <c r="G4" i="10" s="1"/>
  <c r="G7" i="12"/>
  <c r="J7" i="12" s="1"/>
  <c r="I14" i="18"/>
  <c r="F14" i="18" s="1"/>
  <c r="G14" i="18"/>
  <c r="J10" i="18"/>
  <c r="E15" i="18"/>
  <c r="I13" i="18"/>
  <c r="F13" i="18" s="1"/>
  <c r="G13" i="18"/>
  <c r="I12" i="18"/>
  <c r="F12" i="18" s="1"/>
  <c r="G12" i="18"/>
  <c r="I11" i="18"/>
  <c r="F11" i="18" s="1"/>
  <c r="G11" i="18"/>
  <c r="D15" i="18"/>
  <c r="D26" i="18"/>
  <c r="D28" i="18"/>
  <c r="Y27" i="18"/>
  <c r="F40" i="18"/>
  <c r="G40" i="18"/>
  <c r="J42" i="18"/>
  <c r="G41" i="18"/>
  <c r="I41" i="18"/>
  <c r="C7" i="17"/>
  <c r="C15" i="17" s="1"/>
  <c r="I10" i="18"/>
  <c r="F68" i="12"/>
  <c r="E69" i="12"/>
  <c r="I58" i="12"/>
  <c r="J58" i="12"/>
  <c r="G59" i="12"/>
  <c r="J59" i="12" s="1"/>
  <c r="G60" i="12"/>
  <c r="J60" i="12" s="1"/>
  <c r="I45" i="12"/>
  <c r="E7" i="17"/>
  <c r="E15" i="17" s="1"/>
  <c r="G39" i="12"/>
  <c r="G40" i="12"/>
  <c r="J40" i="12" s="1"/>
  <c r="G41" i="12"/>
  <c r="J41" i="12" s="1"/>
  <c r="G42" i="12"/>
  <c r="G26" i="12" s="1"/>
  <c r="G20" i="13"/>
  <c r="K20" i="13"/>
  <c r="H20" i="13"/>
  <c r="J20" i="13" s="1"/>
  <c r="F11" i="6"/>
  <c r="F11" i="5"/>
  <c r="I11" i="5" s="1"/>
  <c r="F13" i="4"/>
  <c r="H13" i="4" s="1"/>
  <c r="H15" i="4" s="1"/>
  <c r="H33" i="4" s="1"/>
  <c r="B5" i="16" s="1"/>
  <c r="F6" i="6"/>
  <c r="F6" i="5"/>
  <c r="F6" i="13"/>
  <c r="H6" i="13" s="1"/>
  <c r="F7" i="4"/>
  <c r="H7" i="4" s="1"/>
  <c r="K7" i="4" s="1"/>
  <c r="F7" i="6"/>
  <c r="F7" i="5"/>
  <c r="F6" i="4"/>
  <c r="G6" i="4" s="1"/>
  <c r="F8" i="4"/>
  <c r="H8" i="4" s="1"/>
  <c r="K21" i="6"/>
  <c r="G21" i="6"/>
  <c r="J21" i="6"/>
  <c r="G19" i="4"/>
  <c r="K19" i="4" s="1"/>
  <c r="J19" i="4" s="1"/>
  <c r="F18" i="4"/>
  <c r="H18" i="4" s="1"/>
  <c r="G26" i="4"/>
  <c r="G9" i="4"/>
  <c r="F20" i="4"/>
  <c r="I20" i="4" s="1"/>
  <c r="K26" i="4"/>
  <c r="H26" i="4"/>
  <c r="H6" i="6"/>
  <c r="G6" i="6"/>
  <c r="H7" i="6"/>
  <c r="G7" i="6"/>
  <c r="G14" i="4"/>
  <c r="K14" i="4"/>
  <c r="J14" i="4"/>
  <c r="H9" i="4"/>
  <c r="K9" i="4" s="1"/>
  <c r="I5" i="12"/>
  <c r="I6" i="12"/>
  <c r="J6" i="12"/>
  <c r="D118" i="17" s="1"/>
  <c r="D143" i="17" s="1"/>
  <c r="I13" i="12"/>
  <c r="J13" i="12"/>
  <c r="D121" i="17" s="1"/>
  <c r="D146" i="17" s="1"/>
  <c r="F42" i="12"/>
  <c r="F26" i="12" s="1"/>
  <c r="I38" i="12"/>
  <c r="I39" i="12"/>
  <c r="J39" i="12"/>
  <c r="I40" i="12"/>
  <c r="I41" i="12"/>
  <c r="F54" i="12"/>
  <c r="F64" i="12"/>
  <c r="G61" i="12"/>
  <c r="J61" i="12" s="1"/>
  <c r="G62" i="12"/>
  <c r="J62" i="12" s="1"/>
  <c r="G63" i="12"/>
  <c r="J63" i="12" s="1"/>
  <c r="H79" i="3"/>
  <c r="H80" i="3"/>
  <c r="I78" i="3"/>
  <c r="C2" i="8"/>
  <c r="O2" i="8"/>
  <c r="H11" i="5" l="1"/>
  <c r="H12" i="5" s="1"/>
  <c r="H28" i="5" s="1"/>
  <c r="J5" i="16" s="1"/>
  <c r="I12" i="5"/>
  <c r="I28" i="5" s="1"/>
  <c r="I33" i="23"/>
  <c r="I21" i="23" s="1"/>
  <c r="G29" i="23"/>
  <c r="G33" i="23" s="1"/>
  <c r="F29" i="23"/>
  <c r="F33" i="23" s="1"/>
  <c r="J33" i="23"/>
  <c r="F69" i="12"/>
  <c r="G68" i="12"/>
  <c r="K20" i="4"/>
  <c r="K35" i="4" s="1"/>
  <c r="I35" i="4"/>
  <c r="I32" i="13"/>
  <c r="I18" i="6"/>
  <c r="I33" i="6" s="1"/>
  <c r="K32" i="13"/>
  <c r="J18" i="5"/>
  <c r="J33" i="5" s="1"/>
  <c r="K38" i="4"/>
  <c r="I38" i="4"/>
  <c r="G7" i="5"/>
  <c r="G11" i="5"/>
  <c r="G6" i="5"/>
  <c r="G6" i="13"/>
  <c r="J6" i="13" s="1"/>
  <c r="K6" i="13" s="1"/>
  <c r="K7" i="13" s="1"/>
  <c r="K26" i="13" s="1"/>
  <c r="H6" i="4"/>
  <c r="I6" i="4" s="1"/>
  <c r="G8" i="4"/>
  <c r="J8" i="4"/>
  <c r="I8" i="4"/>
  <c r="C73" i="17" s="1"/>
  <c r="D73" i="17" s="1"/>
  <c r="E73" i="17" s="1"/>
  <c r="F73" i="17" s="1"/>
  <c r="K8" i="4"/>
  <c r="J13" i="4"/>
  <c r="J15" i="4" s="1"/>
  <c r="J33" i="4" s="1"/>
  <c r="D5" i="16" s="1"/>
  <c r="I13" i="4"/>
  <c r="I15" i="4" s="1"/>
  <c r="I33" i="4" s="1"/>
  <c r="J9" i="4"/>
  <c r="K13" i="4"/>
  <c r="K15" i="4" s="1"/>
  <c r="K33" i="4" s="1"/>
  <c r="E5" i="16" s="1"/>
  <c r="G7" i="4"/>
  <c r="G13" i="4"/>
  <c r="I9" i="4"/>
  <c r="D62" i="17" s="1"/>
  <c r="F6" i="10"/>
  <c r="H19" i="10"/>
  <c r="B61" i="17" s="1"/>
  <c r="F8" i="10"/>
  <c r="G19" i="10" s="1"/>
  <c r="I19" i="10" s="1"/>
  <c r="F15" i="12" s="1"/>
  <c r="I68" i="12"/>
  <c r="I69" i="12" s="1"/>
  <c r="H4" i="10"/>
  <c r="F4" i="10" s="1"/>
  <c r="H5" i="10"/>
  <c r="G5" i="10"/>
  <c r="J8" i="12"/>
  <c r="G69" i="12"/>
  <c r="G30" i="12" s="1"/>
  <c r="G8" i="12"/>
  <c r="H11" i="6"/>
  <c r="H12" i="6" s="1"/>
  <c r="H28" i="6" s="1"/>
  <c r="N5" i="16" s="1"/>
  <c r="G11" i="6"/>
  <c r="F10" i="18"/>
  <c r="F15" i="18" s="1"/>
  <c r="I15" i="18"/>
  <c r="G10" i="18"/>
  <c r="G15" i="18" s="1"/>
  <c r="J15" i="18"/>
  <c r="Y28" i="18"/>
  <c r="Y29" i="18"/>
  <c r="Y30" i="18" s="1"/>
  <c r="F41" i="18"/>
  <c r="F42" i="18" s="1"/>
  <c r="I42" i="18"/>
  <c r="D17" i="18" s="1"/>
  <c r="E17" i="18" s="1"/>
  <c r="J17" i="18" s="1"/>
  <c r="I17" i="18" s="1"/>
  <c r="G42" i="18"/>
  <c r="M52" i="18"/>
  <c r="M53" i="18" s="1"/>
  <c r="J45" i="12"/>
  <c r="I54" i="12"/>
  <c r="G64" i="12"/>
  <c r="I64" i="12"/>
  <c r="H20" i="4"/>
  <c r="H35" i="4" s="1"/>
  <c r="C78" i="17"/>
  <c r="D78" i="17" s="1"/>
  <c r="E78" i="17" s="1"/>
  <c r="H8" i="6"/>
  <c r="H7" i="13"/>
  <c r="H26" i="13" s="1"/>
  <c r="I18" i="4"/>
  <c r="J26" i="4"/>
  <c r="I6" i="13"/>
  <c r="I7" i="13" s="1"/>
  <c r="I26" i="13" s="1"/>
  <c r="I7" i="4"/>
  <c r="J7" i="4"/>
  <c r="K11" i="5"/>
  <c r="K12" i="5" s="1"/>
  <c r="K28" i="5" s="1"/>
  <c r="M5" i="16" s="1"/>
  <c r="K7" i="5"/>
  <c r="J7" i="6"/>
  <c r="I7" i="6"/>
  <c r="K7" i="6" s="1"/>
  <c r="J6" i="6"/>
  <c r="I6" i="6"/>
  <c r="I8" i="6" s="1"/>
  <c r="J38" i="12"/>
  <c r="I42" i="12"/>
  <c r="I26" i="12" s="1"/>
  <c r="I80" i="3"/>
  <c r="I79" i="3"/>
  <c r="E10" i="22" l="1"/>
  <c r="C5" i="16"/>
  <c r="B43" i="17" s="1"/>
  <c r="G10" i="22"/>
  <c r="K5" i="16"/>
  <c r="D43" i="17" s="1"/>
  <c r="C74" i="17"/>
  <c r="D74" i="17" s="1"/>
  <c r="E74" i="17" s="1"/>
  <c r="F74" i="17" s="1"/>
  <c r="D64" i="17"/>
  <c r="I9" i="23"/>
  <c r="J9" i="23"/>
  <c r="J21" i="23"/>
  <c r="F21" i="23"/>
  <c r="F9" i="23"/>
  <c r="G21" i="23"/>
  <c r="G9" i="23"/>
  <c r="K22" i="4"/>
  <c r="G32" i="12"/>
  <c r="F78" i="17"/>
  <c r="J54" i="12"/>
  <c r="J27" i="12" s="1"/>
  <c r="B108" i="17"/>
  <c r="D116" i="17"/>
  <c r="C82" i="17"/>
  <c r="L25" i="6"/>
  <c r="I11" i="6"/>
  <c r="L24" i="6"/>
  <c r="J11" i="6"/>
  <c r="J12" i="6" s="1"/>
  <c r="J28" i="6" s="1"/>
  <c r="P5" i="16" s="1"/>
  <c r="J7" i="13"/>
  <c r="J26" i="13" s="1"/>
  <c r="H10" i="4"/>
  <c r="H32" i="4" s="1"/>
  <c r="B4" i="16" s="1"/>
  <c r="K6" i="4"/>
  <c r="K10" i="4" s="1"/>
  <c r="K32" i="4" s="1"/>
  <c r="J6" i="4"/>
  <c r="I18" i="5"/>
  <c r="I33" i="5" s="1"/>
  <c r="K18" i="5"/>
  <c r="K33" i="5" s="1"/>
  <c r="I10" i="4"/>
  <c r="E60" i="17"/>
  <c r="C72" i="17" s="1"/>
  <c r="J20" i="4"/>
  <c r="J35" i="4" s="1"/>
  <c r="I18" i="18"/>
  <c r="I19" i="12"/>
  <c r="E23" i="10"/>
  <c r="J19" i="12"/>
  <c r="H23" i="10"/>
  <c r="J23" i="10" s="1"/>
  <c r="G27" i="12"/>
  <c r="G29" i="12" s="1"/>
  <c r="J20" i="10"/>
  <c r="J16" i="12" s="1"/>
  <c r="D124" i="17" s="1"/>
  <c r="D149" i="17" s="1"/>
  <c r="G20" i="10"/>
  <c r="I20" i="10" s="1"/>
  <c r="F16" i="12" s="1"/>
  <c r="I16" i="12" s="1"/>
  <c r="F7" i="12"/>
  <c r="F5" i="10"/>
  <c r="J68" i="12"/>
  <c r="G70" i="12"/>
  <c r="F30" i="12" s="1"/>
  <c r="F17" i="18"/>
  <c r="F19" i="12" s="1"/>
  <c r="J18" i="18"/>
  <c r="G17" i="18"/>
  <c r="J65" i="12"/>
  <c r="I28" i="12" s="1"/>
  <c r="G65" i="12"/>
  <c r="F28" i="12" s="1"/>
  <c r="G28" i="12"/>
  <c r="K11" i="6"/>
  <c r="K12" i="6" s="1"/>
  <c r="K28" i="6" s="1"/>
  <c r="Q5" i="16" s="1"/>
  <c r="I12" i="6"/>
  <c r="I28" i="6" s="1"/>
  <c r="J8" i="6"/>
  <c r="I32" i="4"/>
  <c r="J10" i="4"/>
  <c r="J11" i="5"/>
  <c r="J12" i="5" s="1"/>
  <c r="J28" i="5" s="1"/>
  <c r="L5" i="16" s="1"/>
  <c r="K6" i="5"/>
  <c r="K6" i="6"/>
  <c r="F27" i="12"/>
  <c r="H10" i="22" l="1"/>
  <c r="O5" i="16"/>
  <c r="E43" i="17" s="1"/>
  <c r="E50" i="17"/>
  <c r="D96" i="17"/>
  <c r="D97" i="17" s="1"/>
  <c r="E103" i="17" s="1"/>
  <c r="C50" i="17"/>
  <c r="B96" i="17"/>
  <c r="B97" i="17" s="1"/>
  <c r="E101" i="17" s="1"/>
  <c r="D82" i="17"/>
  <c r="F82" i="17" s="1"/>
  <c r="E82" i="17"/>
  <c r="K21" i="23"/>
  <c r="J22" i="4"/>
  <c r="F32" i="12"/>
  <c r="J69" i="12"/>
  <c r="J30" i="12" s="1"/>
  <c r="J70" i="12"/>
  <c r="I30" i="12" s="1"/>
  <c r="K37" i="4"/>
  <c r="K16" i="13"/>
  <c r="J55" i="12"/>
  <c r="I27" i="12" s="1"/>
  <c r="I29" i="12" s="1"/>
  <c r="H21" i="4" s="1"/>
  <c r="D130" i="17"/>
  <c r="B167" i="17" s="1"/>
  <c r="J29" i="12"/>
  <c r="C80" i="17"/>
  <c r="D72" i="17"/>
  <c r="K21" i="4"/>
  <c r="K36" i="4" s="1"/>
  <c r="G33" i="12"/>
  <c r="E64" i="17"/>
  <c r="F64" i="17" s="1"/>
  <c r="F29" i="12"/>
  <c r="F18" i="18"/>
  <c r="G18" i="18"/>
  <c r="G19" i="12"/>
  <c r="F23" i="10"/>
  <c r="E19" i="12" s="1"/>
  <c r="G23" i="10"/>
  <c r="I23" i="10" s="1"/>
  <c r="F8" i="12"/>
  <c r="I7" i="12"/>
  <c r="I8" i="12" s="1"/>
  <c r="B64" i="17"/>
  <c r="K8" i="6"/>
  <c r="J32" i="4"/>
  <c r="F103" i="17" l="1"/>
  <c r="F102" i="17"/>
  <c r="F50" i="17"/>
  <c r="E96" i="17"/>
  <c r="E97" i="17" s="1"/>
  <c r="E104" i="17" s="1"/>
  <c r="F104" i="17" s="1"/>
  <c r="D80" i="17"/>
  <c r="E72" i="17"/>
  <c r="H22" i="4"/>
  <c r="I32" i="12"/>
  <c r="K17" i="6"/>
  <c r="K32" i="6" s="1"/>
  <c r="K17" i="5"/>
  <c r="K32" i="5" s="1"/>
  <c r="K31" i="13"/>
  <c r="J16" i="13"/>
  <c r="J37" i="4"/>
  <c r="D132" i="17"/>
  <c r="B169" i="17" s="1"/>
  <c r="B110" i="17"/>
  <c r="B112" i="17"/>
  <c r="J33" i="12"/>
  <c r="J21" i="12" s="1"/>
  <c r="I21" i="4"/>
  <c r="I15" i="13" s="1"/>
  <c r="C85" i="17"/>
  <c r="I22" i="4"/>
  <c r="I37" i="4" s="1"/>
  <c r="E8" i="22" s="1"/>
  <c r="J32" i="12"/>
  <c r="H15" i="13"/>
  <c r="H36" i="4"/>
  <c r="K15" i="13"/>
  <c r="I33" i="12"/>
  <c r="J21" i="4"/>
  <c r="J36" i="4" s="1"/>
  <c r="F33" i="12"/>
  <c r="G9" i="12"/>
  <c r="K34" i="4" s="1"/>
  <c r="J18" i="4"/>
  <c r="D85" i="17" l="1"/>
  <c r="F85" i="17" s="1"/>
  <c r="E85" i="17"/>
  <c r="F72" i="17"/>
  <c r="F80" i="17" s="1"/>
  <c r="E80" i="17"/>
  <c r="J31" i="13"/>
  <c r="J17" i="6"/>
  <c r="J32" i="6" s="1"/>
  <c r="J17" i="5"/>
  <c r="J32" i="5" s="1"/>
  <c r="H37" i="4"/>
  <c r="H16" i="13"/>
  <c r="I16" i="5"/>
  <c r="I36" i="4"/>
  <c r="E9" i="22" s="1"/>
  <c r="E11" i="22" s="1"/>
  <c r="E16" i="22" s="1"/>
  <c r="I24" i="4"/>
  <c r="I16" i="13"/>
  <c r="I31" i="5"/>
  <c r="K16" i="6"/>
  <c r="I30" i="13"/>
  <c r="I16" i="6"/>
  <c r="K39" i="4"/>
  <c r="E6" i="16"/>
  <c r="H16" i="5"/>
  <c r="H16" i="6"/>
  <c r="K16" i="5"/>
  <c r="K30" i="13"/>
  <c r="J15" i="13"/>
  <c r="H24" i="4"/>
  <c r="J24" i="4"/>
  <c r="F21" i="12"/>
  <c r="F9" i="12"/>
  <c r="J34" i="4" s="1"/>
  <c r="I9" i="12"/>
  <c r="H34" i="4" s="1"/>
  <c r="K18" i="4"/>
  <c r="K24" i="4" s="1"/>
  <c r="E15" i="22" l="1"/>
  <c r="E14" i="22"/>
  <c r="E17" i="22"/>
  <c r="E18" i="22"/>
  <c r="H17" i="6"/>
  <c r="H32" i="6" s="1"/>
  <c r="H31" i="13"/>
  <c r="H17" i="5"/>
  <c r="H32" i="5" s="1"/>
  <c r="E12" i="22"/>
  <c r="L37" i="4"/>
  <c r="L38" i="4"/>
  <c r="D128" i="17"/>
  <c r="B171" i="17" s="1"/>
  <c r="B109" i="17"/>
  <c r="L36" i="4"/>
  <c r="J9" i="12"/>
  <c r="I34" i="4" s="1"/>
  <c r="I39" i="4" s="1"/>
  <c r="I31" i="13"/>
  <c r="F8" i="22" s="1"/>
  <c r="I17" i="6"/>
  <c r="I32" i="6" s="1"/>
  <c r="H8" i="22" s="1"/>
  <c r="I17" i="5"/>
  <c r="E7" i="16"/>
  <c r="B6" i="16"/>
  <c r="B7" i="16" s="1"/>
  <c r="L35" i="4"/>
  <c r="H39" i="4"/>
  <c r="L34" i="4" s="1"/>
  <c r="D6" i="16"/>
  <c r="D7" i="16" s="1"/>
  <c r="J39" i="4"/>
  <c r="I31" i="6"/>
  <c r="J16" i="6"/>
  <c r="K31" i="6"/>
  <c r="K31" i="5"/>
  <c r="H31" i="6"/>
  <c r="H31" i="5"/>
  <c r="H30" i="13"/>
  <c r="J16" i="5"/>
  <c r="J30" i="13"/>
  <c r="K28" i="4"/>
  <c r="J28" i="4"/>
  <c r="F12" i="22" l="1"/>
  <c r="C109" i="17"/>
  <c r="C111" i="17"/>
  <c r="C110" i="17"/>
  <c r="C112" i="17"/>
  <c r="E129" i="17"/>
  <c r="E131" i="17"/>
  <c r="E132" i="17"/>
  <c r="E133" i="17"/>
  <c r="D134" i="17"/>
  <c r="E130" i="17"/>
  <c r="C6" i="16"/>
  <c r="B42" i="17" s="1"/>
  <c r="C49" i="17" s="1"/>
  <c r="I32" i="5"/>
  <c r="G8" i="22" s="1"/>
  <c r="J31" i="6"/>
  <c r="J31" i="5"/>
  <c r="L33" i="4"/>
  <c r="L32" i="4"/>
  <c r="J29" i="4"/>
  <c r="I28" i="4"/>
  <c r="K29" i="4"/>
  <c r="C51" i="17" l="1"/>
  <c r="C54" i="17" s="1"/>
  <c r="C7" i="16"/>
  <c r="B44" i="17" s="1"/>
  <c r="I29" i="4"/>
  <c r="H28" i="4"/>
  <c r="C101" i="17" l="1"/>
  <c r="B45" i="17"/>
  <c r="C55" i="17"/>
  <c r="C53" i="17"/>
  <c r="H29" i="4"/>
  <c r="L39" i="4" l="1"/>
  <c r="F14" i="12" l="1"/>
  <c r="J14" i="12"/>
  <c r="D122" i="17" l="1"/>
  <c r="D147" i="17" s="1"/>
  <c r="I14" i="12"/>
  <c r="J17" i="10"/>
  <c r="I17" i="10" s="1"/>
  <c r="H17" i="10"/>
  <c r="G17" i="10" l="1"/>
  <c r="B66" i="17"/>
  <c r="B67" i="17" s="1"/>
  <c r="C87" i="17" l="1"/>
  <c r="I18" i="10"/>
  <c r="J18" i="10"/>
  <c r="D87" i="17" l="1"/>
  <c r="F87" i="17" s="1"/>
  <c r="E87" i="17"/>
  <c r="C81" i="17"/>
  <c r="E81" i="17" s="1"/>
  <c r="F21" i="10"/>
  <c r="E21" i="10" s="1"/>
  <c r="G21" i="10" s="1"/>
  <c r="F17" i="12"/>
  <c r="I21" i="10" l="1"/>
  <c r="I17" i="12"/>
  <c r="I20" i="12" s="1"/>
  <c r="I21" i="12" s="1"/>
  <c r="G24" i="10"/>
  <c r="H21" i="10"/>
  <c r="G17" i="12"/>
  <c r="H14" i="13" l="1"/>
  <c r="H15" i="6"/>
  <c r="I24" i="10"/>
  <c r="J15" i="6" s="1"/>
  <c r="J21" i="10"/>
  <c r="J24" i="10" s="1"/>
  <c r="K15" i="6" s="1"/>
  <c r="H24" i="10"/>
  <c r="G20" i="12"/>
  <c r="G21" i="12" s="1"/>
  <c r="J17" i="12"/>
  <c r="H30" i="6" l="1"/>
  <c r="H19" i="6"/>
  <c r="H29" i="13"/>
  <c r="H18" i="13"/>
  <c r="H28" i="13" s="1"/>
  <c r="I14" i="13"/>
  <c r="I15" i="6"/>
  <c r="K30" i="6"/>
  <c r="K19" i="6"/>
  <c r="K29" i="6" s="1"/>
  <c r="J30" i="6"/>
  <c r="J19" i="6"/>
  <c r="J29" i="6" s="1"/>
  <c r="H15" i="5"/>
  <c r="D120" i="17"/>
  <c r="D135" i="17" s="1"/>
  <c r="B107" i="17"/>
  <c r="D107" i="17" s="1"/>
  <c r="K21" i="12"/>
  <c r="K14" i="13"/>
  <c r="J14" i="13"/>
  <c r="C84" i="17"/>
  <c r="E84" i="17" s="1"/>
  <c r="E88" i="17" s="1"/>
  <c r="E89" i="17" s="1"/>
  <c r="D136" i="17" l="1"/>
  <c r="H23" i="6"/>
  <c r="H24" i="6" s="1"/>
  <c r="H29" i="6"/>
  <c r="H30" i="5"/>
  <c r="H19" i="5"/>
  <c r="J34" i="6"/>
  <c r="P6" i="16"/>
  <c r="P7" i="16" s="1"/>
  <c r="P8" i="16" s="1"/>
  <c r="Q6" i="16"/>
  <c r="Q7" i="16" s="1"/>
  <c r="Q8" i="16" s="1"/>
  <c r="K34" i="6"/>
  <c r="I30" i="6"/>
  <c r="H9" i="22" s="1"/>
  <c r="I19" i="6"/>
  <c r="I18" i="13"/>
  <c r="I28" i="13" s="1"/>
  <c r="I29" i="13"/>
  <c r="F9" i="22" s="1"/>
  <c r="J29" i="13"/>
  <c r="J18" i="13"/>
  <c r="J28" i="13" s="1"/>
  <c r="L30" i="13"/>
  <c r="H33" i="13"/>
  <c r="F6" i="16"/>
  <c r="F7" i="16" s="1"/>
  <c r="F8" i="16" s="1"/>
  <c r="L31" i="13"/>
  <c r="L32" i="13"/>
  <c r="K29" i="13"/>
  <c r="K18" i="13"/>
  <c r="K28" i="13" s="1"/>
  <c r="L29" i="13"/>
  <c r="D84" i="17"/>
  <c r="C88" i="17"/>
  <c r="C89" i="17" s="1"/>
  <c r="I15" i="5"/>
  <c r="J15" i="5"/>
  <c r="K15" i="5"/>
  <c r="O27" i="13"/>
  <c r="H22" i="13"/>
  <c r="D88" i="17" l="1"/>
  <c r="D89" i="17" s="1"/>
  <c r="F84" i="17"/>
  <c r="F88" i="17" s="1"/>
  <c r="F89" i="17" s="1"/>
  <c r="L31" i="6"/>
  <c r="L32" i="6"/>
  <c r="N6" i="16"/>
  <c r="N7" i="16" s="1"/>
  <c r="N8" i="16" s="1"/>
  <c r="H34" i="6"/>
  <c r="L33" i="6"/>
  <c r="L29" i="6"/>
  <c r="F11" i="22"/>
  <c r="I23" i="6"/>
  <c r="I24" i="6" s="1"/>
  <c r="I29" i="6"/>
  <c r="K33" i="13"/>
  <c r="I6" i="16"/>
  <c r="I7" i="16" s="1"/>
  <c r="I8" i="16" s="1"/>
  <c r="H12" i="22"/>
  <c r="H11" i="22"/>
  <c r="L28" i="13"/>
  <c r="L33" i="13"/>
  <c r="L27" i="13"/>
  <c r="L26" i="13"/>
  <c r="H29" i="5"/>
  <c r="H23" i="5"/>
  <c r="H24" i="5" s="1"/>
  <c r="K30" i="5"/>
  <c r="K19" i="5"/>
  <c r="L30" i="5"/>
  <c r="J30" i="5"/>
  <c r="J19" i="5"/>
  <c r="H6" i="16"/>
  <c r="H7" i="16" s="1"/>
  <c r="H8" i="16" s="1"/>
  <c r="J33" i="13"/>
  <c r="L30" i="6"/>
  <c r="I30" i="5"/>
  <c r="G9" i="22" s="1"/>
  <c r="I19" i="5"/>
  <c r="I33" i="13"/>
  <c r="G6" i="16"/>
  <c r="J23" i="6"/>
  <c r="J24" i="6" s="1"/>
  <c r="K23" i="6"/>
  <c r="K24" i="6" s="1"/>
  <c r="K22" i="13"/>
  <c r="K23" i="13" s="1"/>
  <c r="J22" i="13"/>
  <c r="J23" i="13" s="1"/>
  <c r="L23" i="5"/>
  <c r="L24" i="5"/>
  <c r="I22" i="13"/>
  <c r="I23" i="13" s="1"/>
  <c r="H23" i="13"/>
  <c r="F14" i="22" l="1"/>
  <c r="F18" i="22"/>
  <c r="F17" i="22"/>
  <c r="F15" i="22"/>
  <c r="F16" i="22"/>
  <c r="H15" i="22"/>
  <c r="H14" i="22"/>
  <c r="H18" i="22"/>
  <c r="H17" i="22"/>
  <c r="H16" i="22"/>
  <c r="J29" i="5"/>
  <c r="J23" i="5"/>
  <c r="J24" i="5" s="1"/>
  <c r="K23" i="5"/>
  <c r="K24" i="5" s="1"/>
  <c r="K29" i="5"/>
  <c r="I34" i="6"/>
  <c r="O6" i="16"/>
  <c r="J6" i="16"/>
  <c r="J7" i="16" s="1"/>
  <c r="J8" i="16" s="1"/>
  <c r="L31" i="5"/>
  <c r="H34" i="5"/>
  <c r="L33" i="5"/>
  <c r="L32" i="5"/>
  <c r="L25" i="5"/>
  <c r="L28" i="6"/>
  <c r="L34" i="6"/>
  <c r="L27" i="6"/>
  <c r="G11" i="22"/>
  <c r="G12" i="22"/>
  <c r="I23" i="5"/>
  <c r="I24" i="5" s="1"/>
  <c r="I29" i="5"/>
  <c r="G7" i="16"/>
  <c r="C42" i="17"/>
  <c r="D49" i="17" s="1"/>
  <c r="G15" i="22" l="1"/>
  <c r="G14" i="22"/>
  <c r="G18" i="22"/>
  <c r="G17" i="22"/>
  <c r="G16" i="22"/>
  <c r="O7" i="16"/>
  <c r="E42" i="17"/>
  <c r="F49" i="17" s="1"/>
  <c r="F51" i="17" s="1"/>
  <c r="K34" i="5"/>
  <c r="M6" i="16"/>
  <c r="M7" i="16" s="1"/>
  <c r="M8" i="16" s="1"/>
  <c r="J34" i="5"/>
  <c r="L6" i="16"/>
  <c r="L7" i="16" s="1"/>
  <c r="L8" i="16" s="1"/>
  <c r="L29" i="5"/>
  <c r="L34" i="5"/>
  <c r="L28" i="5"/>
  <c r="L27" i="5"/>
  <c r="D51" i="17"/>
  <c r="D53" i="17" s="1"/>
  <c r="I34" i="5"/>
  <c r="K6" i="16"/>
  <c r="C44" i="17"/>
  <c r="C45" i="17" s="1"/>
  <c r="G8" i="16"/>
  <c r="F54" i="17" l="1"/>
  <c r="F53" i="17"/>
  <c r="F55" i="17"/>
  <c r="E44" i="17"/>
  <c r="E45" i="17" s="1"/>
  <c r="O8" i="16"/>
  <c r="D54" i="17"/>
  <c r="D42" i="17"/>
  <c r="E49" i="17" s="1"/>
  <c r="K7" i="16"/>
  <c r="C102" i="17"/>
  <c r="C104" i="17"/>
  <c r="D104" i="17" s="1"/>
  <c r="D102" i="17" l="1"/>
  <c r="E107" i="17"/>
  <c r="E51" i="17"/>
  <c r="K8" i="16"/>
  <c r="D44" i="17"/>
  <c r="C103" i="17" l="1"/>
  <c r="D103" i="17" s="1"/>
  <c r="D45" i="17"/>
  <c r="E55" i="17"/>
  <c r="E53" i="17"/>
  <c r="E5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shreya_raman@dfci.harvard.edu</author>
  </authors>
  <commentList>
    <comment ref="C70" authorId="0" shapeId="0" xr:uid="{FB43AC0A-BA9B-4AB9-AFF3-35D2AFE5BA80}">
      <text>
        <r>
          <rPr>
            <sz val="11"/>
            <color theme="1"/>
            <rFont val="Aptos Narrow"/>
            <family val="2"/>
            <scheme val="minor"/>
          </rPr>
          <t>shreya_raman@dfci.harvard.edu:
These are ONLY costs that VectorCam replaces, so VHT costs not included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tc={15F22815-A68B-4238-B8FD-4CD2EBED2A35}</author>
    <author>tc={268D36D1-6867-4437-83E7-5AC40D84EA26}</author>
  </authors>
  <commentList>
    <comment ref="B10" authorId="0" shapeId="0" xr:uid="{15F22815-A68B-4238-B8FD-4CD2EBED2A35}">
      <text>
        <t>[Threaded comment]
Your version of Excel allows you to read this threaded comment; however, any edits to it will get removed if the file is opened in a newer version of Excel. Learn more: https://go.microsoft.com/fwlink/?linkid=870924
Comment:
    This document suggests the add on of a power bank to minimize field operation downtime</t>
      </text>
    </comment>
    <comment ref="E17" authorId="1" shapeId="0" xr:uid="{268D36D1-6867-4437-83E7-5AC40D84EA26}">
      <text>
        <t>[Threaded comment]
Your version of Excel allows you to read this threaded comment; however, any edits to it will get removed if the file is opened in a newer version of Excel. Learn more: https://go.microsoft.com/fwlink/?linkid=870924
Comment:
    is this coming down?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tc={3B55EE48-754B-4B37-939C-8D9269119595}</author>
    <author>tc={8FCC8302-B9F8-4A4D-8C9F-0582C1143DA3}</author>
    <author>tc={0B51998E-22CA-4858-A8E4-E5F69ED8A360}</author>
    <author>tc={5AD03BD0-9F7A-4C2C-A70B-5EB551D92947}</author>
    <author>tc={C574399A-E95B-4A94-B193-64FD82D82AEC}</author>
    <author>tc={64806DD1-4BF1-40D6-ACA9-AA372D5F40CD}</author>
    <author>tc={C6ECC8C9-171C-475B-88BF-DFE55E0B16B5}</author>
  </authors>
  <commentList>
    <comment ref="D40" authorId="0" shapeId="0" xr:uid="{3B55EE48-754B-4B37-939C-8D9269119595}">
      <text>
        <t>[Threaded comment]
Your version of Excel allows you to read this threaded comment; however, any edits to it will get removed if the file is opened in a newer version of Excel. Learn more: https://go.microsoft.com/fwlink/?linkid=870924
Comment:
    Ugandan Based + Benefits</t>
      </text>
    </comment>
    <comment ref="D41" authorId="1" shapeId="0" xr:uid="{8FCC8302-B9F8-4A4D-8C9F-0582C1143DA3}">
      <text>
        <t>[Threaded comment]
Your version of Excel allows you to read this threaded comment; however, any edits to it will get removed if the file is opened in a newer version of Excel. Learn more: https://go.microsoft.com/fwlink/?linkid=870924
Comment:
    Based out of the US</t>
      </text>
    </comment>
    <comment ref="F50" authorId="2" shapeId="0" xr:uid="{0B51998E-22CA-4858-A8E4-E5F69ED8A360}">
      <text>
        <t>[Threaded comment]
Your version of Excel allows you to read this threaded comment; however, any edits to it will get removed if the file is opened in a newer version of Excel. Learn more: https://go.microsoft.com/fwlink/?linkid=870924
Comment:
    Assume a ~22 District = 1 Country, 100 districts = 5 countries</t>
      </text>
    </comment>
    <comment ref="D51" authorId="3" shapeId="0" xr:uid="{5AD03BD0-9F7A-4C2C-A70B-5EB551D92947}">
      <text>
        <t>[Threaded comment]
Your version of Excel allows you to read this threaded comment; however, any edits to it will get removed if the file is opened in a newer version of Excel. Learn more: https://go.microsoft.com/fwlink/?linkid=870924
Comment:
    Ugandan Based + Benefits</t>
      </text>
    </comment>
    <comment ref="D52" authorId="4" shapeId="0" xr:uid="{C574399A-E95B-4A94-B193-64FD82D82AEC}">
      <text>
        <t>[Threaded comment]
Your version of Excel allows you to read this threaded comment; however, any edits to it will get removed if the file is opened in a newer version of Excel. Learn more: https://go.microsoft.com/fwlink/?linkid=870924
Comment:
    Based out of the US</t>
      </text>
    </comment>
    <comment ref="N52" authorId="5" shapeId="0" xr:uid="{64806DD1-4BF1-40D6-ACA9-AA372D5F40CD}">
      <text>
        <t>[Threaded comment]
Your version of Excel allows you to read this threaded comment; however, any edits to it will get removed if the file is opened in a newer version of Excel. Learn more: https://go.microsoft.com/fwlink/?linkid=870924
Comment:
    @Aryaman Shodhan 
Reply:
    Add your notes here in a table, 2 different models</t>
      </text>
    </comment>
    <comment ref="I53" authorId="6" shapeId="0" xr:uid="{C6ECC8C9-171C-475B-88BF-DFE55E0B16B5}">
      <text>
        <t>[Threaded comment]
Your version of Excel allows you to read this threaded comment; however, any edits to it will get removed if the file is opened in a newer version of Excel. Learn more: https://go.microsoft.com/fwlink/?linkid=870924
Comment:
    Can this price be cut in half somehow? My suggestion is that for example, in the district surveillance costs, Dr. Maiteki / Opigo, Phillip Waiswa IT, Mbaka, no senior leadership get paid is on the routine budget
Reply:
    Or for example Alex's salary / FTE is not present, therefore, can some of these costs be allocated to the "system" instead at the district
This analysis is comparing district to district, and not considering country level system adoption</t>
      </text>
    </comment>
  </commentList>
</comments>
</file>

<file path=xl/sharedStrings.xml><?xml version="1.0" encoding="utf-8"?>
<sst xmlns="http://schemas.openxmlformats.org/spreadsheetml/2006/main" count="1199" uniqueCount="547">
  <si>
    <t>READ ME FIRST!!! SUMMARY</t>
  </si>
  <si>
    <t>White tabs are the models, should not be changed</t>
  </si>
  <si>
    <t>Green tabs are the ones you should modify</t>
  </si>
  <si>
    <t>DESCRIPTION OF COST-UNIT ANALYSIS</t>
  </si>
  <si>
    <t>Cost- per District (unit)</t>
  </si>
  <si>
    <t>We will do a cost comparison between routine surveillance activities at the district level and three different models where VectorCam is implemented within three different scenarios (Model 1, Model 2, Model 3)</t>
  </si>
  <si>
    <t xml:space="preserve">Routine Surveillance </t>
  </si>
  <si>
    <t>Those are current activities the routine surveillance districts are doing. The  personnel, transportation and supplies reflect the status quo of routine surveillance activities in two districs in Uganda</t>
  </si>
  <si>
    <t xml:space="preserve">Personnel </t>
  </si>
  <si>
    <t xml:space="preserve"> 2 VCOs 5 days/district, 
12  VHTs / 3 days district (2 per village, 6 villages), 
1 Biostatistician / 8 days district, 
3 Health Assistant / 5 days / district </t>
  </si>
  <si>
    <t>Transportation</t>
  </si>
  <si>
    <t xml:space="preserve"> 2 VCO/5 days, 3 Health Assistants/ 3 days</t>
  </si>
  <si>
    <t>Supplies</t>
  </si>
  <si>
    <t>Surveillance Supplies</t>
  </si>
  <si>
    <t>Routine Surveillance-Specific Supplies</t>
  </si>
  <si>
    <t>Microscope</t>
  </si>
  <si>
    <t>PCR</t>
  </si>
  <si>
    <t>Model 1 VectorCam (no VCO supervision)</t>
  </si>
  <si>
    <t>Task shifting with no VCO supervision</t>
  </si>
  <si>
    <t>VHTs 3 days/month, VectorCam tech support 5 days/month</t>
  </si>
  <si>
    <t>None</t>
  </si>
  <si>
    <t>VectorCam-Specific Supplies</t>
  </si>
  <si>
    <t xml:space="preserve">Model 2  VectorCam (quaterly surpevision) </t>
  </si>
  <si>
    <t xml:space="preserve">Task shifting with quarterly VCO supervision and transportation </t>
  </si>
  <si>
    <t>12 VHTs 3 days / month, 2 VCOs/4 months/year, 1 VectorCam tech support 5 days/month</t>
  </si>
  <si>
    <t>2 VCOs /3 days/4months</t>
  </si>
  <si>
    <t>Model 3 VectorCam  (VCO Maximum supervision-No Health Assistant)</t>
  </si>
  <si>
    <t>Task shifting with monthly VCO supervision, biostatistician support, and transportation</t>
  </si>
  <si>
    <t>12 VHTs 3 days / month, 2 VCOs/3 days/month, 1 VectorCam tech support 5 days/month, 1 Biostatistician/8 days a month</t>
  </si>
  <si>
    <t>2 VCOs /3 days/months</t>
  </si>
  <si>
    <t>Routine</t>
  </si>
  <si>
    <t>VectorCam</t>
  </si>
  <si>
    <t>Routine Uganda Surveillance</t>
  </si>
  <si>
    <t>Model 1</t>
  </si>
  <si>
    <t>Model 2</t>
  </si>
  <si>
    <t>Model 3</t>
  </si>
  <si>
    <t>Per-District Costs</t>
  </si>
  <si>
    <t>Monthly USD</t>
  </si>
  <si>
    <t>Annual USD</t>
  </si>
  <si>
    <t>Monthly UGX</t>
  </si>
  <si>
    <t>Annual UGX</t>
  </si>
  <si>
    <t>Personnel</t>
  </si>
  <si>
    <t>Transport</t>
  </si>
  <si>
    <t>Total</t>
  </si>
  <si>
    <t>VectorCam Savings</t>
  </si>
  <si>
    <t>VCO reports to senior-level supervisor</t>
  </si>
  <si>
    <t>explain more the Model 3 -&gt; Model 2 -&gt; Model 1 pipeline</t>
  </si>
  <si>
    <t>device as a unit as well (vectorcam service fee should be per device)</t>
  </si>
  <si>
    <t xml:space="preserve">Figure 1: Framework of Surveillance Activities (also displays roles of personnel) </t>
  </si>
  <si>
    <t xml:space="preserve">Table 1: Personnel </t>
  </si>
  <si>
    <t>Personnel per district (average days per month)</t>
  </si>
  <si>
    <t>Routine Surveillance</t>
  </si>
  <si>
    <t>VCO</t>
  </si>
  <si>
    <t>VHT</t>
  </si>
  <si>
    <t>Biostatistician</t>
  </si>
  <si>
    <t>Health Assistant</t>
  </si>
  <si>
    <t>Monthly Identification</t>
  </si>
  <si>
    <t>No supervision</t>
  </si>
  <si>
    <t>Quarterly Supervision</t>
  </si>
  <si>
    <t>Monthly supervision</t>
  </si>
  <si>
    <t xml:space="preserve">Control Arm </t>
  </si>
  <si>
    <t>Personnel per District</t>
  </si>
  <si>
    <t>Average Days per Month</t>
  </si>
  <si>
    <t>columns: models</t>
  </si>
  <si>
    <t>VectorCam Model 1</t>
  </si>
  <si>
    <t>VectorCam Model 2</t>
  </si>
  <si>
    <t>VCO (quarterly)</t>
  </si>
  <si>
    <t>VectorCam Model 3</t>
  </si>
  <si>
    <t>VCO (monthly)</t>
  </si>
  <si>
    <t>Table 2: Results</t>
  </si>
  <si>
    <t>Annual Costs</t>
  </si>
  <si>
    <t>Figure 4</t>
  </si>
  <si>
    <t>Divide by 6 because we had 6 phones</t>
  </si>
  <si>
    <t>Cost Offsets with Complete task-shifting</t>
  </si>
  <si>
    <t>Per-Device Annual Cost</t>
  </si>
  <si>
    <t>Pay</t>
  </si>
  <si>
    <t>Phone</t>
  </si>
  <si>
    <t>VectorCam Device, Assembly, Transport</t>
  </si>
  <si>
    <t>Power Bank</t>
  </si>
  <si>
    <t xml:space="preserve">Health Assistant </t>
  </si>
  <si>
    <t>Data Phone Plan</t>
  </si>
  <si>
    <t>VectorCam Service fee</t>
  </si>
  <si>
    <t>Cloud Server and Storage</t>
  </si>
  <si>
    <t>Perforating Sheets</t>
  </si>
  <si>
    <t>Cost Category</t>
  </si>
  <si>
    <t>Item</t>
  </si>
  <si>
    <t>Annual Cost Per Device (USD)</t>
  </si>
  <si>
    <t>No phone/No Power bank</t>
  </si>
  <si>
    <t>1 VHT / Device</t>
  </si>
  <si>
    <t>1 VHT / Device, No phone, No power Bank</t>
  </si>
  <si>
    <t>Cost Offset by VectorCam</t>
  </si>
  <si>
    <t>VCO (Personnel)</t>
  </si>
  <si>
    <t>VCO (Transportation)</t>
  </si>
  <si>
    <t>Health Assistant (Personnel)</t>
  </si>
  <si>
    <t>Health Assistant (Transport)</t>
  </si>
  <si>
    <t xml:space="preserve">Surveillance Questionnaire </t>
  </si>
  <si>
    <t>Laboratory Microscope</t>
  </si>
  <si>
    <t>Permanent Markers</t>
  </si>
  <si>
    <t>1 VHT (Personnel)</t>
  </si>
  <si>
    <t>-</t>
  </si>
  <si>
    <t>Total Cost Offset</t>
  </si>
  <si>
    <t>VectorCam Device Costs</t>
  </si>
  <si>
    <t>VectorCam Hardware</t>
  </si>
  <si>
    <t>VectorCam Device Cost</t>
  </si>
  <si>
    <t>Net Annual Savings Per Device</t>
  </si>
  <si>
    <t>VHT-related costs and general consumable supplies were not included in the cost offset analysis, as these are recurrent costs present in both the intervention and control arms and therefore do not contribute to incremental cost differences</t>
  </si>
  <si>
    <t>Surveillance Models</t>
  </si>
  <si>
    <t>Total Cost, Combined PSC and CDC light trap</t>
  </si>
  <si>
    <t>Percent Saving</t>
  </si>
  <si>
    <t>Total Cost, CDC light trap only</t>
  </si>
  <si>
    <t>VectorCam Supplies</t>
  </si>
  <si>
    <t>Routine Supplies</t>
  </si>
  <si>
    <t>General Surveillance Supplies</t>
  </si>
  <si>
    <t>CDC Light Traps</t>
  </si>
  <si>
    <t>Pyrethrum aerosol spray</t>
  </si>
  <si>
    <t>Other supplies</t>
  </si>
  <si>
    <t>Units/ district</t>
  </si>
  <si>
    <t>Recurrent Payment</t>
  </si>
  <si>
    <t>Annual Cost (USD)</t>
  </si>
  <si>
    <t xml:space="preserve">Entomological Surveillance Questionnaire </t>
  </si>
  <si>
    <t>Monthly</t>
  </si>
  <si>
    <t>Permanent Markers Fine Tip</t>
  </si>
  <si>
    <t>Quarterly</t>
  </si>
  <si>
    <t>Every 10 years</t>
  </si>
  <si>
    <t>VectorCam™ Intervention</t>
  </si>
  <si>
    <t>Perforating sheets</t>
  </si>
  <si>
    <t>Every 3 years</t>
  </si>
  <si>
    <t>VectorCam™ hardware</t>
  </si>
  <si>
    <t>Every 5 years</t>
  </si>
  <si>
    <t>Power banks</t>
  </si>
  <si>
    <t>Data phone plan (internet)</t>
  </si>
  <si>
    <t>VectorCam™ service fee</t>
  </si>
  <si>
    <t>Mosquito Collection</t>
  </si>
  <si>
    <t xml:space="preserve">KN95 Masks (1), Eppendorf Tubes (2), Silica Gel (3) </t>
  </si>
  <si>
    <t>*</t>
  </si>
  <si>
    <t xml:space="preserve">Monthly </t>
  </si>
  <si>
    <t>Petri Dish (6), Cotton Wool (3), Masking Tape (3), Small/Medium/Large Zip-Close Bags (3), Ethanol (6), Filter Papers (4), Markers (2)</t>
  </si>
  <si>
    <t>Flashlights (6), Batteries (24), Ground Sheets (60), Forceps (30), Hand Lenses (6), Plastic Storage Container (6)</t>
  </si>
  <si>
    <t>Bi-Annual</t>
  </si>
  <si>
    <t xml:space="preserve">CDC Light Traps </t>
  </si>
  <si>
    <t>Total Supplies Routine Surveillance</t>
  </si>
  <si>
    <t>Total Supplies VectorCam</t>
  </si>
  <si>
    <t>Difference Routine Surveillance-VectorCam Supplies</t>
  </si>
  <si>
    <t>Sensitivity Analysis of CDC light traps only!</t>
  </si>
  <si>
    <t>Exclusion!</t>
  </si>
  <si>
    <t xml:space="preserve">Eppendorf Tubes (2), Silica Gel (3) </t>
  </si>
  <si>
    <t>KN95 Masks (1)</t>
  </si>
  <si>
    <t>Flashlights (6), Batteries (24), Forceps (30), Hand Lenses (6), Plastic Storage Container (6)</t>
  </si>
  <si>
    <t>Ground Sheets (60)</t>
  </si>
  <si>
    <t>Materials</t>
  </si>
  <si>
    <t>Combine Model, PSC and CDC light trap cost (USD)</t>
  </si>
  <si>
    <t xml:space="preserve">CDC light traps model cost (USD) </t>
  </si>
  <si>
    <t xml:space="preserve">KN95 Masks (1)*, Eppendorf Tubes (2), Silica Gel (3) </t>
  </si>
  <si>
    <t>Flashlights (6), Batteries (24), Ground Sheets (60)*, Forceps (30), Hand Lenses (6), Plastic Storage Container (6)</t>
  </si>
  <si>
    <t>CDC Light Traps (15)</t>
  </si>
  <si>
    <t>Pyrethrum aerosol spray (36)</t>
  </si>
  <si>
    <t>Mosquito Collection Supplies</t>
  </si>
  <si>
    <t>* Supplies unique to PSC</t>
  </si>
  <si>
    <t>CDC light traps</t>
  </si>
  <si>
    <t>Mosquito Collection supplies</t>
  </si>
  <si>
    <t>PSC</t>
  </si>
  <si>
    <t>LTC</t>
  </si>
  <si>
    <t>Other Supplies</t>
  </si>
  <si>
    <t>SUPPLIES</t>
  </si>
  <si>
    <t>Ugandan Shillings</t>
  </si>
  <si>
    <t>USA Dollars</t>
  </si>
  <si>
    <t>CONTROL ARM- Routine</t>
  </si>
  <si>
    <t>Unit/
District</t>
  </si>
  <si>
    <t>Cost/Unit</t>
  </si>
  <si>
    <t xml:space="preserve">Monthly 
1 district </t>
  </si>
  <si>
    <t xml:space="preserve">Annual
1 districts </t>
  </si>
  <si>
    <t xml:space="preserve">Annual
1 district </t>
  </si>
  <si>
    <t>Questionnaire has 2 pages, 6 questionnaires</t>
  </si>
  <si>
    <t>Districts  or (bi-anual)</t>
  </si>
  <si>
    <t>2 Box of 10 (every quarter)</t>
  </si>
  <si>
    <t>Permanent Markers Fine tip</t>
  </si>
  <si>
    <t>Conversion</t>
  </si>
  <si>
    <t>2 microscopes/district</t>
  </si>
  <si>
    <t>Quarterly expenditure by month</t>
  </si>
  <si>
    <t>Annual expenditure by month</t>
  </si>
  <si>
    <t>Total including Common Supplies</t>
  </si>
  <si>
    <t>Bi- Annual expenditure by month</t>
  </si>
  <si>
    <t>Assumptions</t>
  </si>
  <si>
    <t>12 VHTs per district they will cover 60 houses</t>
  </si>
  <si>
    <t>5 years depreciation by month</t>
  </si>
  <si>
    <t>5 years depreciation</t>
  </si>
  <si>
    <t>STUDY ARM-VectorCam</t>
  </si>
  <si>
    <t xml:space="preserve"> </t>
  </si>
  <si>
    <t xml:space="preserve">Every quarter </t>
  </si>
  <si>
    <t>Perforating sheets 4 booklets</t>
  </si>
  <si>
    <t xml:space="preserve"> 18.5 Error quarterly</t>
  </si>
  <si>
    <t>Depreciation 3 years</t>
  </si>
  <si>
    <t>Depreciation 5 years</t>
  </si>
  <si>
    <t>VectorCam Device (assembly and transportation included)</t>
  </si>
  <si>
    <t>32 Used Lwera manufacturing numbers</t>
  </si>
  <si>
    <t>Power Banks</t>
  </si>
  <si>
    <t>Data Phone Plan (internet)</t>
  </si>
  <si>
    <t>30 Used  digital Ocean</t>
  </si>
  <si>
    <t>VectorCam Service Fee</t>
  </si>
  <si>
    <t>Maintenance and tech team support</t>
  </si>
  <si>
    <t>based USA FTE Verify with Acharya</t>
  </si>
  <si>
    <t>3D printing in Uganda and assembly there</t>
  </si>
  <si>
    <t>General Surveillance Supplies (common -both arms)</t>
  </si>
  <si>
    <t>General Supplies without trapping mechanisms</t>
  </si>
  <si>
    <t>5 years CDC light traps</t>
  </si>
  <si>
    <t>PSC Expenditure Monthly</t>
  </si>
  <si>
    <t>Trapping Mechanisms</t>
  </si>
  <si>
    <t>Total General Surveillance Supplies</t>
  </si>
  <si>
    <t>Surveillance Material Detail</t>
  </si>
  <si>
    <t>Monthly supplies</t>
  </si>
  <si>
    <t>12 cans/ side, there's 3 sides</t>
  </si>
  <si>
    <t>Kill it (insecticide) tins (12 cans/site)</t>
  </si>
  <si>
    <t>1 per VHTs, total 12 VHTS</t>
  </si>
  <si>
    <t>KN95 Mouth masks (box of 20)</t>
  </si>
  <si>
    <t>minimum 1000/district/month</t>
  </si>
  <si>
    <t>Eppendorf tubes (packets) a packet of 500</t>
  </si>
  <si>
    <t>1 bottle/sentinel/month</t>
  </si>
  <si>
    <t>Silica gel (500g bottles)</t>
  </si>
  <si>
    <t xml:space="preserve">Monthly Subtotal </t>
  </si>
  <si>
    <t>Every Quarter</t>
  </si>
  <si>
    <t>Quarterly  
1 district</t>
  </si>
  <si>
    <t>Quarterly 
1 district</t>
  </si>
  <si>
    <t>Each house 1 petri dish, total houses district 60</t>
  </si>
  <si>
    <t>Petri dishes (A pack of 12)</t>
  </si>
  <si>
    <t>1 per sentinel</t>
  </si>
  <si>
    <t>Cotton wool (rolls)</t>
  </si>
  <si>
    <t>Masking tapes (rolls)</t>
  </si>
  <si>
    <t>Marker pens (pcs) (dozens)</t>
  </si>
  <si>
    <t>each house has a bag</t>
  </si>
  <si>
    <t>Zip log bag small (4x 6 cm)</t>
  </si>
  <si>
    <t>Zip log bags medium (18 x 21cm)</t>
  </si>
  <si>
    <t>Zip logs bags large (30 x 40 cm)</t>
  </si>
  <si>
    <t>1 bottle every 2 months</t>
  </si>
  <si>
    <t>Ethanol</t>
  </si>
  <si>
    <t>Filter papers (100/ boxes)</t>
  </si>
  <si>
    <t xml:space="preserve">Quarter Subtotal </t>
  </si>
  <si>
    <t xml:space="preserve">Monthly expenditure  </t>
  </si>
  <si>
    <t>Bi-annual</t>
  </si>
  <si>
    <t>Bi-annual
1 district</t>
  </si>
  <si>
    <t>Annual
1 district</t>
  </si>
  <si>
    <t>2/torches</t>
  </si>
  <si>
    <t>Batteries Size D (pairs)</t>
  </si>
  <si>
    <t>60 per district</t>
  </si>
  <si>
    <t>Ground sheets (pcs) (2 rolls, 32 yards)</t>
  </si>
  <si>
    <t>one for each VHT, total 12</t>
  </si>
  <si>
    <t xml:space="preserve">Forceps </t>
  </si>
  <si>
    <t>one per pair, 6 per district</t>
  </si>
  <si>
    <t>Torches (night light)</t>
  </si>
  <si>
    <t xml:space="preserve">Hand lens </t>
  </si>
  <si>
    <t>(2 boxes/sentinel</t>
  </si>
  <si>
    <t>Specimen/Storage container (Plastic)-White Plastic Bucket</t>
  </si>
  <si>
    <t xml:space="preserve">Bi-Annual Subtotal </t>
  </si>
  <si>
    <t>Monthly expenditure (divided by 12 because I am applying to the annual)</t>
  </si>
  <si>
    <t>monthly</t>
  </si>
  <si>
    <t>5 years per
1 district</t>
  </si>
  <si>
    <t>CDC light trap (6VDC)</t>
  </si>
  <si>
    <t>5 traps per village, total 15 per district. Battery is included form the trap</t>
  </si>
  <si>
    <t xml:space="preserve">5 years Subtotal </t>
  </si>
  <si>
    <t>Monhtly Expenditure</t>
  </si>
  <si>
    <t>12 cans/ side, there's 3 sides in 1 district</t>
  </si>
  <si>
    <t>Pyrethrum aerosol spray, (12 cans/site)</t>
  </si>
  <si>
    <t>I used the single unit rate 17900, the pack of 24 is 21000</t>
  </si>
  <si>
    <t>WE had before 35000</t>
  </si>
  <si>
    <t xml:space="preserve">This volumes are based on 60 houses, just one arm per sentinel site. </t>
  </si>
  <si>
    <t>Category</t>
  </si>
  <si>
    <t>Conversion Rate (2/12/25)</t>
  </si>
  <si>
    <t>USD / day / district</t>
  </si>
  <si>
    <t>UGX/day/person</t>
  </si>
  <si>
    <t>VCO Transportation</t>
  </si>
  <si>
    <t xml:space="preserve">VectorCam Technical Support </t>
  </si>
  <si>
    <t>VectorCam tech 1 person/district</t>
  </si>
  <si>
    <t>Health Assistant Transportation</t>
  </si>
  <si>
    <t>This person will take care of 3 villages</t>
  </si>
  <si>
    <t>5 days per month, 1 day before activities, 3 days for field, 1 extra day for finalize uploads</t>
  </si>
  <si>
    <t>VectorCam technical support</t>
  </si>
  <si>
    <t>VectorCam Technical support other calculations</t>
  </si>
  <si>
    <t>Total months/year</t>
  </si>
  <si>
    <t>Total districts</t>
  </si>
  <si>
    <t>Conversion Rate</t>
  </si>
  <si>
    <t>Total Hours full time (1FTE)</t>
  </si>
  <si>
    <t>Weeks in 1 year</t>
  </si>
  <si>
    <t>Hours in 1 Week</t>
  </si>
  <si>
    <t>Hours technician/district</t>
  </si>
  <si>
    <t>Hourly technician</t>
  </si>
  <si>
    <t>VectorCam African based technical support</t>
  </si>
  <si>
    <t>Daily</t>
  </si>
  <si>
    <t>Salary Annually</t>
  </si>
  <si>
    <t>Weekly</t>
  </si>
  <si>
    <t>Montly</t>
  </si>
  <si>
    <t>Total districts/technician</t>
  </si>
  <si>
    <t>Per unit depreciated</t>
  </si>
  <si>
    <t>Material</t>
  </si>
  <si>
    <t>Depreciation</t>
  </si>
  <si>
    <t>USA $ Price</t>
  </si>
  <si>
    <t>UGX</t>
  </si>
  <si>
    <t>USD/Month</t>
  </si>
  <si>
    <t>USD/year</t>
  </si>
  <si>
    <t>Monthly Depreciation</t>
  </si>
  <si>
    <t xml:space="preserve">Annual Depreciation </t>
  </si>
  <si>
    <t>Districts</t>
  </si>
  <si>
    <t>CDC light traps (Battery+trap)</t>
  </si>
  <si>
    <t xml:space="preserve">Phone </t>
  </si>
  <si>
    <t>Phone Was $94, there less costs</t>
  </si>
  <si>
    <t>VectorCam Device, Assembly and Transportation</t>
  </si>
  <si>
    <t xml:space="preserve">Power bank utility: https://saluddigital.com/wp-content/uploads/2019/06/WHO.-Monitoring-and-Evaluating-Digital-Health-Interventions.pdf </t>
  </si>
  <si>
    <t>https://www.ispor.org/heor-resources/presentations-database/presentation-cti/ispor-2025/poster-session-2/tailoring-generalized-cost-effectiveness-analysis-gcea-to-the-u-s-setting-the-importance-of-using-the-right-prices#:~:text=The%20Generalized%20CEA%20(GCEA)%20framework%2C,value%20estimates%20via%20price%20changes.</t>
  </si>
  <si>
    <t>VectorCam Cost 1 district</t>
  </si>
  <si>
    <t>Depreciation (Years)</t>
  </si>
  <si>
    <t>Units</t>
  </si>
  <si>
    <t>Cost/item</t>
  </si>
  <si>
    <t>USD / month</t>
  </si>
  <si>
    <t>USD / year</t>
  </si>
  <si>
    <t>UGX / month</t>
  </si>
  <si>
    <t>UGX / year</t>
  </si>
  <si>
    <t>Perforating Sheets (4 per year)</t>
  </si>
  <si>
    <t>Phones</t>
  </si>
  <si>
    <t>Monthly per district</t>
  </si>
  <si>
    <t>* Assumes VectorCam device is sold to district at 2 times cost to manufacture + assemble</t>
  </si>
  <si>
    <t>Total Cost VectorCam Assembly</t>
  </si>
  <si>
    <t>Total Items</t>
  </si>
  <si>
    <t>Total Cost Manufacturing and transport</t>
  </si>
  <si>
    <t>VectorCam Service Fee and Cloud Service</t>
  </si>
  <si>
    <t>This platform is supposed to support 132 devices in a whole country</t>
  </si>
  <si>
    <t>22 Districts, 6 devices per district</t>
  </si>
  <si>
    <t>Total districs personnel</t>
  </si>
  <si>
    <t>Phones/district</t>
  </si>
  <si>
    <t>Cloud Service and Platform</t>
  </si>
  <si>
    <t>Annually total</t>
  </si>
  <si>
    <t>Notes</t>
  </si>
  <si>
    <t>total phones</t>
  </si>
  <si>
    <t>Digital Ocean Database storage</t>
  </si>
  <si>
    <t>mosquito-api-1724847782377- Monthly</t>
  </si>
  <si>
    <t>1 image</t>
  </si>
  <si>
    <t>MB</t>
  </si>
  <si>
    <t>Tech Stack front-end</t>
  </si>
  <si>
    <t>Java mobile App</t>
  </si>
  <si>
    <t>open source</t>
  </si>
  <si>
    <t>1 MB</t>
  </si>
  <si>
    <t>Tech Stack back-end</t>
  </si>
  <si>
    <t>Java API</t>
  </si>
  <si>
    <t>Block Storage</t>
  </si>
  <si>
    <t>Monhtly</t>
  </si>
  <si>
    <t>Additional block storage for 22 districts, 1.3TB</t>
  </si>
  <si>
    <t>Dropplet Snapshot</t>
  </si>
  <si>
    <t>VectorCam Cloud</t>
  </si>
  <si>
    <t>Tota Cost cloud server and storage</t>
  </si>
  <si>
    <t>Tech Support monthly per district</t>
  </si>
  <si>
    <t>Total VectorCam Service Fee and Cloud Service</t>
  </si>
  <si>
    <t>System integration to 22 districts</t>
  </si>
  <si>
    <t>Total Disk</t>
  </si>
  <si>
    <t>Per district</t>
  </si>
  <si>
    <t>Current Disk storage with 2 districts</t>
  </si>
  <si>
    <t>Disk storage</t>
  </si>
  <si>
    <t>usage per 2 districts</t>
  </si>
  <si>
    <t>GB</t>
  </si>
  <si>
    <t>Disk storage needs</t>
  </si>
  <si>
    <t>per 1 districts</t>
  </si>
  <si>
    <t>MB accessible per district</t>
  </si>
  <si>
    <t>images</t>
  </si>
  <si>
    <t>Images</t>
  </si>
  <si>
    <t>Total Number Images per district</t>
  </si>
  <si>
    <t>1 image  2 MB</t>
  </si>
  <si>
    <t>2 MB</t>
  </si>
  <si>
    <t>Total Number of GB per 22 districts</t>
  </si>
  <si>
    <t xml:space="preserve">1 GB </t>
  </si>
  <si>
    <t>MB 1024</t>
  </si>
  <si>
    <t>Total Number of TB for 22 districts</t>
  </si>
  <si>
    <t>TB</t>
  </si>
  <si>
    <t>Total Number Images per district!!!!</t>
  </si>
  <si>
    <t xml:space="preserve">Cost block storage </t>
  </si>
  <si>
    <t>for 1.3 TB/monthly</t>
  </si>
  <si>
    <t>Total Number GB per 22 districts</t>
  </si>
  <si>
    <t>Total Images collected in trial</t>
  </si>
  <si>
    <t>2 districts</t>
  </si>
  <si>
    <t>Cost/Unit Annually</t>
  </si>
  <si>
    <t>FTE</t>
  </si>
  <si>
    <t>Technical Support</t>
  </si>
  <si>
    <t>Will support 200 districts</t>
  </si>
  <si>
    <t>Technical Lead (SWE)</t>
  </si>
  <si>
    <t>Will support 100 districts</t>
  </si>
  <si>
    <t>Model 1 - Typical Saas Model (Lean, Assuming Data at DHIS2, MOH, Assumes Product at Steady State)</t>
  </si>
  <si>
    <t>Personel</t>
  </si>
  <si>
    <t>Description of Responsibilites</t>
  </si>
  <si>
    <t>Cost Annually</t>
  </si>
  <si>
    <t>Cost Monthly</t>
  </si>
  <si>
    <t>Oversees (how many districts)</t>
  </si>
  <si>
    <t>FTE for Oversight</t>
  </si>
  <si>
    <t>FTE (per district)</t>
  </si>
  <si>
    <t>Cost / District</t>
  </si>
  <si>
    <t>Routine VCO Model</t>
  </si>
  <si>
    <t>VectorCam Digital Ocean</t>
  </si>
  <si>
    <t>VectorCam VHT Model (AWS server)</t>
  </si>
  <si>
    <r>
      <rPr>
        <b/>
        <sz val="11"/>
        <color rgb="FF000000"/>
        <rFont val="Aptos Narrow"/>
        <scheme val="minor"/>
      </rPr>
      <t xml:space="preserve">Tier 1 &amp; 2 Support
</t>
    </r>
    <r>
      <rPr>
        <sz val="11"/>
        <color rgb="FF000000"/>
        <rFont val="Aptos Narrow"/>
        <scheme val="minor"/>
      </rPr>
      <t xml:space="preserve">Respond to VHTs, district staff, and supervisors via WhatsApp/email/support portal
Solve common issues (login failures, sync errors, image upload issues)
</t>
    </r>
    <r>
      <rPr>
        <b/>
        <sz val="11"/>
        <color rgb="FF000000"/>
        <rFont val="Aptos Narrow"/>
        <scheme val="minor"/>
      </rPr>
      <t xml:space="preserve">Ticket Management
</t>
    </r>
    <r>
      <rPr>
        <sz val="11"/>
        <color rgb="FF000000"/>
        <rFont val="Aptos Narrow"/>
        <scheme val="minor"/>
      </rPr>
      <t xml:space="preserve">Log, triage, and escalate technical issues to the Technical Oversight Lead
Maintain a support dashboard or ticket tracker (e.g., Google Sheets, Trello, GitHub)
</t>
    </r>
    <r>
      <rPr>
        <b/>
        <sz val="11"/>
        <color rgb="FF000000"/>
        <rFont val="Aptos Narrow"/>
        <scheme val="minor"/>
      </rPr>
      <t xml:space="preserve">Knowledge Base Management
</t>
    </r>
    <r>
      <rPr>
        <sz val="11"/>
        <color rgb="FF000000"/>
        <rFont val="Aptos Narrow"/>
        <scheme val="minor"/>
      </rPr>
      <t xml:space="preserve">Maintain user guides, FAQs, quick reference visuals, and training videos
</t>
    </r>
    <r>
      <rPr>
        <b/>
        <sz val="11"/>
        <color rgb="FF000000"/>
        <rFont val="Aptos Narrow"/>
        <scheme val="minor"/>
      </rPr>
      <t xml:space="preserve">System Monitoring
</t>
    </r>
    <r>
      <rPr>
        <sz val="11"/>
        <color rgb="FF000000"/>
        <rFont val="Aptos Narrow"/>
        <scheme val="minor"/>
      </rPr>
      <t xml:space="preserve">Check if images are syncing, DHIS2 pipelines are operational, and VHT usage is consistent
</t>
    </r>
    <r>
      <rPr>
        <b/>
        <sz val="11"/>
        <color rgb="FF000000"/>
        <rFont val="Aptos Narrow"/>
        <scheme val="minor"/>
      </rPr>
      <t xml:space="preserve">User Feedback &amp; Patterns
</t>
    </r>
    <r>
      <rPr>
        <sz val="11"/>
        <color rgb="FF000000"/>
        <rFont val="Aptos Narrow"/>
        <scheme val="minor"/>
      </rPr>
      <t>Summarize user frustrations and suggest feature improvements</t>
    </r>
  </si>
  <si>
    <t>Central Tech Support (shared)</t>
  </si>
  <si>
    <t>—</t>
  </si>
  <si>
    <r>
      <rPr>
        <b/>
        <sz val="11"/>
        <color rgb="FF000000"/>
        <rFont val="Aptos Narrow"/>
        <scheme val="minor"/>
      </rPr>
      <t xml:space="preserve">Bug Fixes &amp; Patches (Tier 3 Support)
</t>
    </r>
    <r>
      <rPr>
        <sz val="11"/>
        <color rgb="FF000000"/>
        <rFont val="Aptos Narrow"/>
        <scheme val="minor"/>
      </rPr>
      <t xml:space="preserve">Reproduce, debug, and fix software issues identified in the field
Resolve syncing failures, storage issues, or crashes in the mobile app
Release patches or hotfixes with minimal disruption
</t>
    </r>
    <r>
      <rPr>
        <b/>
        <sz val="11"/>
        <color rgb="FF000000"/>
        <rFont val="Aptos Narrow"/>
        <scheme val="minor"/>
      </rPr>
      <t xml:space="preserve">Codebase Oversight
</t>
    </r>
    <r>
      <rPr>
        <sz val="11"/>
        <color rgb="FF000000"/>
        <rFont val="Aptos Narrow"/>
        <scheme val="minor"/>
      </rPr>
      <t xml:space="preserve">Maintain GitHub hygiene (issues, branches, merges, versioning)
Work with CTO or external developers to plan and deploy stable builds
</t>
    </r>
    <r>
      <rPr>
        <b/>
        <sz val="11"/>
        <color rgb="FF000000"/>
        <rFont val="Aptos Narrow"/>
        <scheme val="minor"/>
      </rPr>
      <t xml:space="preserve">Data Pipeline Monitoring
</t>
    </r>
    <r>
      <rPr>
        <sz val="11"/>
        <color rgb="FF000000"/>
        <rFont val="Aptos Narrow"/>
        <scheme val="minor"/>
      </rPr>
      <t xml:space="preserve">Ensure DHIS2 data transfer pipelines work correctly and troubleshoot when they don’t
Run lightweight scripts or tests to validate data completeness/accuracy
</t>
    </r>
    <r>
      <rPr>
        <b/>
        <sz val="11"/>
        <color rgb="FF000000"/>
        <rFont val="Aptos Narrow"/>
        <scheme val="minor"/>
      </rPr>
      <t xml:space="preserve">Performance Optimization
</t>
    </r>
    <r>
      <rPr>
        <sz val="11"/>
        <color rgb="FF000000"/>
        <rFont val="Aptos Narrow"/>
        <scheme val="minor"/>
      </rPr>
      <t xml:space="preserve">Optimize app performance on low-end devices
Propose changes to improve load times, reduce crash frequency, or improve image processing speeds
</t>
    </r>
    <r>
      <rPr>
        <b/>
        <sz val="11"/>
        <color rgb="FF000000"/>
        <rFont val="Aptos Narrow"/>
        <scheme val="minor"/>
      </rPr>
      <t xml:space="preserve">Technical Documentation
</t>
    </r>
    <r>
      <rPr>
        <sz val="11"/>
        <color rgb="FF000000"/>
        <rFont val="Aptos Narrow"/>
        <scheme val="minor"/>
      </rPr>
      <t>Write internal engineering docs: bug reports, root cause analysis, release notes</t>
    </r>
  </si>
  <si>
    <t>VectorCam Server Fee</t>
  </si>
  <si>
    <t>Total:</t>
  </si>
  <si>
    <t>Total (Monthly)</t>
  </si>
  <si>
    <t>Before!!!</t>
  </si>
  <si>
    <t>Cloud Storage (per 2 districts)</t>
  </si>
  <si>
    <t xml:space="preserve">Routine Uganda Surveillance </t>
  </si>
  <si>
    <t xml:space="preserve">Description: Current routine surveillance activities in Uganda, developed with 2 VCOs 5 days/district, 12  VHTs / 3 days district (2 per village, 6 villages), 1 Biostatistician / 8 days district, 3 Health Assistant / 5 days / district </t>
  </si>
  <si>
    <t xml:space="preserve">Year: </t>
  </si>
  <si>
    <t>Effective Life (Years)</t>
  </si>
  <si>
    <t>Units/People</t>
  </si>
  <si>
    <t>Days</t>
  </si>
  <si>
    <t>per diem (USD)</t>
  </si>
  <si>
    <t>per diem (UGX)</t>
  </si>
  <si>
    <t>UGX:</t>
  </si>
  <si>
    <t xml:space="preserve">Total Personnel </t>
  </si>
  <si>
    <t xml:space="preserve">Total Transport </t>
  </si>
  <si>
    <t>Supplies / Other</t>
  </si>
  <si>
    <t>Permanent Markers Fine Tip (2 boxes every quarter)</t>
  </si>
  <si>
    <t>General Surveillance Supplies *</t>
  </si>
  <si>
    <t>Pyrethrum Spray Catches</t>
  </si>
  <si>
    <t>Total Supplies</t>
  </si>
  <si>
    <t>PCR (600 samples / yr)</t>
  </si>
  <si>
    <t>Total Routine Surveillance (no PCR)</t>
  </si>
  <si>
    <t>Total Routine Surveillance (with PCR)</t>
  </si>
  <si>
    <t>* See "Supplies" sheet for breakdown of General Surveillance Supplies</t>
  </si>
  <si>
    <t>Summary Routine Sruveillance Costs</t>
  </si>
  <si>
    <t>Percentatge of total cost (no PCR)</t>
  </si>
  <si>
    <t>Try to find other resources for depreciation</t>
  </si>
  <si>
    <t>Total Transportation</t>
  </si>
  <si>
    <t xml:space="preserve"> Sub-Total Supplies unique routine surveillance</t>
  </si>
  <si>
    <t>Sub-General Supplies</t>
  </si>
  <si>
    <t>Model 1: Task Shifting Model</t>
  </si>
  <si>
    <t>Description: 100% task shifting to VHTs, 3 days/month, No transportation, No VCOs involved, VectorCam tech support 5 days/month, (Optional) PCR 600 samples / yr</t>
  </si>
  <si>
    <t xml:space="preserve">Effective Life (years) </t>
  </si>
  <si>
    <t>Per Diem/item (USD)</t>
  </si>
  <si>
    <t>Per Diem/item (UGX)</t>
  </si>
  <si>
    <t>Personnel:</t>
  </si>
  <si>
    <t>Feedback:</t>
  </si>
  <si>
    <t xml:space="preserve">VHTs </t>
  </si>
  <si>
    <t>Option 2: running out of surveillance supplies VCO would be the one connecting with tech support</t>
  </si>
  <si>
    <t>Keep in mind the surveillance</t>
  </si>
  <si>
    <t>No transportation</t>
  </si>
  <si>
    <t>VectorCam-specific Surveillance Supplies</t>
  </si>
  <si>
    <t>Total Model 1 (no PCR)</t>
  </si>
  <si>
    <t>Total Model 1 (with PCR)</t>
  </si>
  <si>
    <t>Summary Model 1 Sruveillance Costs</t>
  </si>
  <si>
    <t>No Suppplies VC Costs:</t>
  </si>
  <si>
    <t>No Supplies Routine Costs:</t>
  </si>
  <si>
    <t xml:space="preserve"> Sub-Total Supplies unique VectorCam</t>
  </si>
  <si>
    <t>Model 2: VCO quarterly supervision w/ transportation</t>
  </si>
  <si>
    <t>Description: VHTs 3 days / month, VCOs, VectorCam tech support 5 days/month, (Optional) PCR 600 samples / yr</t>
  </si>
  <si>
    <t>Per Diem (USD)</t>
  </si>
  <si>
    <t>Per Diem (UGX)</t>
  </si>
  <si>
    <t>Quarter:</t>
  </si>
  <si>
    <t>VCOs (4 months)</t>
  </si>
  <si>
    <t xml:space="preserve">VCOs </t>
  </si>
  <si>
    <t>Model 3: VCO monthly supervision w/ transportation &amp; Biostatistician</t>
  </si>
  <si>
    <t>VHTs</t>
  </si>
  <si>
    <t>VCOs</t>
  </si>
  <si>
    <t>Name of distaict</t>
  </si>
  <si>
    <t>SDA for 2 VCO (12000 for 5 days)</t>
  </si>
  <si>
    <t>SDA per VCO/day</t>
  </si>
  <si>
    <t>VCO Transport refund for 2 VCOs five days</t>
  </si>
  <si>
    <t>VCO transportation/day</t>
  </si>
  <si>
    <t>SDA for IVM - 12 Agents (VHTs) at 12000/day for 3 days per village for 6 villages</t>
  </si>
  <si>
    <t>SDA per VHT/day</t>
  </si>
  <si>
    <t>SDA for 3 Health Assistants at 12000/day for 5 days</t>
  </si>
  <si>
    <t>SDA Health Assistant/day</t>
  </si>
  <si>
    <t>Transport Refund for Health Assistants for 3 days</t>
  </si>
  <si>
    <t>Transport Health Assistants /day</t>
  </si>
  <si>
    <t>SDA for Biostasticians at 12000/day for 8 days</t>
  </si>
  <si>
    <t>SDA Bioestats /day</t>
  </si>
  <si>
    <t>Total cost for 1 months</t>
  </si>
  <si>
    <t>Total cost for 3 months</t>
  </si>
  <si>
    <t>Amuru</t>
  </si>
  <si>
    <t>Gulu</t>
  </si>
  <si>
    <t>Kitgum</t>
  </si>
  <si>
    <t>Lamwo</t>
  </si>
  <si>
    <t>Oyam</t>
  </si>
  <si>
    <t>Namutumba</t>
  </si>
  <si>
    <t>Bugweri</t>
  </si>
  <si>
    <t>Kaliro</t>
  </si>
  <si>
    <t>Mayuge</t>
  </si>
  <si>
    <t>Karenga</t>
  </si>
  <si>
    <t>Kotido</t>
  </si>
  <si>
    <t>Nabilatuk</t>
  </si>
  <si>
    <t>Amudat</t>
  </si>
  <si>
    <t>Moyo</t>
  </si>
  <si>
    <t>Koboko</t>
  </si>
  <si>
    <t>Adjumani</t>
  </si>
  <si>
    <t>Madi-Okollo</t>
  </si>
  <si>
    <t>Maracha</t>
  </si>
  <si>
    <t>Obongi</t>
  </si>
  <si>
    <t>Yumbe</t>
  </si>
  <si>
    <t>Terego</t>
  </si>
  <si>
    <t>Arua-periurban</t>
  </si>
  <si>
    <t>Overall Total</t>
  </si>
  <si>
    <t>Vendor name</t>
  </si>
  <si>
    <t>Vendor No.</t>
  </si>
  <si>
    <t>Product name</t>
  </si>
  <si>
    <t>Product code</t>
  </si>
  <si>
    <t>Product link</t>
  </si>
  <si>
    <t>Quantity</t>
  </si>
  <si>
    <t>Price per item</t>
  </si>
  <si>
    <t>Total price</t>
  </si>
  <si>
    <t>Budget</t>
  </si>
  <si>
    <t>Shipping address (name, address, phone no.)</t>
  </si>
  <si>
    <t>Comment</t>
  </si>
  <si>
    <t>Amazon</t>
  </si>
  <si>
    <t xml:space="preserve">Motorola Moto G Play 2021 </t>
  </si>
  <si>
    <t>https://www.amazon.com/Octa-core-Snapdragon-Unlocked-T-Mobile-XT2093-7/dp/B09SK27K2P/ref=sr_1_3?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moto+g+play+2021&amp;qid=1772474296&amp;sprefix=motorola+moto+g+play+2021%2Caps%2C199&amp;sr=8-3</t>
  </si>
  <si>
    <t>GF IO 90113937</t>
  </si>
  <si>
    <t>Santiago Sanchez, VectorCam, 3400 N Charles St, Clark Hall 208, Baltimore MD 21218</t>
  </si>
  <si>
    <t>https://www.amazon.com/Motorola-XT2093DL-Storage-Simple-Display/dp/B0F77H7R3X/ref=sr_1_4?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moto+g+play+2021&amp;qid=1772474296&amp;sprefix=motorola+moto+g+play+2021%2Caps%2C199&amp;sr=8-4</t>
  </si>
  <si>
    <t>https://www.amazon.com/Unlocked-Motorola-Moto-Play-PAL60003US/dp/B08TMTBK6G/ref=sr_1_7?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2Bmoto%2Bg%2Bplay%2B2021&amp;qid=1772474296&amp;sprefix=motorola%2Bmoto%2Bg%2Bplay%2B2021%2Caps%2C199&amp;sr=8-7&amp;th=1</t>
  </si>
  <si>
    <t>https://www.amazon.com/Octa-core-Snapdragon-Unlocked-T-Mobile-XT2093-4/dp/B09VMB6152/ref=sr_1_8?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moto+g+play+2021&amp;qid=1772474296&amp;sprefix=motorola+moto+g+play+2021%2Caps%2C199&amp;sr=8-8</t>
  </si>
  <si>
    <t>https://www.amazon.com/Motorola-Battery-Camera-Renewed-Verizon/dp/B0BQQ7NGCB/ref=sr_1_12?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2Bmoto%2Bg%2Bplay%2B2021&amp;qid=1772474296&amp;sprefix=motorola%2Bmoto%2Bg%2Bplay%2B2021%2Caps%2C199&amp;sr=8-12&amp;th=1</t>
  </si>
  <si>
    <t>Estimate summary</t>
  </si>
  <si>
    <t>Upfront cost</t>
  </si>
  <si>
    <t>Monthly cost</t>
  </si>
  <si>
    <t>Total 12 months cost</t>
  </si>
  <si>
    <t>Currency</t>
  </si>
  <si>
    <t>Devices Per District</t>
  </si>
  <si>
    <t>USD</t>
  </si>
  <si>
    <t>Total Devices</t>
  </si>
  <si>
    <t>* Includes upfront cost</t>
  </si>
  <si>
    <t>Cost per district</t>
  </si>
  <si>
    <t>Server cost subscription fee AI 10</t>
  </si>
  <si>
    <t>Detailed Estimate</t>
  </si>
  <si>
    <t>Group hierarchy</t>
  </si>
  <si>
    <t>Region</t>
  </si>
  <si>
    <t>Description</t>
  </si>
  <si>
    <t>Service</t>
  </si>
  <si>
    <t>Upfront</t>
  </si>
  <si>
    <t>First 12 months total</t>
  </si>
  <si>
    <t>Status</t>
  </si>
  <si>
    <t>My Estimate</t>
  </si>
  <si>
    <t>Africa (Cape Town)</t>
  </si>
  <si>
    <t>Amazon API Gateway (TOTAL)</t>
  </si>
  <si>
    <t xml:space="preserve">          Tiered price total for REST API requests:</t>
  </si>
  <si>
    <t xml:space="preserve">          Dedicated cache memory total price:</t>
  </si>
  <si>
    <t>AWS Lambda (TOTAL)</t>
  </si>
  <si>
    <t xml:space="preserve">          Monthly compute charges: </t>
  </si>
  <si>
    <t xml:space="preserve">          Monthly request charges:</t>
  </si>
  <si>
    <t>S3 Standard (TOTAL)</t>
  </si>
  <si>
    <t>S3 Data Transfer (TOTAL)</t>
  </si>
  <si>
    <t>Amazon RDS for PostgreSQL (TOTAL)</t>
  </si>
  <si>
    <t xml:space="preserve">          Amazon RDS PostgreSQL instances cost (monthly):</t>
  </si>
  <si>
    <t xml:space="preserve">          Storage pricing (monthly): </t>
  </si>
  <si>
    <t xml:space="preserve">          Cost for RDS PostgresSQL Database Insights (monthly): </t>
  </si>
  <si>
    <t xml:space="preserve">          Snapshot Export cost (monthly):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</si>
</sst>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4" formatCode="_(&quot;$&quot;* #,##0.00_);_(&quot;$&quot;* \(#,##0.00\);_(&quot;$&quot;* &quot;-&quot;??_);_(@_)"/>
    <numFmt numFmtId="164" formatCode="_([$UGX]\ * #,##0_);_([$UGX]\ * \(#,##0\);_([$UGX]\ * &quot;-&quot;??_);_(@_)"/>
    <numFmt numFmtId="165" formatCode="_([$UGX]\ * #,##0.00_);_([$UGX]\ * \(#,##0.00\);_([$UGX]\ * &quot;-&quot;??_);_(@_)"/>
    <numFmt numFmtId="166" formatCode="_(&quot;$&quot;* #,##0_);_(&quot;$&quot;* \(#,##0\);_(&quot;$&quot;* &quot;-&quot;??_);_(@_)"/>
    <numFmt numFmtId="167" formatCode="_(&quot;$&quot;* #,##0.0_);_(&quot;$&quot;* \(#,##0.0\);_(&quot;$&quot;* &quot;-&quot;??_);_(@_)"/>
    <numFmt numFmtId="168" formatCode="0.0"/>
    <numFmt numFmtId="169" formatCode="_([$$-409]* #,##0.00_);_([$$-409]* \(#,##0.00\);_([$$-409]* &quot;-&quot;??_);_(@_)"/>
    <numFmt numFmtId="170" formatCode="0.0%"/>
    <numFmt numFmtId="171" formatCode="_([$$-409]* #,##0_);_([$$-409]* \(#,##0\);_([$$-409]* &quot;-&quot;??_);_(@_)"/>
    <numFmt numFmtId="172" formatCode="_([$UGX]\ * #,##0.0_);_([$UGX]\ * \(#,##0.0\);_([$UGX]\ * &quot;-&quot;??_);_(@_)"/>
    <numFmt numFmtId="173" formatCode="_-&quot;$&quot;* #,##0_-;\-&quot;$&quot;* #,##0_-;_-&quot;$&quot;* &quot;-&quot;_-;_-@_-"/>
    <numFmt numFmtId="174" formatCode="_-&quot;$&quot;* #,##0.00_-;\-&quot;$&quot;* #,##0.00_-;_-&quot;$&quot;* &quot;-&quot;_-;_-@_-"/>
    <numFmt numFmtId="175" formatCode="_-&quot;$&quot;* #,##0.00_-;\-&quot;$&quot;* #,##0.00_-;_-&quot;$&quot;* &quot;-&quot;??_-;_-@_-"/>
    <numFmt numFmtId="176" formatCode="[$UGX]\ #,##0.00"/>
  </numFmts>
  <fonts count="47">
    <font>
      <sz val="11"/>
      <color theme="1"/>
      <name val="Aptos Narrow"/>
      <family val="2"/>
      <scheme val="minor"/>
    </font>
    <font>
      <sz val="11"/>
      <color theme="1"/>
      <name val="Aptos Narrow"/>
      <scheme val="minor"/>
    </font>
    <font>
      <u/>
      <sz val="11"/>
      <color theme="10"/>
      <name val="Aptos Narrow"/>
      <family val="2"/>
      <scheme val="minor"/>
    </font>
    <font>
      <sz val="11"/>
      <color rgb="FF000000"/>
      <name val="Calibri"/>
    </font>
    <font>
      <b/>
      <sz val="11"/>
      <color rgb="FF000000"/>
      <name val="Calibri"/>
    </font>
    <font>
      <b/>
      <sz val="11"/>
      <color rgb="FF000000"/>
      <name val="Aptos Narrow"/>
      <scheme val="minor"/>
    </font>
    <font>
      <sz val="11"/>
      <color rgb="FF000000"/>
      <name val="Aptos Narrow"/>
      <scheme val="minor"/>
    </font>
    <font>
      <b/>
      <sz val="11"/>
      <color theme="1"/>
      <name val="Aptos Narrow"/>
      <family val="2"/>
      <scheme val="minor"/>
    </font>
    <font>
      <sz val="11"/>
      <color rgb="FFFF0000"/>
      <name val="Aptos Narrow"/>
      <scheme val="minor"/>
    </font>
    <font>
      <b/>
      <sz val="11"/>
      <color theme="1"/>
      <name val="Aptos Narrow"/>
      <scheme val="minor"/>
    </font>
    <font>
      <b/>
      <sz val="12"/>
      <color rgb="FF000000"/>
      <name val="Arial Narrow"/>
    </font>
    <font>
      <b/>
      <sz val="12"/>
      <color rgb="FF000000"/>
      <name val="Candara"/>
    </font>
    <font>
      <sz val="12"/>
      <color theme="1"/>
      <name val="Calibri"/>
    </font>
    <font>
      <sz val="11"/>
      <color theme="1"/>
      <name val="Calibri"/>
    </font>
    <font>
      <sz val="11"/>
      <color rgb="FFFF0000"/>
      <name val="Calibri"/>
    </font>
    <font>
      <sz val="14"/>
      <color rgb="FF000000"/>
      <name val="Calibri"/>
    </font>
    <font>
      <u/>
      <sz val="11"/>
      <color theme="10"/>
      <name val="Calibri"/>
    </font>
    <font>
      <sz val="11"/>
      <color rgb="FF242424"/>
      <name val="Aptos Narrow"/>
      <charset val="1"/>
    </font>
    <font>
      <b/>
      <sz val="11"/>
      <color theme="1"/>
      <name val="Calibri"/>
    </font>
    <font>
      <b/>
      <sz val="24"/>
      <color theme="1"/>
      <name val="Calibri"/>
    </font>
    <font>
      <sz val="11"/>
      <name val="Calibri"/>
    </font>
    <font>
      <b/>
      <sz val="18"/>
      <color theme="1"/>
      <name val="Calibri"/>
    </font>
    <font>
      <b/>
      <sz val="12"/>
      <color theme="1"/>
      <name val="Calibri"/>
    </font>
    <font>
      <b/>
      <sz val="14"/>
      <color theme="1"/>
      <name val="Aptos Narrow"/>
      <family val="2"/>
      <scheme val="minor"/>
    </font>
    <font>
      <sz val="14"/>
      <color rgb="FFFF0000"/>
      <name val="Aptos Narrow"/>
      <family val="2"/>
      <scheme val="minor"/>
    </font>
    <font>
      <b/>
      <sz val="12"/>
      <color theme="1"/>
      <name val="Aptos Narrow"/>
      <family val="2"/>
      <scheme val="minor"/>
    </font>
    <font>
      <b/>
      <sz val="11"/>
      <color rgb="FF000000"/>
      <name val="Aptos Narrow"/>
      <family val="2"/>
      <scheme val="minor"/>
    </font>
    <font>
      <sz val="11"/>
      <color rgb="FF000000"/>
      <name val="Aptos Narrow"/>
      <family val="2"/>
      <scheme val="minor"/>
    </font>
    <font>
      <sz val="16"/>
      <color theme="1"/>
      <name val="Aptos Narrow"/>
      <family val="2"/>
      <scheme val="minor"/>
    </font>
    <font>
      <b/>
      <sz val="12"/>
      <color theme="1"/>
      <name val="Aptos Narrow"/>
      <scheme val="minor"/>
    </font>
    <font>
      <sz val="11"/>
      <color rgb="FF000000"/>
      <name val="Aptos Narrow"/>
      <charset val="1"/>
    </font>
    <font>
      <sz val="11"/>
      <color theme="1"/>
      <name val="Aptos Narrow"/>
      <family val="2"/>
      <scheme val="minor"/>
    </font>
    <font>
      <sz val="12"/>
      <color theme="1"/>
      <name val="Aptos Narrow"/>
      <family val="2"/>
      <scheme val="minor"/>
    </font>
    <font>
      <b/>
      <sz val="10"/>
      <color theme="1"/>
      <name val="Arial"/>
      <family val="2"/>
    </font>
    <font>
      <u/>
      <sz val="12"/>
      <color theme="10"/>
      <name val="Aptos Narrow"/>
      <family val="2"/>
      <scheme val="minor"/>
    </font>
    <font>
      <sz val="11"/>
      <color theme="1"/>
      <name val="Arial"/>
      <family val="2"/>
    </font>
    <font>
      <sz val="11"/>
      <color theme="1"/>
      <name val="Calibri"/>
      <family val="2"/>
    </font>
    <font>
      <b/>
      <sz val="11"/>
      <color theme="1"/>
      <name val="Calibri"/>
      <family val="2"/>
    </font>
    <font>
      <sz val="11"/>
      <color rgb="FF000000"/>
      <name val="Calibri"/>
      <family val="2"/>
    </font>
    <font>
      <b/>
      <sz val="10"/>
      <color theme="1"/>
      <name val="Times New Roman"/>
      <family val="1"/>
    </font>
    <font>
      <sz val="10"/>
      <color theme="1"/>
      <name val="Times New Roman"/>
      <family val="1"/>
    </font>
    <font>
      <sz val="10"/>
      <color rgb="FF000000"/>
      <name val="Times New Roman"/>
      <family val="1"/>
    </font>
    <font>
      <b/>
      <sz val="10"/>
      <color rgb="FF000000"/>
      <name val="Times New Roman"/>
      <family val="1"/>
    </font>
    <font>
      <sz val="8"/>
      <name val="Aptos Narrow"/>
      <family val="2"/>
      <scheme val="minor"/>
    </font>
    <font>
      <u/>
      <sz val="10"/>
      <color rgb="FF008080"/>
      <name val="Times New Roman"/>
      <family val="1"/>
    </font>
    <font>
      <sz val="12"/>
      <color rgb="FF000000"/>
      <name val="Calibri"/>
      <family val="2"/>
      <charset val="1"/>
    </font>
    <font>
      <i/>
      <sz val="10"/>
      <color theme="1"/>
      <name val="Times New Roman"/>
      <family val="1"/>
    </font>
  </fonts>
  <fills count="23">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2" tint="-9.9978637043366805E-2"/>
        <bgColor indexed="64"/>
      </patternFill>
    </fill>
    <fill>
      <patternFill patternType="solid">
        <fgColor rgb="FFC0C0C0"/>
        <bgColor rgb="FFC0C0C0"/>
      </patternFill>
    </fill>
    <fill>
      <patternFill patternType="solid">
        <fgColor rgb="FFA6A6A6"/>
        <bgColor rgb="FFA6A6A6"/>
      </patternFill>
    </fill>
    <fill>
      <patternFill patternType="solid">
        <fgColor rgb="FFEAF1DD"/>
        <bgColor rgb="FFEAF1DD"/>
      </patternFill>
    </fill>
    <fill>
      <patternFill patternType="solid">
        <fgColor rgb="FFFDE9D9"/>
        <bgColor rgb="FFFDE9D9"/>
      </patternFill>
    </fill>
    <fill>
      <patternFill patternType="solid">
        <fgColor rgb="FFFFFFCC"/>
        <bgColor rgb="FFFFFFCC"/>
      </patternFill>
    </fill>
    <fill>
      <patternFill patternType="solid">
        <fgColor rgb="FFCCFFFF"/>
        <bgColor rgb="FFCCFFFF"/>
      </patternFill>
    </fill>
    <fill>
      <patternFill patternType="solid">
        <fgColor rgb="FFDEEAF6"/>
        <bgColor rgb="FFDEEAF6"/>
      </patternFill>
    </fill>
    <fill>
      <patternFill patternType="solid">
        <fgColor rgb="FF8EAADB"/>
        <bgColor rgb="FF8EAADB"/>
      </patternFill>
    </fill>
    <fill>
      <patternFill patternType="solid">
        <fgColor theme="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749992370372631"/>
        <bgColor rgb="FFDEEAF6"/>
      </patternFill>
    </fill>
    <fill>
      <patternFill patternType="solid">
        <fgColor theme="3" tint="0.89999084444715716"/>
        <bgColor rgb="FFDEEAF6"/>
      </patternFill>
    </fill>
  </fills>
  <borders count="5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right style="thin">
        <color indexed="64"/>
      </right>
      <top style="thin">
        <color rgb="FF000000"/>
      </top>
      <bottom style="thin">
        <color rgb="FF000000"/>
      </bottom>
      <diagonal/>
    </border>
    <border>
      <left style="thin">
        <color rgb="FF000000"/>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indexed="64"/>
      </left>
      <right/>
      <top style="thin">
        <color rgb="FF000000"/>
      </top>
      <bottom style="thin">
        <color rgb="FF000000"/>
      </bottom>
      <diagonal/>
    </border>
    <border>
      <left style="thin">
        <color indexed="64"/>
      </left>
      <right/>
      <top/>
      <bottom style="thin">
        <color indexed="64"/>
      </bottom>
      <diagonal/>
    </border>
    <border>
      <left/>
      <right/>
      <top style="medium">
        <color rgb="FF000000"/>
      </top>
      <bottom style="medium">
        <color rgb="FF000000"/>
      </bottom>
      <diagonal/>
    </border>
    <border>
      <left/>
      <right/>
      <top/>
      <bottom style="medium">
        <color rgb="FF000000"/>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medium">
        <color rgb="FF000000"/>
      </top>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9">
    <xf numFmtId="0" fontId="0" fillId="0" borderId="0"/>
    <xf numFmtId="0" fontId="2" fillId="0" borderId="0" applyNumberFormat="0" applyFill="0" applyBorder="0" applyAlignment="0" applyProtection="0"/>
    <xf numFmtId="44" fontId="31" fillId="0" borderId="0" applyFont="0" applyFill="0" applyBorder="0" applyAlignment="0" applyProtection="0"/>
    <xf numFmtId="0" fontId="1" fillId="0" borderId="0"/>
    <xf numFmtId="0" fontId="32" fillId="0" borderId="0"/>
    <xf numFmtId="173" fontId="32" fillId="0" borderId="0" applyFont="0" applyFill="0" applyBorder="0" applyAlignment="0" applyProtection="0"/>
    <xf numFmtId="0" fontId="34" fillId="0" borderId="0" applyNumberFormat="0" applyFill="0" applyBorder="0" applyAlignment="0" applyProtection="0"/>
    <xf numFmtId="9" fontId="31" fillId="0" borderId="0" applyFont="0" applyFill="0" applyBorder="0" applyAlignment="0" applyProtection="0"/>
    <xf numFmtId="9" fontId="32" fillId="0" borderId="0" applyFont="0" applyFill="0" applyBorder="0" applyAlignment="0" applyProtection="0"/>
  </cellStyleXfs>
  <cellXfs count="479">
    <xf numFmtId="0" fontId="0" fillId="0" borderId="0" xfId="0"/>
    <xf numFmtId="0" fontId="0" fillId="0" borderId="0" xfId="0" applyAlignment="1">
      <alignment wrapText="1"/>
    </xf>
    <xf numFmtId="0" fontId="3" fillId="0" borderId="0" xfId="0" applyFont="1" applyAlignment="1">
      <alignment wrapText="1"/>
    </xf>
    <xf numFmtId="0" fontId="0" fillId="0" borderId="3" xfId="0" applyBorder="1"/>
    <xf numFmtId="0" fontId="0" fillId="0" borderId="4" xfId="0" applyBorder="1"/>
    <xf numFmtId="0" fontId="0" fillId="0" borderId="7" xfId="0" applyBorder="1"/>
    <xf numFmtId="0" fontId="0" fillId="3" borderId="4" xfId="0" applyFill="1" applyBorder="1"/>
    <xf numFmtId="0" fontId="10" fillId="5" borderId="11"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wrapText="1"/>
    </xf>
    <xf numFmtId="0" fontId="14" fillId="7" borderId="1" xfId="0" applyFont="1" applyFill="1" applyBorder="1"/>
    <xf numFmtId="3" fontId="15" fillId="0" borderId="0" xfId="0" applyNumberFormat="1" applyFont="1"/>
    <xf numFmtId="3" fontId="15" fillId="0" borderId="4" xfId="0" applyNumberFormat="1" applyFont="1" applyBorder="1"/>
    <xf numFmtId="0" fontId="3" fillId="7" borderId="12" xfId="0" applyFont="1" applyFill="1" applyBorder="1"/>
    <xf numFmtId="0" fontId="14" fillId="7" borderId="12" xfId="0" applyFont="1" applyFill="1" applyBorder="1"/>
    <xf numFmtId="0" fontId="3" fillId="8" borderId="12" xfId="0" applyFont="1" applyFill="1" applyBorder="1"/>
    <xf numFmtId="0" fontId="3" fillId="2" borderId="12" xfId="0" applyFont="1" applyFill="1" applyBorder="1"/>
    <xf numFmtId="3" fontId="15" fillId="2" borderId="0" xfId="0" applyNumberFormat="1" applyFont="1" applyFill="1"/>
    <xf numFmtId="3" fontId="15" fillId="2" borderId="4" xfId="0" applyNumberFormat="1" applyFont="1" applyFill="1" applyBorder="1"/>
    <xf numFmtId="0" fontId="3" fillId="9" borderId="12" xfId="0" applyFont="1" applyFill="1" applyBorder="1"/>
    <xf numFmtId="0" fontId="3" fillId="10" borderId="12" xfId="0" applyFont="1" applyFill="1" applyBorder="1"/>
    <xf numFmtId="0" fontId="15" fillId="0" borderId="12" xfId="0" applyFont="1" applyBorder="1"/>
    <xf numFmtId="0" fontId="3" fillId="0" borderId="9" xfId="0" applyFont="1" applyBorder="1"/>
    <xf numFmtId="0" fontId="3" fillId="0" borderId="6" xfId="0" applyFont="1" applyBorder="1"/>
    <xf numFmtId="3" fontId="4" fillId="0" borderId="10" xfId="0" applyNumberFormat="1" applyFont="1" applyBorder="1"/>
    <xf numFmtId="0" fontId="3" fillId="0" borderId="0" xfId="0" applyFont="1"/>
    <xf numFmtId="0" fontId="11" fillId="0" borderId="2" xfId="0" applyFont="1" applyBorder="1" applyAlignment="1">
      <alignment horizontal="center" vertical="center" wrapText="1"/>
    </xf>
    <xf numFmtId="0" fontId="13" fillId="0" borderId="0" xfId="0" applyFont="1" applyAlignment="1">
      <alignment horizontal="left"/>
    </xf>
    <xf numFmtId="0" fontId="13" fillId="0" borderId="0" xfId="0" applyFont="1"/>
    <xf numFmtId="0" fontId="13" fillId="0" borderId="0" xfId="0" applyFont="1" applyAlignment="1">
      <alignment horizontal="left" wrapText="1"/>
    </xf>
    <xf numFmtId="164" fontId="3" fillId="0" borderId="0" xfId="0" applyNumberFormat="1" applyFont="1"/>
    <xf numFmtId="0" fontId="13" fillId="0" borderId="1" xfId="0" applyFont="1" applyBorder="1"/>
    <xf numFmtId="164" fontId="13" fillId="0" borderId="0" xfId="0" applyNumberFormat="1" applyFont="1"/>
    <xf numFmtId="164" fontId="13" fillId="2" borderId="1" xfId="0" applyNumberFormat="1" applyFont="1" applyFill="1" applyBorder="1"/>
    <xf numFmtId="0" fontId="16" fillId="0" borderId="0" xfId="0" applyFont="1"/>
    <xf numFmtId="44" fontId="13" fillId="0" borderId="0" xfId="0" applyNumberFormat="1" applyFont="1"/>
    <xf numFmtId="165" fontId="13" fillId="0" borderId="0" xfId="0" applyNumberFormat="1" applyFont="1"/>
    <xf numFmtId="0" fontId="13" fillId="2" borderId="0" xfId="0" applyFont="1" applyFill="1"/>
    <xf numFmtId="0" fontId="17" fillId="0" borderId="0" xfId="0" applyFont="1"/>
    <xf numFmtId="44" fontId="13" fillId="0" borderId="1" xfId="0" applyNumberFormat="1" applyFont="1" applyBorder="1"/>
    <xf numFmtId="164" fontId="13" fillId="0" borderId="1" xfId="0" applyNumberFormat="1" applyFont="1" applyBorder="1"/>
    <xf numFmtId="8" fontId="13" fillId="0" borderId="0" xfId="0" applyNumberFormat="1" applyFont="1"/>
    <xf numFmtId="0" fontId="18" fillId="0" borderId="0" xfId="0" applyFont="1"/>
    <xf numFmtId="44" fontId="18" fillId="0" borderId="0" xfId="0" applyNumberFormat="1" applyFont="1"/>
    <xf numFmtId="1" fontId="13" fillId="0" borderId="0" xfId="0" applyNumberFormat="1" applyFont="1" applyAlignment="1">
      <alignment horizontal="left"/>
    </xf>
    <xf numFmtId="0" fontId="19" fillId="0" borderId="0" xfId="0" applyFont="1"/>
    <xf numFmtId="0" fontId="13" fillId="0" borderId="0" xfId="0" applyFont="1" applyAlignment="1">
      <alignment vertical="center"/>
    </xf>
    <xf numFmtId="0" fontId="21" fillId="0" borderId="8" xfId="0" applyFont="1" applyBorder="1" applyAlignment="1">
      <alignment horizontal="center" vertical="center"/>
    </xf>
    <xf numFmtId="0" fontId="18" fillId="0" borderId="1" xfId="0" applyFont="1" applyBorder="1" applyAlignment="1">
      <alignment vertical="center"/>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18" fillId="11" borderId="1" xfId="0" applyFont="1" applyFill="1" applyBorder="1"/>
    <xf numFmtId="164" fontId="4" fillId="11" borderId="1" xfId="0" applyNumberFormat="1" applyFont="1" applyFill="1" applyBorder="1"/>
    <xf numFmtId="164" fontId="18" fillId="11" borderId="1" xfId="0" applyNumberFormat="1" applyFont="1" applyFill="1" applyBorder="1"/>
    <xf numFmtId="44" fontId="18" fillId="11" borderId="1" xfId="0" applyNumberFormat="1" applyFont="1" applyFill="1" applyBorder="1"/>
    <xf numFmtId="0" fontId="22" fillId="12" borderId="0" xfId="0" applyFont="1" applyFill="1"/>
    <xf numFmtId="0" fontId="13" fillId="12" borderId="0" xfId="0" applyFont="1" applyFill="1"/>
    <xf numFmtId="164" fontId="18" fillId="12" borderId="1" xfId="0" applyNumberFormat="1" applyFont="1" applyFill="1" applyBorder="1"/>
    <xf numFmtId="0" fontId="18" fillId="12" borderId="1" xfId="0" applyFont="1" applyFill="1" applyBorder="1"/>
    <xf numFmtId="44" fontId="18" fillId="12" borderId="1" xfId="0" applyNumberFormat="1" applyFont="1" applyFill="1" applyBorder="1"/>
    <xf numFmtId="0" fontId="18" fillId="0" borderId="1" xfId="0" applyFont="1" applyBorder="1" applyAlignment="1">
      <alignment wrapText="1"/>
    </xf>
    <xf numFmtId="164" fontId="3" fillId="0" borderId="1" xfId="0" applyNumberFormat="1" applyFont="1" applyBorder="1"/>
    <xf numFmtId="167" fontId="13" fillId="0" borderId="1" xfId="0" applyNumberFormat="1" applyFont="1" applyBorder="1"/>
    <xf numFmtId="0" fontId="22" fillId="0" borderId="1" xfId="0" applyFont="1" applyBorder="1" applyAlignment="1">
      <alignment horizontal="left" vertical="center" wrapText="1"/>
    </xf>
    <xf numFmtId="0" fontId="13" fillId="0" borderId="1" xfId="0" applyFont="1" applyBorder="1" applyAlignment="1">
      <alignment vertical="center"/>
    </xf>
    <xf numFmtId="0" fontId="18" fillId="0" borderId="9" xfId="0" applyFont="1" applyBorder="1" applyAlignment="1">
      <alignment horizontal="left"/>
    </xf>
    <xf numFmtId="0" fontId="18" fillId="0" borderId="9" xfId="0" applyFont="1" applyBorder="1"/>
    <xf numFmtId="164" fontId="4" fillId="0" borderId="9" xfId="0" applyNumberFormat="1" applyFont="1" applyBorder="1"/>
    <xf numFmtId="44" fontId="4" fillId="0" borderId="9" xfId="0" applyNumberFormat="1" applyFont="1" applyBorder="1"/>
    <xf numFmtId="0" fontId="20" fillId="0" borderId="9" xfId="0" applyFont="1" applyBorder="1"/>
    <xf numFmtId="0" fontId="18" fillId="0" borderId="8" xfId="0" applyFont="1" applyBorder="1" applyAlignment="1">
      <alignment vertical="center"/>
    </xf>
    <xf numFmtId="0" fontId="18" fillId="0" borderId="1" xfId="0" applyFont="1" applyBorder="1" applyAlignment="1">
      <alignment horizontal="left" vertical="center"/>
    </xf>
    <xf numFmtId="0" fontId="7" fillId="0" borderId="0" xfId="0" applyFont="1"/>
    <xf numFmtId="0" fontId="7" fillId="4" borderId="0" xfId="0" applyFont="1" applyFill="1"/>
    <xf numFmtId="0" fontId="0" fillId="4" borderId="0" xfId="0" applyFill="1"/>
    <xf numFmtId="0" fontId="0" fillId="0" borderId="5" xfId="0" applyBorder="1"/>
    <xf numFmtId="0" fontId="0" fillId="0" borderId="13" xfId="0" applyBorder="1"/>
    <xf numFmtId="3" fontId="0" fillId="0" borderId="13" xfId="0" applyNumberFormat="1" applyBorder="1"/>
    <xf numFmtId="3" fontId="0" fillId="0" borderId="12" xfId="0" applyNumberFormat="1" applyBorder="1"/>
    <xf numFmtId="0" fontId="0" fillId="4" borderId="4" xfId="0" applyFill="1" applyBorder="1"/>
    <xf numFmtId="0" fontId="7" fillId="0" borderId="13" xfId="0" applyFont="1" applyBorder="1"/>
    <xf numFmtId="0" fontId="0" fillId="13" borderId="1" xfId="0" applyFill="1" applyBorder="1"/>
    <xf numFmtId="0" fontId="7" fillId="13" borderId="9" xfId="0" applyFont="1" applyFill="1" applyBorder="1"/>
    <xf numFmtId="0" fontId="7" fillId="13" borderId="10" xfId="0" applyFont="1" applyFill="1" applyBorder="1"/>
    <xf numFmtId="0" fontId="7" fillId="0" borderId="9" xfId="0" applyFont="1" applyBorder="1"/>
    <xf numFmtId="168" fontId="0" fillId="0" borderId="3" xfId="0" applyNumberFormat="1" applyBorder="1"/>
    <xf numFmtId="168" fontId="0" fillId="0" borderId="5" xfId="0" applyNumberFormat="1" applyBorder="1"/>
    <xf numFmtId="164" fontId="0" fillId="0" borderId="0" xfId="0" applyNumberFormat="1"/>
    <xf numFmtId="169" fontId="0" fillId="0" borderId="0" xfId="0" applyNumberFormat="1"/>
    <xf numFmtId="169" fontId="7" fillId="0" borderId="0" xfId="0" applyNumberFormat="1" applyFont="1"/>
    <xf numFmtId="165" fontId="0" fillId="0" borderId="0" xfId="0" applyNumberFormat="1"/>
    <xf numFmtId="165" fontId="0" fillId="0" borderId="4" xfId="0" applyNumberFormat="1" applyBorder="1"/>
    <xf numFmtId="164" fontId="0" fillId="0" borderId="4" xfId="0" applyNumberFormat="1" applyBorder="1"/>
    <xf numFmtId="169" fontId="0" fillId="14" borderId="9" xfId="0" applyNumberFormat="1" applyFill="1" applyBorder="1"/>
    <xf numFmtId="0" fontId="17" fillId="0" borderId="0" xfId="0" applyFont="1" applyAlignment="1">
      <alignment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23" fillId="0" borderId="0" xfId="0" applyFont="1"/>
    <xf numFmtId="0" fontId="0" fillId="0" borderId="9" xfId="0" applyBorder="1"/>
    <xf numFmtId="0" fontId="7" fillId="0" borderId="9" xfId="0" applyFont="1" applyBorder="1" applyAlignment="1">
      <alignment wrapText="1"/>
    </xf>
    <xf numFmtId="0" fontId="24" fillId="0" borderId="0" xfId="0" applyFont="1"/>
    <xf numFmtId="0" fontId="2" fillId="0" borderId="1" xfId="1" applyBorder="1"/>
    <xf numFmtId="169" fontId="7" fillId="14" borderId="9" xfId="0" applyNumberFormat="1" applyFont="1" applyFill="1" applyBorder="1"/>
    <xf numFmtId="164" fontId="0" fillId="14" borderId="9" xfId="0" applyNumberFormat="1" applyFill="1" applyBorder="1"/>
    <xf numFmtId="169" fontId="7" fillId="14" borderId="8" xfId="0" applyNumberFormat="1" applyFont="1" applyFill="1" applyBorder="1"/>
    <xf numFmtId="0" fontId="7" fillId="14" borderId="1" xfId="0" applyFont="1" applyFill="1" applyBorder="1"/>
    <xf numFmtId="0" fontId="7" fillId="14" borderId="9" xfId="0" applyFont="1" applyFill="1" applyBorder="1"/>
    <xf numFmtId="169" fontId="0" fillId="0" borderId="14" xfId="0" applyNumberFormat="1" applyBorder="1"/>
    <xf numFmtId="169" fontId="0" fillId="0" borderId="6" xfId="0" applyNumberFormat="1" applyBorder="1"/>
    <xf numFmtId="169" fontId="0" fillId="0" borderId="2" xfId="0" applyNumberFormat="1" applyBorder="1"/>
    <xf numFmtId="169" fontId="0" fillId="0" borderId="7" xfId="0" applyNumberFormat="1" applyBorder="1"/>
    <xf numFmtId="0" fontId="7" fillId="14" borderId="6" xfId="0" applyFont="1" applyFill="1" applyBorder="1"/>
    <xf numFmtId="169" fontId="0" fillId="14" borderId="6" xfId="0" applyNumberFormat="1" applyFill="1" applyBorder="1"/>
    <xf numFmtId="0" fontId="7" fillId="14" borderId="12" xfId="0" applyFont="1" applyFill="1" applyBorder="1"/>
    <xf numFmtId="0" fontId="0" fillId="0" borderId="1" xfId="0" applyBorder="1"/>
    <xf numFmtId="169" fontId="0" fillId="0" borderId="1" xfId="0" applyNumberFormat="1" applyBorder="1"/>
    <xf numFmtId="164" fontId="0" fillId="0" borderId="1" xfId="0" applyNumberFormat="1" applyBorder="1"/>
    <xf numFmtId="0" fontId="7" fillId="0" borderId="1" xfId="0" applyFont="1" applyBorder="1" applyAlignment="1">
      <alignment wrapText="1"/>
    </xf>
    <xf numFmtId="10" fontId="0" fillId="0" borderId="10" xfId="0" applyNumberFormat="1" applyBorder="1"/>
    <xf numFmtId="0" fontId="7" fillId="13" borderId="14" xfId="0" applyFont="1" applyFill="1" applyBorder="1"/>
    <xf numFmtId="0" fontId="7" fillId="13" borderId="2" xfId="0" applyFont="1" applyFill="1" applyBorder="1"/>
    <xf numFmtId="10" fontId="0" fillId="0" borderId="0" xfId="0" applyNumberFormat="1"/>
    <xf numFmtId="169" fontId="7" fillId="0" borderId="13" xfId="0" applyNumberFormat="1" applyFont="1" applyBorder="1"/>
    <xf numFmtId="169" fontId="0" fillId="0" borderId="4" xfId="0" applyNumberFormat="1" applyBorder="1"/>
    <xf numFmtId="169" fontId="7" fillId="0" borderId="4" xfId="0" applyNumberFormat="1" applyFont="1" applyBorder="1"/>
    <xf numFmtId="1" fontId="13" fillId="0" borderId="0" xfId="0" applyNumberFormat="1" applyFont="1"/>
    <xf numFmtId="44" fontId="0" fillId="0" borderId="0" xfId="0" applyNumberFormat="1"/>
    <xf numFmtId="10" fontId="13" fillId="0" borderId="0" xfId="0" applyNumberFormat="1" applyFont="1"/>
    <xf numFmtId="166" fontId="18" fillId="0" borderId="0" xfId="0" applyNumberFormat="1" applyFont="1"/>
    <xf numFmtId="8" fontId="18" fillId="0" borderId="0" xfId="0" applyNumberFormat="1" applyFont="1"/>
    <xf numFmtId="0" fontId="16" fillId="0" borderId="0" xfId="0" applyFont="1" applyAlignment="1">
      <alignment horizontal="left"/>
    </xf>
    <xf numFmtId="0" fontId="8" fillId="0" borderId="0" xfId="0" applyFont="1"/>
    <xf numFmtId="44" fontId="14" fillId="0" borderId="0" xfId="0" applyNumberFormat="1" applyFont="1"/>
    <xf numFmtId="8" fontId="14" fillId="0" borderId="0" xfId="0" applyNumberFormat="1" applyFont="1"/>
    <xf numFmtId="44" fontId="18" fillId="0" borderId="0" xfId="0" applyNumberFormat="1" applyFont="1" applyAlignment="1">
      <alignment horizontal="left"/>
    </xf>
    <xf numFmtId="164" fontId="18" fillId="0" borderId="0" xfId="0" applyNumberFormat="1" applyFont="1" applyAlignment="1">
      <alignment horizontal="left"/>
    </xf>
    <xf numFmtId="164" fontId="18" fillId="0" borderId="0" xfId="0" applyNumberFormat="1" applyFont="1"/>
    <xf numFmtId="0" fontId="9" fillId="0" borderId="0" xfId="0" applyFont="1"/>
    <xf numFmtId="0" fontId="8" fillId="0" borderId="0" xfId="0" applyFont="1" applyAlignment="1">
      <alignment wrapText="1"/>
    </xf>
    <xf numFmtId="0" fontId="2" fillId="0" borderId="1" xfId="1" applyFill="1" applyBorder="1"/>
    <xf numFmtId="0" fontId="2" fillId="0" borderId="10" xfId="1" applyBorder="1"/>
    <xf numFmtId="0" fontId="13" fillId="0" borderId="11" xfId="0" applyFont="1" applyBorder="1"/>
    <xf numFmtId="0" fontId="2" fillId="0" borderId="12" xfId="1" applyBorder="1"/>
    <xf numFmtId="0" fontId="7" fillId="4" borderId="14" xfId="0" applyFont="1" applyFill="1" applyBorder="1"/>
    <xf numFmtId="0" fontId="0" fillId="4" borderId="14" xfId="0" applyFill="1" applyBorder="1"/>
    <xf numFmtId="0" fontId="0" fillId="4" borderId="2" xfId="0" applyFill="1" applyBorder="1"/>
    <xf numFmtId="0" fontId="7" fillId="16" borderId="1" xfId="0" applyFont="1" applyFill="1" applyBorder="1"/>
    <xf numFmtId="0" fontId="7" fillId="13" borderId="8" xfId="0" applyFont="1" applyFill="1" applyBorder="1"/>
    <xf numFmtId="0" fontId="7" fillId="17" borderId="1" xfId="0" applyFont="1" applyFill="1" applyBorder="1"/>
    <xf numFmtId="0" fontId="7" fillId="16" borderId="8" xfId="0" applyFont="1" applyFill="1" applyBorder="1"/>
    <xf numFmtId="0" fontId="7" fillId="15" borderId="1" xfId="0" applyFont="1" applyFill="1" applyBorder="1"/>
    <xf numFmtId="0" fontId="7" fillId="17" borderId="8" xfId="0" applyFont="1" applyFill="1" applyBorder="1"/>
    <xf numFmtId="0" fontId="7" fillId="15" borderId="8" xfId="0" applyFont="1" applyFill="1" applyBorder="1"/>
    <xf numFmtId="0" fontId="7" fillId="18" borderId="1" xfId="0" applyFont="1" applyFill="1" applyBorder="1"/>
    <xf numFmtId="0" fontId="7" fillId="4" borderId="2" xfId="0" applyFont="1" applyFill="1" applyBorder="1"/>
    <xf numFmtId="0" fontId="7" fillId="4" borderId="11" xfId="0" applyFont="1" applyFill="1" applyBorder="1"/>
    <xf numFmtId="0" fontId="25" fillId="4" borderId="14" xfId="0" applyFont="1" applyFill="1" applyBorder="1"/>
    <xf numFmtId="169" fontId="0" fillId="16" borderId="1" xfId="0" applyNumberFormat="1" applyFill="1" applyBorder="1"/>
    <xf numFmtId="0" fontId="7" fillId="13" borderId="5" xfId="0" applyFont="1" applyFill="1" applyBorder="1"/>
    <xf numFmtId="0" fontId="7" fillId="13" borderId="15" xfId="0" applyFont="1" applyFill="1" applyBorder="1"/>
    <xf numFmtId="169" fontId="0" fillId="16" borderId="16" xfId="0" applyNumberFormat="1" applyFill="1" applyBorder="1"/>
    <xf numFmtId="0" fontId="7" fillId="13" borderId="17" xfId="0" applyFont="1" applyFill="1" applyBorder="1"/>
    <xf numFmtId="169" fontId="0" fillId="16" borderId="11" xfId="0" applyNumberFormat="1" applyFill="1" applyBorder="1"/>
    <xf numFmtId="169" fontId="0" fillId="15" borderId="1" xfId="0" applyNumberFormat="1" applyFill="1" applyBorder="1"/>
    <xf numFmtId="169" fontId="0" fillId="17" borderId="1" xfId="0" applyNumberFormat="1" applyFill="1" applyBorder="1"/>
    <xf numFmtId="169" fontId="0" fillId="18" borderId="1" xfId="0" applyNumberFormat="1" applyFill="1" applyBorder="1"/>
    <xf numFmtId="0" fontId="26" fillId="19" borderId="0" xfId="0" applyFont="1" applyFill="1"/>
    <xf numFmtId="0" fontId="0" fillId="20" borderId="0" xfId="0" applyFill="1"/>
    <xf numFmtId="0" fontId="7" fillId="19" borderId="8" xfId="0" applyFont="1" applyFill="1" applyBorder="1"/>
    <xf numFmtId="0" fontId="0" fillId="19" borderId="1" xfId="0" applyFill="1" applyBorder="1"/>
    <xf numFmtId="0" fontId="0" fillId="19" borderId="8" xfId="0" applyFill="1" applyBorder="1"/>
    <xf numFmtId="169" fontId="0" fillId="19" borderId="1" xfId="0" applyNumberFormat="1" applyFill="1" applyBorder="1"/>
    <xf numFmtId="164" fontId="0" fillId="19" borderId="1" xfId="0" applyNumberFormat="1" applyFill="1" applyBorder="1"/>
    <xf numFmtId="0" fontId="7" fillId="0" borderId="1" xfId="0" applyFont="1" applyBorder="1"/>
    <xf numFmtId="6" fontId="0" fillId="0" borderId="0" xfId="0" applyNumberFormat="1"/>
    <xf numFmtId="0" fontId="0" fillId="0" borderId="1" xfId="0" applyBorder="1" applyAlignment="1">
      <alignment horizontal="center" vertical="center"/>
    </xf>
    <xf numFmtId="6" fontId="0" fillId="0" borderId="1" xfId="0" applyNumberFormat="1" applyBorder="1" applyAlignment="1">
      <alignment horizontal="center" vertical="center"/>
    </xf>
    <xf numFmtId="0" fontId="7" fillId="0" borderId="1" xfId="0" applyFont="1" applyBorder="1" applyAlignment="1">
      <alignment horizontal="center" vertical="center"/>
    </xf>
    <xf numFmtId="0" fontId="0" fillId="13" borderId="1" xfId="0" applyFill="1" applyBorder="1" applyAlignment="1">
      <alignment horizontal="center" vertical="center" wrapText="1"/>
    </xf>
    <xf numFmtId="0" fontId="28" fillId="13" borderId="1" xfId="0" applyFont="1" applyFill="1" applyBorder="1" applyAlignment="1">
      <alignment horizontal="center" vertical="center" wrapText="1"/>
    </xf>
    <xf numFmtId="0" fontId="0" fillId="0" borderId="0" xfId="0" applyAlignment="1">
      <alignment horizontal="center" vertical="center" wrapText="1"/>
    </xf>
    <xf numFmtId="6" fontId="7" fillId="0" borderId="1" xfId="0" applyNumberFormat="1" applyFont="1" applyBorder="1" applyAlignment="1">
      <alignment horizontal="center" vertical="center"/>
    </xf>
    <xf numFmtId="0" fontId="29" fillId="0" borderId="0" xfId="0" applyFont="1"/>
    <xf numFmtId="0" fontId="7" fillId="3" borderId="17" xfId="0" applyFont="1" applyFill="1" applyBorder="1"/>
    <xf numFmtId="0" fontId="0" fillId="3" borderId="2" xfId="0" applyFill="1" applyBorder="1"/>
    <xf numFmtId="0" fontId="7" fillId="3" borderId="3" xfId="0" applyFont="1" applyFill="1" applyBorder="1"/>
    <xf numFmtId="0" fontId="7" fillId="3" borderId="5" xfId="0" applyFont="1" applyFill="1" applyBorder="1"/>
    <xf numFmtId="169" fontId="0" fillId="3" borderId="7" xfId="0" applyNumberFormat="1" applyFill="1" applyBorder="1"/>
    <xf numFmtId="0" fontId="0" fillId="13" borderId="0" xfId="0" applyFill="1"/>
    <xf numFmtId="2" fontId="0" fillId="0" borderId="0" xfId="0" applyNumberFormat="1"/>
    <xf numFmtId="0" fontId="1" fillId="0" borderId="0" xfId="0" applyFont="1"/>
    <xf numFmtId="0" fontId="1" fillId="0" borderId="0" xfId="0" applyFont="1" applyAlignment="1">
      <alignment horizontal="right"/>
    </xf>
    <xf numFmtId="0" fontId="1" fillId="0" borderId="0" xfId="0" applyFont="1" applyAlignment="1">
      <alignment wrapText="1"/>
    </xf>
    <xf numFmtId="0" fontId="1" fillId="0" borderId="13" xfId="0" applyFont="1" applyBorder="1" applyAlignment="1">
      <alignment wrapText="1"/>
    </xf>
    <xf numFmtId="0" fontId="1" fillId="13" borderId="0" xfId="0" applyFont="1" applyFill="1"/>
    <xf numFmtId="164" fontId="4" fillId="13" borderId="9" xfId="0" applyNumberFormat="1" applyFont="1" applyFill="1" applyBorder="1"/>
    <xf numFmtId="44" fontId="4" fillId="13" borderId="9" xfId="0" applyNumberFormat="1" applyFont="1" applyFill="1" applyBorder="1"/>
    <xf numFmtId="165" fontId="4" fillId="13" borderId="9" xfId="0" applyNumberFormat="1" applyFont="1" applyFill="1" applyBorder="1"/>
    <xf numFmtId="0" fontId="13" fillId="0" borderId="8" xfId="0" applyFont="1" applyBorder="1"/>
    <xf numFmtId="0" fontId="18" fillId="0" borderId="11" xfId="0" applyFont="1" applyBorder="1" applyAlignment="1">
      <alignment wrapText="1"/>
    </xf>
    <xf numFmtId="0" fontId="18" fillId="11" borderId="12" xfId="0" applyFont="1" applyFill="1" applyBorder="1"/>
    <xf numFmtId="164" fontId="18" fillId="11" borderId="12" xfId="0" applyNumberFormat="1" applyFont="1" applyFill="1" applyBorder="1"/>
    <xf numFmtId="164" fontId="13" fillId="0" borderId="8" xfId="0" applyNumberFormat="1" applyFont="1" applyBorder="1"/>
    <xf numFmtId="164" fontId="13" fillId="0" borderId="11" xfId="0" applyNumberFormat="1" applyFont="1" applyBorder="1"/>
    <xf numFmtId="44" fontId="13" fillId="0" borderId="11" xfId="0" applyNumberFormat="1" applyFont="1" applyBorder="1"/>
    <xf numFmtId="44" fontId="18" fillId="11" borderId="12" xfId="0" applyNumberFormat="1" applyFont="1" applyFill="1" applyBorder="1"/>
    <xf numFmtId="0" fontId="2" fillId="0" borderId="0" xfId="1"/>
    <xf numFmtId="0" fontId="7" fillId="13" borderId="1" xfId="0" applyFont="1" applyFill="1" applyBorder="1"/>
    <xf numFmtId="169" fontId="0" fillId="0" borderId="1" xfId="0" applyNumberFormat="1" applyBorder="1" applyAlignment="1">
      <alignment horizontal="center" vertical="center"/>
    </xf>
    <xf numFmtId="0" fontId="27" fillId="0" borderId="1" xfId="0" applyFont="1" applyBorder="1" applyAlignment="1">
      <alignment horizontal="center" vertical="center"/>
    </xf>
    <xf numFmtId="168" fontId="0" fillId="0" borderId="1" xfId="0" applyNumberFormat="1" applyBorder="1" applyAlignment="1">
      <alignment horizontal="center" vertical="center"/>
    </xf>
    <xf numFmtId="6" fontId="18" fillId="11" borderId="1" xfId="0" applyNumberFormat="1" applyFont="1" applyFill="1" applyBorder="1"/>
    <xf numFmtId="0" fontId="30" fillId="0" borderId="1" xfId="0" applyFont="1" applyBorder="1"/>
    <xf numFmtId="2" fontId="7" fillId="0" borderId="1" xfId="0" applyNumberFormat="1" applyFont="1" applyBorder="1"/>
    <xf numFmtId="9" fontId="0" fillId="0" borderId="1" xfId="0" applyNumberFormat="1" applyBorder="1"/>
    <xf numFmtId="0" fontId="0" fillId="0" borderId="10" xfId="0" applyBorder="1"/>
    <xf numFmtId="164" fontId="4" fillId="0" borderId="0" xfId="0" applyNumberFormat="1" applyFont="1"/>
    <xf numFmtId="6" fontId="18" fillId="0" borderId="0" xfId="0" applyNumberFormat="1" applyFont="1"/>
    <xf numFmtId="6" fontId="0" fillId="0" borderId="1" xfId="0" applyNumberFormat="1" applyBorder="1"/>
    <xf numFmtId="0" fontId="18" fillId="0" borderId="17" xfId="0" applyFont="1" applyBorder="1" applyAlignment="1">
      <alignment horizontal="center"/>
    </xf>
    <xf numFmtId="0" fontId="20" fillId="0" borderId="14" xfId="0" applyFont="1" applyBorder="1"/>
    <xf numFmtId="0" fontId="18" fillId="0" borderId="17" xfId="0" applyFont="1" applyBorder="1" applyAlignment="1">
      <alignment horizontal="center" vertical="center"/>
    </xf>
    <xf numFmtId="0" fontId="9" fillId="13" borderId="1" xfId="0" applyFont="1" applyFill="1" applyBorder="1"/>
    <xf numFmtId="0" fontId="7" fillId="13" borderId="1" xfId="0" applyFont="1" applyFill="1" applyBorder="1" applyAlignment="1">
      <alignment wrapText="1"/>
    </xf>
    <xf numFmtId="6" fontId="0" fillId="13" borderId="1" xfId="0" applyNumberFormat="1" applyFill="1" applyBorder="1"/>
    <xf numFmtId="164" fontId="0" fillId="13" borderId="1" xfId="0" applyNumberFormat="1" applyFill="1" applyBorder="1"/>
    <xf numFmtId="169" fontId="0" fillId="13" borderId="1" xfId="0" applyNumberFormat="1" applyFill="1" applyBorder="1"/>
    <xf numFmtId="0" fontId="18" fillId="0" borderId="11" xfId="0" applyFont="1" applyBorder="1" applyAlignment="1">
      <alignment horizontal="center"/>
    </xf>
    <xf numFmtId="0" fontId="20" fillId="0" borderId="11" xfId="0" applyFont="1" applyBorder="1"/>
    <xf numFmtId="0" fontId="18" fillId="0" borderId="11" xfId="0" applyFont="1" applyBorder="1" applyAlignment="1">
      <alignment horizontal="center" vertical="center"/>
    </xf>
    <xf numFmtId="0" fontId="13" fillId="0" borderId="1" xfId="3" applyFont="1" applyBorder="1"/>
    <xf numFmtId="44" fontId="13" fillId="3" borderId="0" xfId="0" applyNumberFormat="1" applyFont="1" applyFill="1"/>
    <xf numFmtId="0" fontId="0" fillId="0" borderId="18" xfId="0" applyBorder="1"/>
    <xf numFmtId="169" fontId="0" fillId="0" borderId="18" xfId="0" applyNumberFormat="1" applyBorder="1"/>
    <xf numFmtId="0" fontId="1" fillId="0" borderId="18" xfId="0" applyFont="1" applyBorder="1"/>
    <xf numFmtId="0" fontId="0" fillId="3" borderId="0" xfId="0" applyFill="1"/>
    <xf numFmtId="44" fontId="0" fillId="0" borderId="18" xfId="2" applyFont="1" applyBorder="1"/>
    <xf numFmtId="44" fontId="1" fillId="0" borderId="18" xfId="2" applyFont="1" applyBorder="1"/>
    <xf numFmtId="44" fontId="13" fillId="0" borderId="8" xfId="0" applyNumberFormat="1" applyFont="1" applyBorder="1"/>
    <xf numFmtId="44" fontId="13" fillId="0" borderId="8" xfId="3" applyNumberFormat="1" applyFont="1" applyBorder="1"/>
    <xf numFmtId="0" fontId="13" fillId="0" borderId="17" xfId="0" applyFont="1" applyBorder="1"/>
    <xf numFmtId="0" fontId="13" fillId="0" borderId="19" xfId="0" applyFont="1" applyBorder="1"/>
    <xf numFmtId="0" fontId="13" fillId="0" borderId="2" xfId="0" applyFont="1" applyBorder="1"/>
    <xf numFmtId="164" fontId="13" fillId="0" borderId="18" xfId="0" applyNumberFormat="1" applyFont="1" applyBorder="1"/>
    <xf numFmtId="172" fontId="13" fillId="0" borderId="18" xfId="0" applyNumberFormat="1" applyFont="1" applyBorder="1"/>
    <xf numFmtId="164" fontId="13" fillId="0" borderId="18" xfId="3" applyNumberFormat="1" applyFont="1" applyBorder="1"/>
    <xf numFmtId="172" fontId="13" fillId="0" borderId="18" xfId="3" applyNumberFormat="1" applyFont="1" applyBorder="1"/>
    <xf numFmtId="169" fontId="18" fillId="0" borderId="0" xfId="0" applyNumberFormat="1" applyFont="1" applyAlignment="1">
      <alignment horizontal="left"/>
    </xf>
    <xf numFmtId="0" fontId="7" fillId="0" borderId="21" xfId="0" applyFont="1" applyBorder="1"/>
    <xf numFmtId="169" fontId="7" fillId="0" borderId="21" xfId="0" applyNumberFormat="1" applyFont="1" applyBorder="1"/>
    <xf numFmtId="169" fontId="7" fillId="0" borderId="22" xfId="0" applyNumberFormat="1" applyFont="1" applyBorder="1"/>
    <xf numFmtId="164" fontId="0" fillId="0" borderId="24" xfId="0" applyNumberFormat="1" applyBorder="1"/>
    <xf numFmtId="0" fontId="1" fillId="0" borderId="23" xfId="0" applyFont="1" applyBorder="1" applyAlignment="1">
      <alignment wrapText="1"/>
    </xf>
    <xf numFmtId="165" fontId="18" fillId="0" borderId="0" xfId="0" applyNumberFormat="1" applyFont="1"/>
    <xf numFmtId="0" fontId="7" fillId="19" borderId="27" xfId="0" applyFont="1" applyFill="1" applyBorder="1"/>
    <xf numFmtId="0" fontId="7" fillId="19" borderId="28" xfId="0" applyFont="1" applyFill="1" applyBorder="1"/>
    <xf numFmtId="169" fontId="7" fillId="19" borderId="28" xfId="0" applyNumberFormat="1" applyFont="1" applyFill="1" applyBorder="1"/>
    <xf numFmtId="164" fontId="7" fillId="19" borderId="28" xfId="0" applyNumberFormat="1" applyFont="1" applyFill="1" applyBorder="1"/>
    <xf numFmtId="165" fontId="7" fillId="19" borderId="28" xfId="0" applyNumberFormat="1" applyFont="1" applyFill="1" applyBorder="1"/>
    <xf numFmtId="165" fontId="7" fillId="19" borderId="29" xfId="0" applyNumberFormat="1" applyFont="1" applyFill="1" applyBorder="1"/>
    <xf numFmtId="44" fontId="13" fillId="3" borderId="8" xfId="0" applyNumberFormat="1" applyFont="1" applyFill="1" applyBorder="1"/>
    <xf numFmtId="0" fontId="33" fillId="0" borderId="0" xfId="4" applyFont="1"/>
    <xf numFmtId="174" fontId="33" fillId="0" borderId="0" xfId="5" applyNumberFormat="1" applyFont="1" applyFill="1"/>
    <xf numFmtId="0" fontId="25" fillId="0" borderId="0" xfId="4" applyFont="1"/>
    <xf numFmtId="0" fontId="32" fillId="0" borderId="0" xfId="4"/>
    <xf numFmtId="0" fontId="34" fillId="0" borderId="0" xfId="6" applyFill="1"/>
    <xf numFmtId="0" fontId="35" fillId="0" borderId="0" xfId="4" applyFont="1"/>
    <xf numFmtId="174" fontId="35" fillId="0" borderId="0" xfId="5" applyNumberFormat="1" applyFont="1" applyFill="1"/>
    <xf numFmtId="175" fontId="35" fillId="0" borderId="0" xfId="4" applyNumberFormat="1" applyFont="1"/>
    <xf numFmtId="0" fontId="34" fillId="0" borderId="0" xfId="6"/>
    <xf numFmtId="174" fontId="0" fillId="0" borderId="0" xfId="5" applyNumberFormat="1" applyFont="1" applyFill="1"/>
    <xf numFmtId="175" fontId="32" fillId="0" borderId="0" xfId="4" applyNumberFormat="1"/>
    <xf numFmtId="174" fontId="25" fillId="3" borderId="0" xfId="5" applyNumberFormat="1" applyFont="1" applyFill="1"/>
    <xf numFmtId="0" fontId="1" fillId="0" borderId="30" xfId="0" applyFont="1" applyBorder="1"/>
    <xf numFmtId="0" fontId="2" fillId="0" borderId="30" xfId="1" applyFill="1" applyBorder="1"/>
    <xf numFmtId="0" fontId="0" fillId="0" borderId="30" xfId="0" applyBorder="1" applyAlignment="1">
      <alignment wrapText="1"/>
    </xf>
    <xf numFmtId="0" fontId="1" fillId="0" borderId="30" xfId="0" applyFont="1" applyBorder="1" applyAlignment="1">
      <alignment wrapText="1"/>
    </xf>
    <xf numFmtId="0" fontId="1" fillId="0" borderId="31" xfId="0" applyFont="1" applyBorder="1" applyAlignment="1">
      <alignment wrapText="1"/>
    </xf>
    <xf numFmtId="0" fontId="7" fillId="0" borderId="32" xfId="0" applyFont="1" applyBorder="1"/>
    <xf numFmtId="0" fontId="7" fillId="19" borderId="33" xfId="0" applyFont="1" applyFill="1" applyBorder="1" applyAlignment="1">
      <alignment wrapText="1"/>
    </xf>
    <xf numFmtId="0" fontId="1" fillId="0" borderId="19" xfId="0" applyFont="1" applyBorder="1"/>
    <xf numFmtId="0" fontId="13" fillId="0" borderId="30" xfId="3" applyFont="1" applyBorder="1"/>
    <xf numFmtId="0" fontId="36" fillId="0" borderId="1" xfId="0" applyFont="1" applyBorder="1"/>
    <xf numFmtId="0" fontId="18" fillId="21" borderId="12" xfId="0" applyFont="1" applyFill="1" applyBorder="1"/>
    <xf numFmtId="164" fontId="4" fillId="21" borderId="12" xfId="0" applyNumberFormat="1" applyFont="1" applyFill="1" applyBorder="1"/>
    <xf numFmtId="164" fontId="18" fillId="21" borderId="12" xfId="0" applyNumberFormat="1" applyFont="1" applyFill="1" applyBorder="1"/>
    <xf numFmtId="44" fontId="18" fillId="21" borderId="12" xfId="0" applyNumberFormat="1" applyFont="1" applyFill="1" applyBorder="1"/>
    <xf numFmtId="0" fontId="37" fillId="21" borderId="12" xfId="0" applyFont="1" applyFill="1" applyBorder="1"/>
    <xf numFmtId="164" fontId="13" fillId="0" borderId="5" xfId="0" applyNumberFormat="1" applyFont="1" applyBorder="1"/>
    <xf numFmtId="164" fontId="13" fillId="0" borderId="12" xfId="0" applyNumberFormat="1" applyFont="1" applyBorder="1"/>
    <xf numFmtId="167" fontId="13" fillId="0" borderId="12" xfId="0" applyNumberFormat="1" applyFont="1" applyBorder="1"/>
    <xf numFmtId="44" fontId="13" fillId="0" borderId="12" xfId="0" applyNumberFormat="1" applyFont="1" applyBorder="1"/>
    <xf numFmtId="0" fontId="37" fillId="11" borderId="1" xfId="0" applyFont="1" applyFill="1" applyBorder="1"/>
    <xf numFmtId="0" fontId="18" fillId="22" borderId="1" xfId="0" applyFont="1" applyFill="1" applyBorder="1"/>
    <xf numFmtId="164" fontId="4" fillId="22" borderId="1" xfId="0" applyNumberFormat="1" applyFont="1" applyFill="1" applyBorder="1"/>
    <xf numFmtId="0" fontId="18" fillId="22" borderId="12" xfId="0" applyFont="1" applyFill="1" applyBorder="1"/>
    <xf numFmtId="164" fontId="18" fillId="22" borderId="12" xfId="0" applyNumberFormat="1" applyFont="1" applyFill="1" applyBorder="1"/>
    <xf numFmtId="44" fontId="18" fillId="22" borderId="12" xfId="0" applyNumberFormat="1" applyFont="1" applyFill="1" applyBorder="1"/>
    <xf numFmtId="164" fontId="0" fillId="14" borderId="34" xfId="0" applyNumberFormat="1" applyFill="1" applyBorder="1"/>
    <xf numFmtId="0" fontId="0" fillId="0" borderId="36" xfId="0" applyBorder="1"/>
    <xf numFmtId="169" fontId="0" fillId="0" borderId="36" xfId="0" applyNumberFormat="1" applyBorder="1"/>
    <xf numFmtId="164" fontId="0" fillId="0" borderId="36" xfId="0" applyNumberFormat="1" applyBorder="1"/>
    <xf numFmtId="164" fontId="0" fillId="0" borderId="37" xfId="0" applyNumberFormat="1" applyBorder="1"/>
    <xf numFmtId="0" fontId="0" fillId="0" borderId="38" xfId="0" applyBorder="1"/>
    <xf numFmtId="0" fontId="7" fillId="0" borderId="39" xfId="0" applyFont="1" applyBorder="1"/>
    <xf numFmtId="0" fontId="38" fillId="0" borderId="39" xfId="0" applyFont="1" applyBorder="1"/>
    <xf numFmtId="0" fontId="1" fillId="0" borderId="39" xfId="0" applyFont="1" applyBorder="1"/>
    <xf numFmtId="0" fontId="0" fillId="0" borderId="39" xfId="0" applyBorder="1"/>
    <xf numFmtId="0" fontId="0" fillId="0" borderId="35" xfId="0" applyBorder="1"/>
    <xf numFmtId="0" fontId="0" fillId="0" borderId="39" xfId="0" applyBorder="1" applyAlignment="1">
      <alignment horizontal="left" indent="5"/>
    </xf>
    <xf numFmtId="0" fontId="0" fillId="0" borderId="40" xfId="0" applyBorder="1" applyAlignment="1">
      <alignment horizontal="left" indent="5"/>
    </xf>
    <xf numFmtId="9" fontId="0" fillId="0" borderId="10" xfId="0" applyNumberFormat="1" applyBorder="1"/>
    <xf numFmtId="0" fontId="1" fillId="0" borderId="41" xfId="0" applyFont="1" applyBorder="1" applyAlignment="1">
      <alignment wrapText="1"/>
    </xf>
    <xf numFmtId="0" fontId="1" fillId="0" borderId="25" xfId="0" applyFont="1" applyBorder="1"/>
    <xf numFmtId="0" fontId="0" fillId="0" borderId="25" xfId="0" applyBorder="1"/>
    <xf numFmtId="169" fontId="0" fillId="0" borderId="25" xfId="0" applyNumberFormat="1" applyBorder="1"/>
    <xf numFmtId="164" fontId="0" fillId="0" borderId="25" xfId="0" applyNumberFormat="1" applyBorder="1"/>
    <xf numFmtId="164" fontId="0" fillId="0" borderId="42" xfId="0" applyNumberFormat="1" applyBorder="1"/>
    <xf numFmtId="164" fontId="0" fillId="14" borderId="6" xfId="0" applyNumberFormat="1" applyFill="1" applyBorder="1"/>
    <xf numFmtId="0" fontId="0" fillId="13" borderId="20" xfId="0" applyFill="1" applyBorder="1"/>
    <xf numFmtId="0" fontId="7" fillId="13" borderId="21" xfId="0" applyFont="1" applyFill="1" applyBorder="1"/>
    <xf numFmtId="0" fontId="7" fillId="13" borderId="22" xfId="0" applyFont="1" applyFill="1" applyBorder="1"/>
    <xf numFmtId="0" fontId="7" fillId="0" borderId="23" xfId="0" applyFont="1" applyBorder="1"/>
    <xf numFmtId="0" fontId="0" fillId="0" borderId="24" xfId="0" applyBorder="1"/>
    <xf numFmtId="0" fontId="0" fillId="0" borderId="23" xfId="0" applyBorder="1"/>
    <xf numFmtId="169" fontId="7" fillId="14" borderId="43" xfId="0" applyNumberFormat="1" applyFont="1" applyFill="1" applyBorder="1"/>
    <xf numFmtId="169" fontId="7" fillId="0" borderId="24" xfId="0" applyNumberFormat="1" applyFont="1" applyBorder="1"/>
    <xf numFmtId="0" fontId="0" fillId="0" borderId="30" xfId="0" applyBorder="1"/>
    <xf numFmtId="0" fontId="0" fillId="0" borderId="30" xfId="0" applyBorder="1" applyAlignment="1">
      <alignment horizontal="left" indent="5"/>
    </xf>
    <xf numFmtId="164" fontId="0" fillId="0" borderId="26" xfId="0" applyNumberFormat="1" applyBorder="1"/>
    <xf numFmtId="0" fontId="0" fillId="0" borderId="19" xfId="0" applyBorder="1"/>
    <xf numFmtId="169" fontId="0" fillId="14" borderId="25" xfId="0" applyNumberFormat="1" applyFill="1" applyBorder="1"/>
    <xf numFmtId="169" fontId="7" fillId="14" borderId="44" xfId="0" applyNumberFormat="1" applyFont="1" applyFill="1" applyBorder="1"/>
    <xf numFmtId="169" fontId="7" fillId="14" borderId="25" xfId="0" applyNumberFormat="1" applyFont="1" applyFill="1" applyBorder="1"/>
    <xf numFmtId="0" fontId="0" fillId="0" borderId="31" xfId="0" applyBorder="1" applyAlignment="1">
      <alignment horizontal="left" indent="5"/>
    </xf>
    <xf numFmtId="0" fontId="7" fillId="13" borderId="17" xfId="0" applyFont="1" applyFill="1" applyBorder="1" applyAlignment="1">
      <alignment wrapText="1"/>
    </xf>
    <xf numFmtId="0" fontId="7" fillId="14" borderId="5" xfId="0" applyFont="1" applyFill="1" applyBorder="1" applyAlignment="1">
      <alignment wrapText="1"/>
    </xf>
    <xf numFmtId="169" fontId="0" fillId="14" borderId="12" xfId="0" applyNumberFormat="1" applyFill="1" applyBorder="1"/>
    <xf numFmtId="0" fontId="7" fillId="0" borderId="18" xfId="0" applyFont="1" applyBorder="1" applyAlignment="1">
      <alignment wrapText="1"/>
    </xf>
    <xf numFmtId="164" fontId="0" fillId="0" borderId="18" xfId="0" applyNumberFormat="1" applyBorder="1"/>
    <xf numFmtId="169" fontId="0" fillId="0" borderId="18" xfId="0" applyNumberFormat="1" applyBorder="1" applyAlignment="1">
      <alignment wrapText="1"/>
    </xf>
    <xf numFmtId="169" fontId="7" fillId="0" borderId="18" xfId="0" applyNumberFormat="1" applyFont="1" applyBorder="1"/>
    <xf numFmtId="164" fontId="7" fillId="0" borderId="18" xfId="0" applyNumberFormat="1" applyFont="1" applyBorder="1"/>
    <xf numFmtId="9" fontId="7" fillId="0" borderId="10" xfId="0" applyNumberFormat="1" applyFont="1" applyBorder="1"/>
    <xf numFmtId="169" fontId="7" fillId="0" borderId="18" xfId="0" applyNumberFormat="1" applyFont="1" applyBorder="1" applyAlignment="1">
      <alignment wrapText="1"/>
    </xf>
    <xf numFmtId="169" fontId="7" fillId="14" borderId="12" xfId="0" applyNumberFormat="1" applyFont="1" applyFill="1" applyBorder="1"/>
    <xf numFmtId="164" fontId="7" fillId="14" borderId="9" xfId="0" applyNumberFormat="1" applyFont="1" applyFill="1" applyBorder="1"/>
    <xf numFmtId="164" fontId="7" fillId="14" borderId="34" xfId="0" applyNumberFormat="1" applyFont="1" applyFill="1" applyBorder="1"/>
    <xf numFmtId="0" fontId="0" fillId="0" borderId="18" xfId="0" applyBorder="1" applyAlignment="1">
      <alignment horizontal="left" wrapText="1" indent="2"/>
    </xf>
    <xf numFmtId="0" fontId="0" fillId="0" borderId="18" xfId="0" applyBorder="1" applyAlignment="1">
      <alignment horizontal="left" wrapText="1" indent="3"/>
    </xf>
    <xf numFmtId="0" fontId="7" fillId="13" borderId="18" xfId="0" applyFont="1" applyFill="1" applyBorder="1" applyAlignment="1">
      <alignment wrapText="1"/>
    </xf>
    <xf numFmtId="0" fontId="7" fillId="13" borderId="18" xfId="0" applyFont="1" applyFill="1" applyBorder="1"/>
    <xf numFmtId="9" fontId="7" fillId="0" borderId="18" xfId="0" applyNumberFormat="1" applyFont="1" applyBorder="1"/>
    <xf numFmtId="0" fontId="7" fillId="14" borderId="18" xfId="0" applyFont="1" applyFill="1" applyBorder="1"/>
    <xf numFmtId="169" fontId="0" fillId="14" borderId="18" xfId="0" applyNumberFormat="1" applyFill="1" applyBorder="1"/>
    <xf numFmtId="164" fontId="0" fillId="14" borderId="18" xfId="0" applyNumberFormat="1" applyFill="1" applyBorder="1"/>
    <xf numFmtId="9" fontId="0" fillId="0" borderId="18" xfId="0" applyNumberFormat="1" applyBorder="1"/>
    <xf numFmtId="0" fontId="0" fillId="0" borderId="18" xfId="0" applyBorder="1" applyAlignment="1">
      <alignment horizontal="left" wrapText="1" indent="4"/>
    </xf>
    <xf numFmtId="0" fontId="0" fillId="0" borderId="18" xfId="0" applyBorder="1" applyAlignment="1">
      <alignment horizontal="left" wrapText="1" indent="5"/>
    </xf>
    <xf numFmtId="0" fontId="7" fillId="14" borderId="18" xfId="0" applyFont="1" applyFill="1" applyBorder="1" applyAlignment="1">
      <alignment wrapText="1"/>
    </xf>
    <xf numFmtId="176" fontId="0" fillId="16" borderId="1" xfId="0" applyNumberFormat="1" applyFill="1" applyBorder="1"/>
    <xf numFmtId="169" fontId="7" fillId="16" borderId="12" xfId="0" applyNumberFormat="1" applyFont="1" applyFill="1" applyBorder="1"/>
    <xf numFmtId="176" fontId="7" fillId="16" borderId="1" xfId="0" applyNumberFormat="1" applyFont="1" applyFill="1" applyBorder="1"/>
    <xf numFmtId="169" fontId="7" fillId="15" borderId="1" xfId="0" applyNumberFormat="1" applyFont="1" applyFill="1" applyBorder="1"/>
    <xf numFmtId="169" fontId="7" fillId="15" borderId="11" xfId="0" applyNumberFormat="1" applyFont="1" applyFill="1" applyBorder="1"/>
    <xf numFmtId="169" fontId="7" fillId="17" borderId="12" xfId="0" applyNumberFormat="1" applyFont="1" applyFill="1" applyBorder="1"/>
    <xf numFmtId="169" fontId="7" fillId="18" borderId="12" xfId="0" applyNumberFormat="1" applyFont="1" applyFill="1" applyBorder="1"/>
    <xf numFmtId="176" fontId="0" fillId="15" borderId="1" xfId="0" applyNumberFormat="1" applyFill="1" applyBorder="1"/>
    <xf numFmtId="176" fontId="7" fillId="15" borderId="1" xfId="0" applyNumberFormat="1" applyFont="1" applyFill="1" applyBorder="1"/>
    <xf numFmtId="176" fontId="0" fillId="17" borderId="1" xfId="0" applyNumberFormat="1" applyFill="1" applyBorder="1"/>
    <xf numFmtId="176" fontId="7" fillId="17" borderId="12" xfId="0" applyNumberFormat="1" applyFont="1" applyFill="1" applyBorder="1"/>
    <xf numFmtId="176" fontId="0" fillId="18" borderId="1" xfId="0" applyNumberFormat="1" applyFill="1" applyBorder="1"/>
    <xf numFmtId="176" fontId="7" fillId="18" borderId="12" xfId="0" applyNumberFormat="1" applyFont="1" applyFill="1" applyBorder="1"/>
    <xf numFmtId="164" fontId="13" fillId="3" borderId="0" xfId="0" applyNumberFormat="1" applyFont="1" applyFill="1"/>
    <xf numFmtId="0" fontId="39" fillId="0" borderId="9" xfId="0" applyFont="1" applyBorder="1" applyAlignment="1">
      <alignment vertical="center" wrapText="1"/>
    </xf>
    <xf numFmtId="0" fontId="39" fillId="0" borderId="9" xfId="0" applyFont="1" applyBorder="1" applyAlignment="1">
      <alignment horizontal="center" vertical="center" wrapText="1"/>
    </xf>
    <xf numFmtId="0" fontId="39" fillId="0" borderId="0" xfId="0" applyFont="1"/>
    <xf numFmtId="0" fontId="40" fillId="0" borderId="0" xfId="0" applyFont="1"/>
    <xf numFmtId="169" fontId="40" fillId="0" borderId="0" xfId="0" applyNumberFormat="1" applyFont="1"/>
    <xf numFmtId="0" fontId="41" fillId="0" borderId="0" xfId="0" applyFont="1"/>
    <xf numFmtId="0" fontId="39" fillId="0" borderId="9" xfId="0" applyFont="1" applyBorder="1"/>
    <xf numFmtId="169" fontId="39" fillId="0" borderId="9" xfId="0" applyNumberFormat="1" applyFont="1" applyBorder="1"/>
    <xf numFmtId="0" fontId="40" fillId="0" borderId="0" xfId="0" applyFont="1" applyAlignment="1">
      <alignment wrapText="1"/>
    </xf>
    <xf numFmtId="0" fontId="39" fillId="0" borderId="6" xfId="0" applyFont="1" applyBorder="1" applyAlignment="1">
      <alignment vertical="center"/>
    </xf>
    <xf numFmtId="169" fontId="39" fillId="0" borderId="6" xfId="0" applyNumberFormat="1" applyFont="1" applyBorder="1" applyAlignment="1">
      <alignment vertical="center"/>
    </xf>
    <xf numFmtId="0" fontId="40" fillId="0" borderId="0" xfId="0" applyFont="1" applyAlignment="1">
      <alignment horizontal="center"/>
    </xf>
    <xf numFmtId="0" fontId="40" fillId="0" borderId="4" xfId="0" applyFont="1" applyBorder="1"/>
    <xf numFmtId="0" fontId="39" fillId="0" borderId="7" xfId="0" applyFont="1" applyBorder="1"/>
    <xf numFmtId="0" fontId="39" fillId="0" borderId="6" xfId="0" applyFont="1" applyBorder="1"/>
    <xf numFmtId="0" fontId="39" fillId="0" borderId="4" xfId="0" applyFont="1" applyBorder="1"/>
    <xf numFmtId="0" fontId="40" fillId="13" borderId="0" xfId="0" applyFont="1" applyFill="1"/>
    <xf numFmtId="9" fontId="0" fillId="0" borderId="0" xfId="7" applyFont="1"/>
    <xf numFmtId="0" fontId="42" fillId="0" borderId="45" xfId="0" applyFont="1" applyBorder="1" applyAlignment="1">
      <alignment vertical="center" wrapText="1"/>
    </xf>
    <xf numFmtId="0" fontId="42" fillId="0" borderId="45" xfId="0" applyFont="1" applyBorder="1" applyAlignment="1">
      <alignment horizontal="center" vertical="center" wrapText="1"/>
    </xf>
    <xf numFmtId="0" fontId="42" fillId="0" borderId="46" xfId="0" applyFont="1" applyBorder="1" applyAlignment="1">
      <alignment vertical="center" wrapText="1"/>
    </xf>
    <xf numFmtId="0" fontId="42" fillId="0" borderId="46" xfId="0" applyFont="1" applyBorder="1" applyAlignment="1">
      <alignment horizontal="center" vertical="center" wrapText="1"/>
    </xf>
    <xf numFmtId="0" fontId="41" fillId="0" borderId="0" xfId="0" applyFont="1" applyAlignment="1">
      <alignment vertical="center" wrapText="1"/>
    </xf>
    <xf numFmtId="0" fontId="41" fillId="0" borderId="0" xfId="0" applyFont="1" applyAlignment="1">
      <alignment horizontal="center" vertical="center" wrapText="1"/>
    </xf>
    <xf numFmtId="0" fontId="41" fillId="0" borderId="45" xfId="0" applyFont="1" applyBorder="1" applyAlignment="1">
      <alignment horizontal="center" vertical="center" wrapText="1"/>
    </xf>
    <xf numFmtId="0" fontId="41" fillId="0" borderId="46" xfId="0" applyFont="1" applyBorder="1" applyAlignment="1">
      <alignment vertical="center" wrapText="1"/>
    </xf>
    <xf numFmtId="0" fontId="41" fillId="0" borderId="46" xfId="0" applyFont="1" applyBorder="1" applyAlignment="1">
      <alignment horizontal="center" vertical="center" wrapText="1"/>
    </xf>
    <xf numFmtId="44" fontId="41" fillId="0" borderId="0" xfId="0" applyNumberFormat="1" applyFont="1" applyAlignment="1">
      <alignment horizontal="center" vertical="center" wrapText="1"/>
    </xf>
    <xf numFmtId="44" fontId="42" fillId="0" borderId="46" xfId="0" applyNumberFormat="1" applyFont="1" applyBorder="1" applyAlignment="1">
      <alignment horizontal="center" vertical="center" wrapText="1"/>
    </xf>
    <xf numFmtId="44" fontId="42" fillId="0" borderId="45" xfId="0" applyNumberFormat="1" applyFont="1" applyBorder="1" applyAlignment="1">
      <alignment horizontal="center" vertical="center" wrapText="1"/>
    </xf>
    <xf numFmtId="44" fontId="41" fillId="0" borderId="46" xfId="0" applyNumberFormat="1" applyFont="1" applyBorder="1" applyAlignment="1">
      <alignment horizontal="center" vertical="center" wrapText="1"/>
    </xf>
    <xf numFmtId="0" fontId="42" fillId="0" borderId="0" xfId="0" applyFont="1" applyAlignment="1">
      <alignment vertical="center" wrapText="1"/>
    </xf>
    <xf numFmtId="0" fontId="41" fillId="0" borderId="0" xfId="0" applyFont="1" applyAlignment="1">
      <alignment horizontal="left" vertical="center" wrapText="1"/>
    </xf>
    <xf numFmtId="0" fontId="42" fillId="0" borderId="0" xfId="0" applyFont="1" applyAlignment="1">
      <alignment horizontal="center" vertical="center" wrapText="1"/>
    </xf>
    <xf numFmtId="44" fontId="40" fillId="0" borderId="0" xfId="0" applyNumberFormat="1" applyFont="1"/>
    <xf numFmtId="0" fontId="42" fillId="0" borderId="36" xfId="0" applyFont="1" applyBorder="1" applyAlignment="1">
      <alignment vertical="center" wrapText="1"/>
    </xf>
    <xf numFmtId="0" fontId="39" fillId="0" borderId="36" xfId="0" applyFont="1" applyBorder="1"/>
    <xf numFmtId="44" fontId="39" fillId="0" borderId="36" xfId="0" applyNumberFormat="1" applyFont="1" applyBorder="1"/>
    <xf numFmtId="0" fontId="39" fillId="0" borderId="47" xfId="0" applyFont="1" applyBorder="1"/>
    <xf numFmtId="44" fontId="39" fillId="0" borderId="47" xfId="0" applyNumberFormat="1" applyFont="1" applyBorder="1"/>
    <xf numFmtId="44" fontId="39" fillId="0" borderId="0" xfId="0" applyNumberFormat="1" applyFont="1"/>
    <xf numFmtId="0" fontId="42" fillId="0" borderId="47" xfId="0" applyFont="1" applyBorder="1" applyAlignment="1">
      <alignment vertical="center"/>
    </xf>
    <xf numFmtId="0" fontId="44" fillId="0" borderId="0" xfId="0" applyFont="1"/>
    <xf numFmtId="168" fontId="40" fillId="0" borderId="0" xfId="0" applyNumberFormat="1" applyFont="1"/>
    <xf numFmtId="168" fontId="39" fillId="0" borderId="9" xfId="0" applyNumberFormat="1" applyFont="1" applyBorder="1"/>
    <xf numFmtId="171" fontId="40" fillId="0" borderId="0" xfId="0" applyNumberFormat="1" applyFont="1"/>
    <xf numFmtId="0" fontId="40" fillId="0" borderId="9" xfId="0" applyFont="1" applyBorder="1"/>
    <xf numFmtId="9" fontId="40" fillId="0" borderId="0" xfId="7" applyFont="1"/>
    <xf numFmtId="169" fontId="40" fillId="0" borderId="9" xfId="0" applyNumberFormat="1" applyFont="1" applyBorder="1"/>
    <xf numFmtId="0" fontId="40" fillId="0" borderId="0" xfId="0" applyFont="1" applyAlignment="1">
      <alignment horizontal="left" indent="2"/>
    </xf>
    <xf numFmtId="0" fontId="40" fillId="0" borderId="0" xfId="4" applyFont="1"/>
    <xf numFmtId="0" fontId="39" fillId="0" borderId="0" xfId="4" applyFont="1"/>
    <xf numFmtId="6" fontId="40" fillId="0" borderId="0" xfId="4" applyNumberFormat="1" applyFont="1"/>
    <xf numFmtId="6" fontId="40" fillId="0" borderId="6" xfId="4" applyNumberFormat="1" applyFont="1" applyBorder="1"/>
    <xf numFmtId="169" fontId="40" fillId="0" borderId="6" xfId="4" applyNumberFormat="1" applyFont="1" applyBorder="1"/>
    <xf numFmtId="170" fontId="40" fillId="0" borderId="0" xfId="7" applyNumberFormat="1" applyFont="1"/>
    <xf numFmtId="0" fontId="39" fillId="0" borderId="9" xfId="0" applyFont="1" applyBorder="1" applyAlignment="1">
      <alignment horizontal="center" vertical="center"/>
    </xf>
    <xf numFmtId="171" fontId="40" fillId="0" borderId="0" xfId="0" applyNumberFormat="1" applyFont="1" applyAlignment="1">
      <alignment horizontal="center" vertical="center"/>
    </xf>
    <xf numFmtId="171" fontId="40" fillId="0" borderId="9" xfId="0" applyNumberFormat="1" applyFont="1" applyBorder="1" applyAlignment="1">
      <alignment horizontal="center" vertical="center"/>
    </xf>
    <xf numFmtId="9" fontId="40" fillId="0" borderId="0" xfId="0" applyNumberFormat="1" applyFont="1"/>
    <xf numFmtId="0" fontId="45" fillId="0" borderId="0" xfId="0" applyFont="1"/>
    <xf numFmtId="9" fontId="45" fillId="0" borderId="0" xfId="0" applyNumberFormat="1" applyFont="1"/>
    <xf numFmtId="0" fontId="1" fillId="3" borderId="0" xfId="0" applyFont="1" applyFill="1"/>
    <xf numFmtId="0" fontId="42" fillId="0" borderId="48" xfId="0" applyFont="1" applyBorder="1" applyAlignment="1">
      <alignment vertical="center" wrapText="1"/>
    </xf>
    <xf numFmtId="0" fontId="46" fillId="0" borderId="0" xfId="0" applyFont="1"/>
    <xf numFmtId="0" fontId="39" fillId="0" borderId="28" xfId="0" applyFont="1" applyBorder="1"/>
    <xf numFmtId="0" fontId="39" fillId="0" borderId="28" xfId="0" applyFont="1" applyBorder="1" applyAlignment="1">
      <alignment horizontal="center" vertical="center" wrapText="1"/>
    </xf>
    <xf numFmtId="44" fontId="42" fillId="0" borderId="48" xfId="0" applyNumberFormat="1" applyFont="1" applyBorder="1" applyAlignment="1">
      <alignment vertical="center" wrapText="1"/>
    </xf>
    <xf numFmtId="44" fontId="39" fillId="0" borderId="48" xfId="0" applyNumberFormat="1" applyFont="1" applyBorder="1" applyAlignment="1">
      <alignment vertical="center"/>
    </xf>
    <xf numFmtId="0" fontId="40" fillId="0" borderId="28" xfId="0" applyFont="1" applyBorder="1"/>
    <xf numFmtId="171" fontId="40" fillId="0" borderId="28" xfId="0" applyNumberFormat="1" applyFont="1" applyBorder="1" applyAlignment="1">
      <alignment horizontal="center" vertical="center"/>
    </xf>
    <xf numFmtId="0" fontId="40" fillId="0" borderId="36" xfId="0" applyFont="1" applyBorder="1"/>
    <xf numFmtId="169" fontId="40" fillId="0" borderId="36" xfId="0" applyNumberFormat="1" applyFont="1" applyBorder="1"/>
    <xf numFmtId="170" fontId="40" fillId="0" borderId="36" xfId="0" applyNumberFormat="1" applyFont="1" applyBorder="1"/>
    <xf numFmtId="171" fontId="40" fillId="0" borderId="36" xfId="0" applyNumberFormat="1" applyFont="1" applyBorder="1"/>
    <xf numFmtId="9" fontId="40" fillId="0" borderId="36" xfId="7" applyFont="1" applyBorder="1"/>
    <xf numFmtId="0" fontId="40" fillId="0" borderId="25" xfId="0" applyFont="1" applyBorder="1"/>
    <xf numFmtId="169" fontId="40" fillId="0" borderId="25" xfId="0" applyNumberFormat="1" applyFont="1" applyBorder="1"/>
    <xf numFmtId="170" fontId="40" fillId="0" borderId="25" xfId="0" applyNumberFormat="1" applyFont="1" applyBorder="1"/>
    <xf numFmtId="171" fontId="40" fillId="0" borderId="25" xfId="0" applyNumberFormat="1" applyFont="1" applyBorder="1"/>
    <xf numFmtId="169" fontId="40" fillId="0" borderId="28" xfId="0" applyNumberFormat="1" applyFont="1" applyBorder="1"/>
    <xf numFmtId="170" fontId="40" fillId="0" borderId="28" xfId="0" applyNumberFormat="1" applyFont="1" applyBorder="1"/>
    <xf numFmtId="171" fontId="40" fillId="0" borderId="28" xfId="0" applyNumberFormat="1" applyFont="1" applyBorder="1"/>
    <xf numFmtId="0" fontId="42" fillId="0" borderId="25" xfId="0" applyFont="1" applyBorder="1" applyAlignment="1">
      <alignment vertical="center" wrapText="1"/>
    </xf>
    <xf numFmtId="0" fontId="42" fillId="0" borderId="49" xfId="0" applyFont="1" applyBorder="1" applyAlignment="1">
      <alignment vertical="center" wrapText="1"/>
    </xf>
    <xf numFmtId="44" fontId="42" fillId="0" borderId="49" xfId="0" applyNumberFormat="1" applyFont="1" applyBorder="1" applyAlignment="1">
      <alignment vertical="center" wrapText="1"/>
    </xf>
    <xf numFmtId="44" fontId="39" fillId="0" borderId="49" xfId="0" applyNumberFormat="1" applyFont="1" applyBorder="1" applyAlignment="1">
      <alignment vertical="center"/>
    </xf>
    <xf numFmtId="44" fontId="39" fillId="0" borderId="25" xfId="0" applyNumberFormat="1" applyFont="1" applyBorder="1"/>
    <xf numFmtId="0" fontId="42" fillId="0" borderId="50" xfId="0" applyFont="1" applyBorder="1" applyAlignment="1">
      <alignment vertical="center"/>
    </xf>
    <xf numFmtId="0" fontId="42" fillId="0" borderId="51" xfId="0" applyFont="1" applyBorder="1" applyAlignment="1">
      <alignment horizontal="center" vertical="center" wrapText="1"/>
    </xf>
    <xf numFmtId="0" fontId="42" fillId="0" borderId="52" xfId="0" applyFont="1" applyBorder="1" applyAlignment="1">
      <alignment horizontal="center" vertical="center" wrapText="1"/>
    </xf>
    <xf numFmtId="0" fontId="42" fillId="0" borderId="50" xfId="0" applyFont="1" applyBorder="1" applyAlignment="1">
      <alignment horizontal="center" vertical="center" wrapText="1"/>
    </xf>
    <xf numFmtId="0" fontId="39" fillId="0" borderId="6" xfId="0" applyFont="1" applyBorder="1" applyAlignment="1">
      <alignment horizontal="center"/>
    </xf>
    <xf numFmtId="0" fontId="40" fillId="0" borderId="0" xfId="0" applyFont="1" applyAlignment="1">
      <alignment horizontal="center"/>
    </xf>
    <xf numFmtId="0" fontId="21" fillId="0" borderId="8" xfId="0" applyFont="1" applyBorder="1" applyAlignment="1">
      <alignment horizontal="center" vertical="center" wrapText="1"/>
    </xf>
    <xf numFmtId="0" fontId="18" fillId="0" borderId="8" xfId="0" applyFont="1" applyBorder="1" applyAlignment="1">
      <alignment horizontal="center" vertical="center"/>
    </xf>
    <xf numFmtId="0" fontId="18" fillId="0" borderId="8" xfId="0" applyFont="1" applyBorder="1" applyAlignment="1">
      <alignment horizontal="center"/>
    </xf>
    <xf numFmtId="0" fontId="28" fillId="13" borderId="8" xfId="0" applyFont="1" applyFill="1" applyBorder="1" applyAlignment="1">
      <alignment horizontal="center" vertical="center" wrapText="1"/>
    </xf>
    <xf numFmtId="0" fontId="28" fillId="13" borderId="9" xfId="0" applyFont="1" applyFill="1" applyBorder="1" applyAlignment="1">
      <alignment horizontal="center" vertical="center" wrapText="1"/>
    </xf>
    <xf numFmtId="0" fontId="28" fillId="13" borderId="10" xfId="0" applyFont="1" applyFill="1" applyBorder="1" applyAlignment="1">
      <alignment horizontal="center" vertical="center" wrapText="1"/>
    </xf>
    <xf numFmtId="0" fontId="20" fillId="0" borderId="9" xfId="0" applyFont="1" applyBorder="1" applyAlignment="1"/>
    <xf numFmtId="0" fontId="20" fillId="0" borderId="10" xfId="0" applyFont="1" applyBorder="1" applyAlignment="1"/>
  </cellXfs>
  <cellStyles count="9">
    <cellStyle name="Currency" xfId="2" builtinId="4"/>
    <cellStyle name="Currency [0] 2" xfId="5" xr:uid="{81AE3C29-8DB3-47AB-B0A7-6AE59C8BDA55}"/>
    <cellStyle name="Hyperlink" xfId="1" builtinId="8"/>
    <cellStyle name="Hyperlink 2" xfId="6" xr:uid="{44602672-4E9B-4612-89A2-6C646E06480C}"/>
    <cellStyle name="Normal" xfId="0" builtinId="0"/>
    <cellStyle name="Normal 2" xfId="3" xr:uid="{91F9BE8D-B428-4A5D-B227-A9E189A351E7}"/>
    <cellStyle name="Normal 3" xfId="4" xr:uid="{F59259E0-5D29-430C-B83D-704E292D243C}"/>
    <cellStyle name="Percent" xfId="7" builtinId="5"/>
    <cellStyle name="Percent 2" xfId="8" xr:uid="{BD290323-35CE-4200-BA1B-2AFB31019C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sz="1200"/>
              <a:t>Annual Costs by Surveillance Model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barChart>
        <c:barDir val="col"/>
        <c:grouping val="stacked"/>
        <c:varyColors val="0"/>
        <c:ser>
          <c:idx val="0"/>
          <c:order val="0"/>
          <c:tx>
            <c:strRef>
              <c:f>'Bar chart'!$D$6</c:f>
              <c:strCache>
                <c:ptCount val="1"/>
                <c:pt idx="0">
                  <c:v>Personnel</c:v>
                </c:pt>
              </c:strCache>
            </c:strRef>
          </c:tx>
          <c:spPr>
            <a:solidFill>
              <a:schemeClr val="bg1">
                <a:lumMod val="75000"/>
              </a:schemeClr>
            </a:solidFill>
            <a:ln>
              <a:noFill/>
            </a:ln>
            <a:effectLst/>
          </c:spPr>
          <c:invertIfNegative val="0"/>
          <c:dLbls>
            <c:dLbl>
              <c:idx val="0"/>
              <c:tx>
                <c:rich>
                  <a:bodyPr/>
                  <a:lstStyle/>
                  <a:p>
                    <a:fld id="{AAF6C884-065B-4119-9E08-F0F0F778F0FE}"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0BD3-4040-99F3-FBBC2D495A90}"/>
                </c:ext>
              </c:extLst>
            </c:dLbl>
            <c:dLbl>
              <c:idx val="1"/>
              <c:tx>
                <c:rich>
                  <a:bodyPr/>
                  <a:lstStyle/>
                  <a:p>
                    <a:fld id="{7DBB18E3-680D-46EE-80B3-8FB5F09FE386}"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0BD3-4040-99F3-FBBC2D495A90}"/>
                </c:ext>
              </c:extLst>
            </c:dLbl>
            <c:dLbl>
              <c:idx val="2"/>
              <c:tx>
                <c:rich>
                  <a:bodyPr/>
                  <a:lstStyle/>
                  <a:p>
                    <a:fld id="{19DEEC5F-C82A-493A-A0F8-8A3B4F341846}"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0BD3-4040-99F3-FBBC2D495A90}"/>
                </c:ext>
              </c:extLst>
            </c:dLbl>
            <c:dLbl>
              <c:idx val="3"/>
              <c:tx>
                <c:rich>
                  <a:bodyPr/>
                  <a:lstStyle/>
                  <a:p>
                    <a:fld id="{FC03D676-6AA7-4589-AED7-494CF3F309B0}"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0BD3-4040-99F3-FBBC2D495A90}"/>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'Bar chart'!$E$5:$H$5</c:f>
              <c:strCache>
                <c:ptCount val="4"/>
                <c:pt idx="0">
                  <c:v>Routine</c:v>
                </c:pt>
                <c:pt idx="1">
                  <c:v>Model 1</c:v>
                </c:pt>
                <c:pt idx="2">
                  <c:v>Model 2</c:v>
                </c:pt>
                <c:pt idx="3">
                  <c:v>Model 3</c:v>
                </c:pt>
              </c:strCache>
            </c:strRef>
          </c:cat>
          <c:val>
            <c:numRef>
              <c:f>'Bar chart'!$E$6:$H$6</c:f>
              <c:numCache>
                <c:formatCode>"$"#,##0_);[Red]\("$"#,##0\)</c:formatCode>
                <c:ptCount val="4"/>
                <c:pt idx="0">
                  <c:v>2700</c:v>
                </c:pt>
                <c:pt idx="1">
                  <c:v>1408.695652173913</c:v>
                </c:pt>
                <c:pt idx="2">
                  <c:v>1539.1304347826087</c:v>
                </c:pt>
                <c:pt idx="3">
                  <c:v>1800</c:v>
                </c:pt>
              </c:numCache>
            </c:numRef>
          </c:val>
          <c:extLst>
            <c:ext xmlns:c15="http://schemas.microsoft.com/office/drawing/2012/chart" uri="{02D57815-91ED-43cb-92C2-25804820EDAC}">
              <c15:datalabelsRange>
                <c15:f>'Bar chart'!$E$14:$H$14</c15:f>
                <c15:dlblRangeCache>
                  <c:ptCount val="4"/>
                  <c:pt idx="0">
                    <c:v>25%</c:v>
                  </c:pt>
                  <c:pt idx="1">
                    <c:v>16%</c:v>
                  </c:pt>
                  <c:pt idx="2">
                    <c:v>17%</c:v>
                  </c:pt>
                  <c:pt idx="3">
                    <c:v>18%</c:v>
                  </c:pt>
                </c15:dlblRangeCache>
              </c15:datalabelsRange>
            </c:ext>
            <c:ext xmlns:c16="http://schemas.microsoft.com/office/drawing/2014/chart" uri="{C3380CC4-5D6E-409C-BE32-E72D297353CC}">
              <c16:uniqueId val="{00000000-31B9-4448-B65F-CC3D08975090}"/>
            </c:ext>
          </c:extLst>
        </c:ser>
        <c:ser>
          <c:idx val="1"/>
          <c:order val="1"/>
          <c:tx>
            <c:strRef>
              <c:f>'Bar chart'!$D$7</c:f>
              <c:strCache>
                <c:ptCount val="1"/>
                <c:pt idx="0">
                  <c:v>Pyrethrum aerosol spray</c:v>
                </c:pt>
              </c:strCache>
            </c:strRef>
          </c:tx>
          <c:spPr>
            <a:solidFill>
              <a:schemeClr val="tx2">
                <a:lumMod val="10000"/>
                <a:lumOff val="90000"/>
              </a:schemeClr>
            </a:solidFill>
            <a:ln>
              <a:noFill/>
            </a:ln>
            <a:effectLst/>
          </c:spPr>
          <c:invertIfNegative val="0"/>
          <c:dLbls>
            <c:dLbl>
              <c:idx val="0"/>
              <c:tx>
                <c:rich>
                  <a:bodyPr/>
                  <a:lstStyle/>
                  <a:p>
                    <a:fld id="{26E25F4D-D382-4019-9A28-02321B573EC4}"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0BD3-4040-99F3-FBBC2D495A90}"/>
                </c:ext>
              </c:extLst>
            </c:dLbl>
            <c:dLbl>
              <c:idx val="1"/>
              <c:tx>
                <c:rich>
                  <a:bodyPr/>
                  <a:lstStyle/>
                  <a:p>
                    <a:fld id="{1EF042B8-C9E7-4BF7-8924-A1A5FA2D0EF1}"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0BD3-4040-99F3-FBBC2D495A90}"/>
                </c:ext>
              </c:extLst>
            </c:dLbl>
            <c:dLbl>
              <c:idx val="2"/>
              <c:tx>
                <c:rich>
                  <a:bodyPr/>
                  <a:lstStyle/>
                  <a:p>
                    <a:fld id="{08FC3996-53C1-47FC-97BC-CE17E72864D4}"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0BD3-4040-99F3-FBBC2D495A90}"/>
                </c:ext>
              </c:extLst>
            </c:dLbl>
            <c:dLbl>
              <c:idx val="3"/>
              <c:tx>
                <c:rich>
                  <a:bodyPr/>
                  <a:lstStyle/>
                  <a:p>
                    <a:fld id="{F3E1219F-F719-49AD-B4E0-26CF551920B4}"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0BD3-4040-99F3-FBBC2D495A90}"/>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'Bar chart'!$E$5:$H$5</c:f>
              <c:strCache>
                <c:ptCount val="4"/>
                <c:pt idx="0">
                  <c:v>Routine</c:v>
                </c:pt>
                <c:pt idx="1">
                  <c:v>Model 1</c:v>
                </c:pt>
                <c:pt idx="2">
                  <c:v>Model 2</c:v>
                </c:pt>
                <c:pt idx="3">
                  <c:v>Model 3</c:v>
                </c:pt>
              </c:strCache>
            </c:strRef>
          </c:cat>
          <c:val>
            <c:numRef>
              <c:f>'Bar chart'!$E$7:$H$7</c:f>
              <c:numCache>
                <c:formatCode>"$"#,##0_);[Red]\("$"#,##0\)</c:formatCode>
                <c:ptCount val="4"/>
                <c:pt idx="0">
                  <c:v>2101.304347826087</c:v>
                </c:pt>
                <c:pt idx="1">
                  <c:v>2101.304347826087</c:v>
                </c:pt>
                <c:pt idx="2">
                  <c:v>2101.304347826087</c:v>
                </c:pt>
                <c:pt idx="3">
                  <c:v>2101.304347826087</c:v>
                </c:pt>
              </c:numCache>
            </c:numRef>
          </c:val>
          <c:extLst>
            <c:ext xmlns:c15="http://schemas.microsoft.com/office/drawing/2012/chart" uri="{02D57815-91ED-43cb-92C2-25804820EDAC}">
              <c15:datalabelsRange>
                <c15:f>'Bar chart'!$E$15:$H$15</c15:f>
                <c15:dlblRangeCache>
                  <c:ptCount val="4"/>
                  <c:pt idx="0">
                    <c:v>20%</c:v>
                  </c:pt>
                  <c:pt idx="1">
                    <c:v>24%</c:v>
                  </c:pt>
                  <c:pt idx="2">
                    <c:v>23%</c:v>
                  </c:pt>
                  <c:pt idx="3">
                    <c:v>21%</c:v>
                  </c:pt>
                </c15:dlblRangeCache>
              </c15:datalabelsRange>
            </c:ext>
            <c:ext xmlns:c16="http://schemas.microsoft.com/office/drawing/2014/chart" uri="{C3380CC4-5D6E-409C-BE32-E72D297353CC}">
              <c16:uniqueId val="{00000001-31B9-4448-B65F-CC3D08975090}"/>
            </c:ext>
          </c:extLst>
        </c:ser>
        <c:ser>
          <c:idx val="2"/>
          <c:order val="2"/>
          <c:tx>
            <c:strRef>
              <c:f>'Bar chart'!$D$8</c:f>
              <c:strCache>
                <c:ptCount val="1"/>
                <c:pt idx="0">
                  <c:v>CDC light traps</c:v>
                </c:pt>
              </c:strCache>
            </c:strRef>
          </c:tx>
          <c:spPr>
            <a:solidFill>
              <a:schemeClr val="tx2">
                <a:lumMod val="25000"/>
                <a:lumOff val="75000"/>
              </a:schemeClr>
            </a:solidFill>
            <a:ln>
              <a:noFill/>
            </a:ln>
            <a:effectLst/>
          </c:spPr>
          <c:invertIfNegative val="0"/>
          <c:dLbls>
            <c:dLbl>
              <c:idx val="0"/>
              <c:tx>
                <c:rich>
                  <a:bodyPr/>
                  <a:lstStyle/>
                  <a:p>
                    <a:fld id="{7F04C4B0-5429-447D-B78B-5D19C04E4F02}"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0BD3-4040-99F3-FBBC2D495A90}"/>
                </c:ext>
              </c:extLst>
            </c:dLbl>
            <c:dLbl>
              <c:idx val="1"/>
              <c:tx>
                <c:rich>
                  <a:bodyPr/>
                  <a:lstStyle/>
                  <a:p>
                    <a:fld id="{884B80A5-353E-4542-A5A1-C7568BB13799}"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0BD3-4040-99F3-FBBC2D495A90}"/>
                </c:ext>
              </c:extLst>
            </c:dLbl>
            <c:dLbl>
              <c:idx val="2"/>
              <c:tx>
                <c:rich>
                  <a:bodyPr/>
                  <a:lstStyle/>
                  <a:p>
                    <a:fld id="{B9F2B102-148D-46F5-B94B-996BBAFDEB68}"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0BD3-4040-99F3-FBBC2D495A90}"/>
                </c:ext>
              </c:extLst>
            </c:dLbl>
            <c:dLbl>
              <c:idx val="3"/>
              <c:tx>
                <c:rich>
                  <a:bodyPr/>
                  <a:lstStyle/>
                  <a:p>
                    <a:fld id="{77D951CE-65F3-4CD5-8FF2-961DE866825F}"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0BD3-4040-99F3-FBBC2D495A90}"/>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'Bar chart'!$E$5:$H$5</c:f>
              <c:strCache>
                <c:ptCount val="4"/>
                <c:pt idx="0">
                  <c:v>Routine</c:v>
                </c:pt>
                <c:pt idx="1">
                  <c:v>Model 1</c:v>
                </c:pt>
                <c:pt idx="2">
                  <c:v>Model 2</c:v>
                </c:pt>
                <c:pt idx="3">
                  <c:v>Model 3</c:v>
                </c:pt>
              </c:strCache>
            </c:strRef>
          </c:cat>
          <c:val>
            <c:numRef>
              <c:f>'Bar chart'!$E$8:$H$8</c:f>
              <c:numCache>
                <c:formatCode>"$"#,##0_);[Red]\("$"#,##0\)</c:formatCode>
                <c:ptCount val="4"/>
                <c:pt idx="0">
                  <c:v>495</c:v>
                </c:pt>
                <c:pt idx="1">
                  <c:v>495</c:v>
                </c:pt>
                <c:pt idx="2">
                  <c:v>495</c:v>
                </c:pt>
                <c:pt idx="3">
                  <c:v>495</c:v>
                </c:pt>
              </c:numCache>
            </c:numRef>
          </c:val>
          <c:extLst>
            <c:ext xmlns:c15="http://schemas.microsoft.com/office/drawing/2012/chart" uri="{02D57815-91ED-43cb-92C2-25804820EDAC}">
              <c15:datalabelsRange>
                <c15:f>'Bar chart'!$E$16:$H$16</c15:f>
                <c15:dlblRangeCache>
                  <c:ptCount val="4"/>
                  <c:pt idx="0">
                    <c:v>5%</c:v>
                  </c:pt>
                  <c:pt idx="1">
                    <c:v>6%</c:v>
                  </c:pt>
                  <c:pt idx="2">
                    <c:v>5%</c:v>
                  </c:pt>
                  <c:pt idx="3">
                    <c:v>5%</c:v>
                  </c:pt>
                </c15:dlblRangeCache>
              </c15:datalabelsRange>
            </c:ext>
            <c:ext xmlns:c16="http://schemas.microsoft.com/office/drawing/2014/chart" uri="{C3380CC4-5D6E-409C-BE32-E72D297353CC}">
              <c16:uniqueId val="{00000002-31B9-4448-B65F-CC3D08975090}"/>
            </c:ext>
          </c:extLst>
        </c:ser>
        <c:ser>
          <c:idx val="3"/>
          <c:order val="3"/>
          <c:tx>
            <c:strRef>
              <c:f>'Bar chart'!$D$9</c:f>
              <c:strCache>
                <c:ptCount val="1"/>
                <c:pt idx="0">
                  <c:v>Other supplies</c:v>
                </c:pt>
              </c:strCache>
            </c:strRef>
          </c:tx>
          <c:spPr>
            <a:solidFill>
              <a:schemeClr val="accent4">
                <a:tint val="77000"/>
              </a:schemeClr>
            </a:solidFill>
            <a:ln>
              <a:noFill/>
            </a:ln>
            <a:effectLst/>
          </c:spPr>
          <c:invertIfNegative val="0"/>
          <c:dLbls>
            <c:dLbl>
              <c:idx val="0"/>
              <c:tx>
                <c:rich>
                  <a:bodyPr/>
                  <a:lstStyle/>
                  <a:p>
                    <a:fld id="{D1DC758C-558B-4ED7-BE95-7B4C64C85001}"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0BD3-4040-99F3-FBBC2D495A90}"/>
                </c:ext>
              </c:extLst>
            </c:dLbl>
            <c:dLbl>
              <c:idx val="1"/>
              <c:tx>
                <c:rich>
                  <a:bodyPr/>
                  <a:lstStyle/>
                  <a:p>
                    <a:fld id="{4A1C652D-0096-4969-9F06-7460CFAD353C}"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0BD3-4040-99F3-FBBC2D495A90}"/>
                </c:ext>
              </c:extLst>
            </c:dLbl>
            <c:dLbl>
              <c:idx val="2"/>
              <c:tx>
                <c:rich>
                  <a:bodyPr/>
                  <a:lstStyle/>
                  <a:p>
                    <a:fld id="{0CADB74F-A224-408D-9949-B3A44F9B14CF}"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0BD3-4040-99F3-FBBC2D495A90}"/>
                </c:ext>
              </c:extLst>
            </c:dLbl>
            <c:dLbl>
              <c:idx val="3"/>
              <c:tx>
                <c:rich>
                  <a:bodyPr/>
                  <a:lstStyle/>
                  <a:p>
                    <a:fld id="{BFC3C923-EA78-46A1-BF5E-F3F3C6165C8E}"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0BD3-4040-99F3-FBBC2D495A90}"/>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'Bar chart'!$E$5:$H$5</c:f>
              <c:strCache>
                <c:ptCount val="4"/>
                <c:pt idx="0">
                  <c:v>Routine</c:v>
                </c:pt>
                <c:pt idx="1">
                  <c:v>Model 1</c:v>
                </c:pt>
                <c:pt idx="2">
                  <c:v>Model 2</c:v>
                </c:pt>
                <c:pt idx="3">
                  <c:v>Model 3</c:v>
                </c:pt>
              </c:strCache>
            </c:strRef>
          </c:cat>
          <c:val>
            <c:numRef>
              <c:f>'Bar chart'!$E$9:$H$9</c:f>
              <c:numCache>
                <c:formatCode>"$"#,##0_);[Red]\("$"#,##0\)</c:formatCode>
                <c:ptCount val="4"/>
                <c:pt idx="0">
                  <c:v>4079.62</c:v>
                </c:pt>
                <c:pt idx="1">
                  <c:v>4847.399229249012</c:v>
                </c:pt>
                <c:pt idx="2">
                  <c:v>4847.399229249012</c:v>
                </c:pt>
                <c:pt idx="3">
                  <c:v>4847.399229249012</c:v>
                </c:pt>
              </c:numCache>
            </c:numRef>
          </c:val>
          <c:extLst>
            <c:ext xmlns:c15="http://schemas.microsoft.com/office/drawing/2012/chart" uri="{02D57815-91ED-43cb-92C2-25804820EDAC}">
              <c15:datalabelsRange>
                <c15:f>'Bar chart'!$E$17:$H$17</c15:f>
                <c15:dlblRangeCache>
                  <c:ptCount val="4"/>
                  <c:pt idx="0">
                    <c:v>38%</c:v>
                  </c:pt>
                  <c:pt idx="1">
                    <c:v>55%</c:v>
                  </c:pt>
                  <c:pt idx="2">
                    <c:v>53%</c:v>
                  </c:pt>
                  <c:pt idx="3">
                    <c:v>49%</c:v>
                  </c:pt>
                </c15:dlblRangeCache>
              </c15:datalabelsRange>
            </c:ext>
            <c:ext xmlns:c16="http://schemas.microsoft.com/office/drawing/2014/chart" uri="{C3380CC4-5D6E-409C-BE32-E72D297353CC}">
              <c16:uniqueId val="{00000003-31B9-4448-B65F-CC3D08975090}"/>
            </c:ext>
          </c:extLst>
        </c:ser>
        <c:ser>
          <c:idx val="4"/>
          <c:order val="4"/>
          <c:tx>
            <c:strRef>
              <c:f>'Bar chart'!$D$10</c:f>
              <c:strCache>
                <c:ptCount val="1"/>
                <c:pt idx="0">
                  <c:v>Transportation</c:v>
                </c:pt>
              </c:strCache>
            </c:strRef>
          </c:tx>
          <c:spPr>
            <a:solidFill>
              <a:schemeClr val="accent2">
                <a:lumMod val="40000"/>
                <a:lumOff val="60000"/>
              </a:schemeClr>
            </a:solidFill>
            <a:ln>
              <a:noFill/>
            </a:ln>
            <a:effectLst/>
          </c:spPr>
          <c:invertIfNegative val="0"/>
          <c:dLbls>
            <c:dLbl>
              <c:idx val="0"/>
              <c:tx>
                <c:rich>
                  <a:bodyPr/>
                  <a:lstStyle/>
                  <a:p>
                    <a:fld id="{0AD22C9D-9BED-4C15-B415-661DAE737EFA}"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0BD3-4040-99F3-FBBC2D495A90}"/>
                </c:ext>
              </c:extLst>
            </c:dLbl>
            <c:dLbl>
              <c:idx val="1"/>
              <c:delete val="1"/>
              <c:extLst>
                <c:ext xmlns:c15="http://schemas.microsoft.com/office/drawing/2012/chart" uri="{CE6537A1-D6FC-4f65-9D91-7224C49458BB}"/>
                <c:ext xmlns:c16="http://schemas.microsoft.com/office/drawing/2014/chart" uri="{C3380CC4-5D6E-409C-BE32-E72D297353CC}">
                  <c16:uniqueId val="{00000001-0BD3-4040-99F3-FBBC2D495A90}"/>
                </c:ext>
              </c:extLst>
            </c:dLbl>
            <c:dLbl>
              <c:idx val="2"/>
              <c:layout>
                <c:manualLayout>
                  <c:x val="0"/>
                  <c:y val="-3.305986275601467E-2"/>
                </c:manualLayout>
              </c:layout>
              <c:tx>
                <c:rich>
                  <a:bodyPr/>
                  <a:lstStyle/>
                  <a:p>
                    <a:fld id="{B96DF62E-2071-4F02-A8F8-E352428353E9}"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0BD3-4040-99F3-FBBC2D495A90}"/>
                </c:ext>
              </c:extLst>
            </c:dLbl>
            <c:dLbl>
              <c:idx val="3"/>
              <c:tx>
                <c:rich>
                  <a:bodyPr/>
                  <a:lstStyle/>
                  <a:p>
                    <a:fld id="{40DA9778-1B67-43CD-882D-89AABE56A23B}" type="CELLRANGE">
                      <a:rPr lang="en-US"/>
                      <a:pPr/>
                      <a:t>[]</a:t>
                    </a:fld>
                    <a:endParaRPr/>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BD3-4040-99F3-FBBC2D495A90}"/>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'Bar chart'!$E$5:$H$5</c:f>
              <c:strCache>
                <c:ptCount val="4"/>
                <c:pt idx="0">
                  <c:v>Routine</c:v>
                </c:pt>
                <c:pt idx="1">
                  <c:v>Model 1</c:v>
                </c:pt>
                <c:pt idx="2">
                  <c:v>Model 2</c:v>
                </c:pt>
                <c:pt idx="3">
                  <c:v>Model 3</c:v>
                </c:pt>
              </c:strCache>
            </c:strRef>
          </c:cat>
          <c:val>
            <c:numRef>
              <c:f>'Bar chart'!$E$10:$H$10</c:f>
              <c:numCache>
                <c:formatCode>_([$$-409]* #,##0.00_);_([$$-409]* \(#,##0.00\);_([$$-409]* "-"??_);_(@_)</c:formatCode>
                <c:ptCount val="4"/>
                <c:pt idx="0" formatCode="&quot;$&quot;#,##0_);[Red]\(&quot;$&quot;#,##0\)">
                  <c:v>1239.1304347826087</c:v>
                </c:pt>
                <c:pt idx="1">
                  <c:v>0</c:v>
                </c:pt>
                <c:pt idx="2" formatCode="&quot;$&quot;#,##0_);[Red]\(&quot;$&quot;#,##0\)">
                  <c:v>217.39130434782609</c:v>
                </c:pt>
                <c:pt idx="3" formatCode="&quot;$&quot;#,##0_);[Red]\(&quot;$&quot;#,##0\)">
                  <c:v>652.17391304347825</c:v>
                </c:pt>
              </c:numCache>
            </c:numRef>
          </c:val>
          <c:extLst>
            <c:ext xmlns:c15="http://schemas.microsoft.com/office/drawing/2012/chart" uri="{02D57815-91ED-43cb-92C2-25804820EDAC}">
              <c15:datalabelsRange>
                <c15:f>'Bar chart'!$E$18:$H$18</c15:f>
                <c15:dlblRangeCache>
                  <c:ptCount val="4"/>
                  <c:pt idx="0">
                    <c:v>12%</c:v>
                  </c:pt>
                  <c:pt idx="1">
                    <c:v>0%</c:v>
                  </c:pt>
                  <c:pt idx="2">
                    <c:v>2%</c:v>
                  </c:pt>
                  <c:pt idx="3">
                    <c:v>7%</c:v>
                  </c:pt>
                </c15:dlblRangeCache>
              </c15:datalabelsRange>
            </c:ext>
            <c:ext xmlns:c16="http://schemas.microsoft.com/office/drawing/2014/chart" uri="{C3380CC4-5D6E-409C-BE32-E72D297353CC}">
              <c16:uniqueId val="{00000004-31B9-4448-B65F-CC3D08975090}"/>
            </c:ext>
          </c:extLst>
        </c:ser>
        <c:dLbls>
          <c:dLblPos val="ctr"/>
          <c:showLegendKey val="0"/>
          <c:showVal val="1"/>
          <c:showCatName val="0"/>
          <c:showSerName val="0"/>
          <c:showPercent val="0"/>
          <c:showBubbleSize val="0"/>
        </c:dLbls>
        <c:gapWidth val="150"/>
        <c:overlap val="100"/>
        <c:axId val="892875760"/>
        <c:axId val="892877680"/>
      </c:barChart>
      <c:catAx>
        <c:axId val="8928757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892877680"/>
        <c:crosses val="autoZero"/>
        <c:auto val="1"/>
        <c:lblAlgn val="ctr"/>
        <c:lblOffset val="100"/>
        <c:noMultiLvlLbl val="0"/>
      </c:catAx>
      <c:valAx>
        <c:axId val="89287768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crossAx val="89287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9</xdr:col>
      <xdr:colOff>350184</xdr:colOff>
      <xdr:row>3</xdr:row>
      <xdr:rowOff>48746</xdr:rowOff>
    </xdr:from>
    <xdr:to>
      <xdr:col>16</xdr:col>
      <xdr:colOff>201706</xdr:colOff>
      <xdr:row>19</xdr:row>
      <xdr:rowOff>172850</xdr:rowOff>
    </xdr:to>
    <xdr:graphicFrame macro="">
      <xdr:nvGraphicFramePr>
        <xdr:cNvPr id="8" name="Chart 1">
          <a:extLst>
            <a:ext uri="{FF2B5EF4-FFF2-40B4-BE49-F238E27FC236}">
              <a16:creationId xmlns:a16="http://schemas.microsoft.com/office/drawing/2014/main" id="{7AEA6419-6BC7-9E4D-5464-91885052A2CE}"/>
            </a:ext>
            <a:ext uri="{147F2762-F138-4A5C-976F-8EAC2B608ADB}">
              <a16:predDERef xmlns:a16="http://schemas.microsoft.com/office/drawing/2014/main" pred="{9888AB81-CCC4-3E82-10AA-FBE5BAF8E5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1549337</xdr:colOff>
      <xdr:row>11</xdr:row>
      <xdr:rowOff>419871</xdr:rowOff>
    </xdr:from>
    <xdr:to>
      <xdr:col>28</xdr:col>
      <xdr:colOff>247075</xdr:colOff>
      <xdr:row>23</xdr:row>
      <xdr:rowOff>107087</xdr:rowOff>
    </xdr:to>
    <xdr:pic>
      <xdr:nvPicPr>
        <xdr:cNvPr id="2" name="Picture 1">
          <a:extLst>
            <a:ext uri="{FF2B5EF4-FFF2-40B4-BE49-F238E27FC236}">
              <a16:creationId xmlns:a16="http://schemas.microsoft.com/office/drawing/2014/main" id="{045FED61-E9F9-4986-9FDF-879238B4A8FF}"/>
            </a:ext>
          </a:extLst>
        </xdr:cNvPr>
        <xdr:cNvPicPr>
          <a:picLocks noChangeAspect="1"/>
        </xdr:cNvPicPr>
      </xdr:nvPicPr>
      <xdr:blipFill>
        <a:blip xmlns:r="http://schemas.openxmlformats.org/officeDocument/2006/relationships" r:embed="rId1"/>
        <a:stretch>
          <a:fillRect/>
        </a:stretch>
      </xdr:blipFill>
      <xdr:spPr>
        <a:xfrm>
          <a:off x="16613124" y="3172596"/>
          <a:ext cx="13447201" cy="2335166"/>
        </a:xfrm>
        <a:prstGeom prst="rect">
          <a:avLst/>
        </a:prstGeom>
      </xdr:spPr>
    </xdr:pic>
    <xdr:clientData/>
  </xdr:twoCellAnchor>
  <xdr:twoCellAnchor editAs="oneCell">
    <xdr:from>
      <xdr:col>2</xdr:col>
      <xdr:colOff>3653124</xdr:colOff>
      <xdr:row>79</xdr:row>
      <xdr:rowOff>139332</xdr:rowOff>
    </xdr:from>
    <xdr:to>
      <xdr:col>12</xdr:col>
      <xdr:colOff>550388</xdr:colOff>
      <xdr:row>97</xdr:row>
      <xdr:rowOff>142921</xdr:rowOff>
    </xdr:to>
    <xdr:pic>
      <xdr:nvPicPr>
        <xdr:cNvPr id="3" name="Picture 2">
          <a:extLst>
            <a:ext uri="{FF2B5EF4-FFF2-40B4-BE49-F238E27FC236}">
              <a16:creationId xmlns:a16="http://schemas.microsoft.com/office/drawing/2014/main" id="{2DC98BA0-330F-416F-9973-4F2F8CB1B616}"/>
            </a:ext>
          </a:extLst>
        </xdr:cNvPr>
        <xdr:cNvPicPr>
          <a:picLocks noChangeAspect="1"/>
        </xdr:cNvPicPr>
      </xdr:nvPicPr>
      <xdr:blipFill>
        <a:blip xmlns:r="http://schemas.openxmlformats.org/officeDocument/2006/relationships" r:embed="rId2"/>
        <a:stretch>
          <a:fillRect/>
        </a:stretch>
      </xdr:blipFill>
      <xdr:spPr>
        <a:xfrm rot="16200000">
          <a:off x="10767711" y="13379669"/>
          <a:ext cx="3256377" cy="110180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28</xdr:row>
      <xdr:rowOff>47625</xdr:rowOff>
    </xdr:from>
    <xdr:to>
      <xdr:col>2</xdr:col>
      <xdr:colOff>1209675</xdr:colOff>
      <xdr:row>49</xdr:row>
      <xdr:rowOff>85725</xdr:rowOff>
    </xdr:to>
    <xdr:pic>
      <xdr:nvPicPr>
        <xdr:cNvPr id="3" name="Picture 2">
          <a:extLst>
            <a:ext uri="{FF2B5EF4-FFF2-40B4-BE49-F238E27FC236}">
              <a16:creationId xmlns:a16="http://schemas.microsoft.com/office/drawing/2014/main" id="{FBD78C61-E87D-8B65-82DF-AE27CEDA9DA9}"/>
            </a:ext>
            <a:ext uri="{147F2762-F138-4A5C-976F-8EAC2B608ADB}">
              <a16:predDERef xmlns:a16="http://schemas.microsoft.com/office/drawing/2014/main" pred="{428A8F8D-475F-2BAE-AE88-C893EBCE11F4}"/>
            </a:ext>
          </a:extLst>
        </xdr:cNvPr>
        <xdr:cNvPicPr>
          <a:picLocks noChangeAspect="1"/>
        </xdr:cNvPicPr>
      </xdr:nvPicPr>
      <xdr:blipFill>
        <a:blip xmlns:r="http://schemas.openxmlformats.org/officeDocument/2006/relationships" r:embed="rId1"/>
        <a:stretch>
          <a:fillRect/>
        </a:stretch>
      </xdr:blipFill>
      <xdr:spPr>
        <a:xfrm>
          <a:off x="581025" y="5657850"/>
          <a:ext cx="4572000" cy="3838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1549337</xdr:colOff>
      <xdr:row>11</xdr:row>
      <xdr:rowOff>419871</xdr:rowOff>
    </xdr:from>
    <xdr:to>
      <xdr:col>28</xdr:col>
      <xdr:colOff>247075</xdr:colOff>
      <xdr:row>23</xdr:row>
      <xdr:rowOff>107087</xdr:rowOff>
    </xdr:to>
    <xdr:pic>
      <xdr:nvPicPr>
        <xdr:cNvPr id="2" name="Picture 1">
          <a:extLst>
            <a:ext uri="{FF2B5EF4-FFF2-40B4-BE49-F238E27FC236}">
              <a16:creationId xmlns:a16="http://schemas.microsoft.com/office/drawing/2014/main" id="{19E7F9D5-1C97-CE05-5888-53FF5EBEFC32}"/>
            </a:ext>
          </a:extLst>
        </xdr:cNvPr>
        <xdr:cNvPicPr>
          <a:picLocks noChangeAspect="1"/>
        </xdr:cNvPicPr>
      </xdr:nvPicPr>
      <xdr:blipFill>
        <a:blip xmlns:r="http://schemas.openxmlformats.org/officeDocument/2006/relationships" r:embed="rId1"/>
        <a:stretch>
          <a:fillRect/>
        </a:stretch>
      </xdr:blipFill>
      <xdr:spPr>
        <a:xfrm>
          <a:off x="15579102" y="3176518"/>
          <a:ext cx="12447355" cy="2354216"/>
        </a:xfrm>
        <a:prstGeom prst="rect">
          <a:avLst/>
        </a:prstGeom>
      </xdr:spPr>
    </xdr:pic>
    <xdr:clientData/>
  </xdr:twoCellAnchor>
  <xdr:twoCellAnchor editAs="oneCell">
    <xdr:from>
      <xdr:col>3</xdr:col>
      <xdr:colOff>605124</xdr:colOff>
      <xdr:row>79</xdr:row>
      <xdr:rowOff>91707</xdr:rowOff>
    </xdr:from>
    <xdr:to>
      <xdr:col>14</xdr:col>
      <xdr:colOff>397988</xdr:colOff>
      <xdr:row>97</xdr:row>
      <xdr:rowOff>95296</xdr:rowOff>
    </xdr:to>
    <xdr:pic>
      <xdr:nvPicPr>
        <xdr:cNvPr id="3" name="Picture 2">
          <a:extLst>
            <a:ext uri="{FF2B5EF4-FFF2-40B4-BE49-F238E27FC236}">
              <a16:creationId xmlns:a16="http://schemas.microsoft.com/office/drawing/2014/main" id="{8741CCCD-CB6A-3282-BBF4-3755540A589E}"/>
            </a:ext>
            <a:ext uri="{147F2762-F138-4A5C-976F-8EAC2B608ADB}">
              <a16:predDERef xmlns:a16="http://schemas.microsoft.com/office/drawing/2014/main" pred="{19E7F9D5-1C97-CE05-5888-53FF5EBEFC32}"/>
            </a:ext>
          </a:extLst>
        </xdr:cNvPr>
        <xdr:cNvPicPr>
          <a:picLocks noChangeAspect="1"/>
        </xdr:cNvPicPr>
      </xdr:nvPicPr>
      <xdr:blipFill>
        <a:blip xmlns:r="http://schemas.openxmlformats.org/officeDocument/2006/relationships" r:embed="rId2"/>
        <a:stretch>
          <a:fillRect/>
        </a:stretch>
      </xdr:blipFill>
      <xdr:spPr>
        <a:xfrm rot="16200000">
          <a:off x="11067749" y="13813057"/>
          <a:ext cx="3261139" cy="100512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1276350</xdr:colOff>
      <xdr:row>20</xdr:row>
      <xdr:rowOff>180975</xdr:rowOff>
    </xdr:from>
    <xdr:to>
      <xdr:col>10</xdr:col>
      <xdr:colOff>1638300</xdr:colOff>
      <xdr:row>33</xdr:row>
      <xdr:rowOff>171450</xdr:rowOff>
    </xdr:to>
    <xdr:pic>
      <xdr:nvPicPr>
        <xdr:cNvPr id="3" name="Picture 2">
          <a:extLst>
            <a:ext uri="{FF2B5EF4-FFF2-40B4-BE49-F238E27FC236}">
              <a16:creationId xmlns:a16="http://schemas.microsoft.com/office/drawing/2014/main" id="{BB70FA1E-3DCB-4AD4-98B4-BFEEFE0DC58E}"/>
            </a:ext>
            <a:ext uri="{147F2762-F138-4A5C-976F-8EAC2B608ADB}">
              <a16:predDERef xmlns:a16="http://schemas.microsoft.com/office/drawing/2014/main" pred="{95B5CC14-31B0-6AEF-E827-4A8DCB3DE913}"/>
            </a:ext>
          </a:extLst>
        </xdr:cNvPr>
        <xdr:cNvPicPr>
          <a:picLocks noChangeAspect="1"/>
        </xdr:cNvPicPr>
      </xdr:nvPicPr>
      <xdr:blipFill>
        <a:blip xmlns:r="http://schemas.openxmlformats.org/officeDocument/2006/relationships" r:embed="rId1"/>
        <a:stretch>
          <a:fillRect/>
        </a:stretch>
      </xdr:blipFill>
      <xdr:spPr>
        <a:xfrm>
          <a:off x="9534525" y="3981450"/>
          <a:ext cx="4810125" cy="2466975"/>
        </a:xfrm>
        <a:prstGeom prst="rect">
          <a:avLst/>
        </a:prstGeom>
      </xdr:spPr>
    </xdr:pic>
    <xdr:clientData/>
  </xdr:twoCellAnchor>
  <xdr:twoCellAnchor editAs="oneCell">
    <xdr:from>
      <xdr:col>0</xdr:col>
      <xdr:colOff>581025</xdr:colOff>
      <xdr:row>58</xdr:row>
      <xdr:rowOff>66675</xdr:rowOff>
    </xdr:from>
    <xdr:to>
      <xdr:col>5</xdr:col>
      <xdr:colOff>723900</xdr:colOff>
      <xdr:row>67</xdr:row>
      <xdr:rowOff>85725</xdr:rowOff>
    </xdr:to>
    <xdr:pic>
      <xdr:nvPicPr>
        <xdr:cNvPr id="4" name="Picture 3">
          <a:extLst>
            <a:ext uri="{FF2B5EF4-FFF2-40B4-BE49-F238E27FC236}">
              <a16:creationId xmlns:a16="http://schemas.microsoft.com/office/drawing/2014/main" id="{33690E74-FC68-0D64-49BE-C20A37662EDF}"/>
            </a:ext>
            <a:ext uri="{147F2762-F138-4A5C-976F-8EAC2B608ADB}">
              <a16:predDERef xmlns:a16="http://schemas.microsoft.com/office/drawing/2014/main" pred="{BB70FA1E-3DCB-4AD4-98B4-BFEEFE0DC58E}"/>
            </a:ext>
          </a:extLst>
        </xdr:cNvPr>
        <xdr:cNvPicPr>
          <a:picLocks noChangeAspect="1"/>
        </xdr:cNvPicPr>
      </xdr:nvPicPr>
      <xdr:blipFill>
        <a:blip xmlns:r="http://schemas.openxmlformats.org/officeDocument/2006/relationships" r:embed="rId2"/>
        <a:stretch>
          <a:fillRect/>
        </a:stretch>
      </xdr:blipFill>
      <xdr:spPr>
        <a:xfrm>
          <a:off x="581025" y="6153150"/>
          <a:ext cx="8401050" cy="1733550"/>
        </a:xfrm>
        <a:prstGeom prst="rect">
          <a:avLst/>
        </a:prstGeom>
      </xdr:spPr>
    </xdr:pic>
    <xdr:clientData/>
  </xdr:twoCellAnchor>
  <xdr:twoCellAnchor editAs="oneCell">
    <xdr:from>
      <xdr:col>11</xdr:col>
      <xdr:colOff>323850</xdr:colOff>
      <xdr:row>17</xdr:row>
      <xdr:rowOff>19050</xdr:rowOff>
    </xdr:from>
    <xdr:to>
      <xdr:col>16</xdr:col>
      <xdr:colOff>190500</xdr:colOff>
      <xdr:row>38</xdr:row>
      <xdr:rowOff>19050</xdr:rowOff>
    </xdr:to>
    <xdr:pic>
      <xdr:nvPicPr>
        <xdr:cNvPr id="7" name="Picture 6">
          <a:extLst>
            <a:ext uri="{FF2B5EF4-FFF2-40B4-BE49-F238E27FC236}">
              <a16:creationId xmlns:a16="http://schemas.microsoft.com/office/drawing/2014/main" id="{787E80DF-8288-0B0F-4FCB-3B0E444FF3EA}"/>
            </a:ext>
            <a:ext uri="{147F2762-F138-4A5C-976F-8EAC2B608ADB}">
              <a16:predDERef xmlns:a16="http://schemas.microsoft.com/office/drawing/2014/main" pred="{33690E74-FC68-0D64-49BE-C20A37662EDF}"/>
            </a:ext>
          </a:extLst>
        </xdr:cNvPr>
        <xdr:cNvPicPr>
          <a:picLocks noChangeAspect="1"/>
        </xdr:cNvPicPr>
      </xdr:nvPicPr>
      <xdr:blipFill>
        <a:blip xmlns:r="http://schemas.openxmlformats.org/officeDocument/2006/relationships" r:embed="rId3"/>
        <a:stretch>
          <a:fillRect/>
        </a:stretch>
      </xdr:blipFill>
      <xdr:spPr>
        <a:xfrm>
          <a:off x="14554200" y="3257550"/>
          <a:ext cx="5219700" cy="399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495300</xdr:colOff>
      <xdr:row>23</xdr:row>
      <xdr:rowOff>104775</xdr:rowOff>
    </xdr:from>
    <xdr:to>
      <xdr:col>4</xdr:col>
      <xdr:colOff>476250</xdr:colOff>
      <xdr:row>44</xdr:row>
      <xdr:rowOff>0</xdr:rowOff>
    </xdr:to>
    <xdr:pic>
      <xdr:nvPicPr>
        <xdr:cNvPr id="2" name="Picture 1">
          <a:extLst>
            <a:ext uri="{FF2B5EF4-FFF2-40B4-BE49-F238E27FC236}">
              <a16:creationId xmlns:a16="http://schemas.microsoft.com/office/drawing/2014/main" id="{E9DA2602-E340-5624-C093-A4381AF6C9FF}"/>
            </a:ext>
          </a:extLst>
        </xdr:cNvPr>
        <xdr:cNvPicPr>
          <a:picLocks noChangeAspect="1"/>
        </xdr:cNvPicPr>
      </xdr:nvPicPr>
      <xdr:blipFill>
        <a:blip xmlns:r="http://schemas.openxmlformats.org/officeDocument/2006/relationships" r:embed="rId1"/>
        <a:stretch>
          <a:fillRect/>
        </a:stretch>
      </xdr:blipFill>
      <xdr:spPr>
        <a:xfrm>
          <a:off x="495300" y="4362450"/>
          <a:ext cx="7610475" cy="3705225"/>
        </a:xfrm>
        <a:prstGeom prst="rect">
          <a:avLst/>
        </a:prstGeom>
      </xdr:spPr>
    </xdr:pic>
    <xdr:clientData/>
  </xdr:twoCellAnchor>
  <xdr:twoCellAnchor editAs="oneCell">
    <xdr:from>
      <xdr:col>4</xdr:col>
      <xdr:colOff>361950</xdr:colOff>
      <xdr:row>23</xdr:row>
      <xdr:rowOff>38100</xdr:rowOff>
    </xdr:from>
    <xdr:to>
      <xdr:col>14</xdr:col>
      <xdr:colOff>390525</xdr:colOff>
      <xdr:row>43</xdr:row>
      <xdr:rowOff>152400</xdr:rowOff>
    </xdr:to>
    <xdr:pic>
      <xdr:nvPicPr>
        <xdr:cNvPr id="3" name="Picture 2">
          <a:extLst>
            <a:ext uri="{FF2B5EF4-FFF2-40B4-BE49-F238E27FC236}">
              <a16:creationId xmlns:a16="http://schemas.microsoft.com/office/drawing/2014/main" id="{E3DFBB7F-159C-2EE4-08FA-7DF0512F57A6}"/>
            </a:ext>
            <a:ext uri="{147F2762-F138-4A5C-976F-8EAC2B608ADB}">
              <a16:predDERef xmlns:a16="http://schemas.microsoft.com/office/drawing/2014/main" pred="{E9DA2602-E340-5624-C093-A4381AF6C9FF}"/>
            </a:ext>
          </a:extLst>
        </xdr:cNvPr>
        <xdr:cNvPicPr>
          <a:picLocks noChangeAspect="1"/>
        </xdr:cNvPicPr>
      </xdr:nvPicPr>
      <xdr:blipFill>
        <a:blip xmlns:r="http://schemas.openxmlformats.org/officeDocument/2006/relationships" r:embed="rId2"/>
        <a:stretch>
          <a:fillRect/>
        </a:stretch>
      </xdr:blipFill>
      <xdr:spPr>
        <a:xfrm>
          <a:off x="7991475" y="4295775"/>
          <a:ext cx="7362825" cy="3743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n\Downloads\Final%20Cost-analysis%20v7.xlsx" TargetMode="External"/><Relationship Id="rId1" Type="http://schemas.openxmlformats.org/officeDocument/2006/relationships/externalLinkPath" Target="file:///C:\Users\marin\Downloads\Final%20Cost-analysis%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Mosquito Feb Count"/>
      <sheetName val="Staff"/>
      <sheetName val="Transportation"/>
      <sheetName val="Supplies"/>
      <sheetName val="Depreciation detailed Supplies"/>
      <sheetName val="Sheet1"/>
      <sheetName val="Table 5. Percentatges"/>
      <sheetName val="Table 8. Supplies"/>
      <sheetName val="Table 1. Description of inputs"/>
      <sheetName val="Uganda Surveillance Budget"/>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Aryaman Shodhan" id="{18945ACB-71C6-4309-94AA-635E99511C7D}" userId="ashodha1@jh.edu" providerId="PeoplePicker"/>
  <person displayName="Sunny Patel" id="{7C965D0B-8CD7-4A33-816D-FE9D2CA4D11C}" userId="S::spate151@jh.edu::9336abac-f959-49fb-a56d-5113966e8c5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0" dT="2025-03-21T16:23:50.92" personId="{7C965D0B-8CD7-4A33-816D-FE9D2CA4D11C}" id="{15F22815-A68B-4238-B8FD-4CD2EBED2A35}">
    <text>This document suggests the add on of a power bank to minimize field operation downtime</text>
  </threadedComment>
  <threadedComment ref="E17" dT="2025-03-21T16:28:29.79" personId="{7C965D0B-8CD7-4A33-816D-FE9D2CA4D11C}" id="{268D36D1-6867-4437-83E7-5AC40D84EA26}">
    <text>is this coming down?</text>
  </threadedComment>
</ThreadedComments>
</file>

<file path=xl/threadedComments/threadedComment2.xml><?xml version="1.0" encoding="utf-8"?>
<ThreadedComments xmlns="http://schemas.microsoft.com/office/spreadsheetml/2018/threadedcomments" xmlns:x="http://schemas.openxmlformats.org/spreadsheetml/2006/main">
  <threadedComment ref="D40" dT="2025-03-21T16:49:21.31" personId="{7C965D0B-8CD7-4A33-816D-FE9D2CA4D11C}" id="{3B55EE48-754B-4B37-939C-8D9269119595}">
    <text>Ugandan Based + Benefits</text>
  </threadedComment>
  <threadedComment ref="D41" dT="2025-03-21T16:59:38.60" personId="{7C965D0B-8CD7-4A33-816D-FE9D2CA4D11C}" id="{8FCC8302-B9F8-4A4D-8C9F-0582C1143DA3}">
    <text>Based out of the US</text>
  </threadedComment>
  <threadedComment ref="F50" dT="2025-03-21T17:09:19.20" personId="{7C965D0B-8CD7-4A33-816D-FE9D2CA4D11C}" id="{0B51998E-22CA-4858-A8E4-E5F69ED8A360}">
    <text>Assume a ~22 District = 1 Country, 100 districts = 5 countries</text>
  </threadedComment>
  <threadedComment ref="D51" dT="2025-03-21T16:49:21.31" personId="{7C965D0B-8CD7-4A33-816D-FE9D2CA4D11C}" id="{5AD03BD0-9F7A-4C2C-A70B-5EB551D92947}">
    <text>Ugandan Based + Benefits</text>
  </threadedComment>
  <threadedComment ref="D52" dT="2025-03-21T16:59:38.60" personId="{7C965D0B-8CD7-4A33-816D-FE9D2CA4D11C}" id="{C574399A-E95B-4A94-B193-64FD82D82AEC}">
    <text>Based out of the US</text>
  </threadedComment>
  <threadedComment ref="N52" dT="2025-03-21T16:45:40.29" personId="{7C965D0B-8CD7-4A33-816D-FE9D2CA4D11C}" id="{64806DD1-4BF1-40D6-ACA9-AA372D5F40CD}">
    <text xml:space="preserve">@Aryaman Shodhan </text>
    <mentions>
      <mention mentionpersonId="{18945ACB-71C6-4309-94AA-635E99511C7D}" mentionId="{CEA38B75-255B-4E41-830E-BD9229BE44EA}" startIndex="0" length="16"/>
    </mentions>
  </threadedComment>
  <threadedComment ref="N52" dT="2025-03-21T16:56:23.03" personId="{7C965D0B-8CD7-4A33-816D-FE9D2CA4D11C}" id="{B321ED4A-3798-4015-8DBD-76D6E67E6C8A}" parentId="{64806DD1-4BF1-40D6-ACA9-AA372D5F40CD}">
    <text>Add your notes here in a table, 2 different models</text>
  </threadedComment>
  <threadedComment ref="I53" dT="2025-03-21T17:22:38.04" personId="{7C965D0B-8CD7-4A33-816D-FE9D2CA4D11C}" id="{C6ECC8C9-171C-475B-88BF-DFE55E0B16B5}">
    <text>Can this price be cut in half somehow? My suggestion is that for example, in the district surveillance costs, Dr. Maiteki / Opigo, Phillip Waiswa IT, Mbaka, no senior leadership get paid is on the routine budget</text>
  </threadedComment>
  <threadedComment ref="I53" dT="2025-03-21T17:23:36.98" personId="{7C965D0B-8CD7-4A33-816D-FE9D2CA4D11C}" id="{FA80450A-5A38-4F8E-A282-94B895053385}" parentId="{C6ECC8C9-171C-475B-88BF-DFE55E0B16B5}">
    <text>Or for example Alex's salary / FTE is not present, therefore, can some of these costs be allocated to the "system" instead at the district
This analysis is comparing district to district, and not considering country level system adoption</text>
  </threadedComment>
</ThreadedComments>
</file>

<file path=xl/worksheets/_rels/sheet15.xml.rels><?xml version="1.0" encoding="UTF-8" standalone="yes"?>
<Relationships xmlns="http://schemas.openxmlformats.org/package/2006/relationships"><Relationship Id="rId3" Type="http://schemas.openxmlformats.org/officeDocument/2006/relationships/hyperlink" Target="https://www.amazon.com/Octa-core-Snapdragon-Unlocked-T-Mobile-XT2093-4/dp/B09VMB6152/ref=sr_1_8?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moto+g+play+2021&amp;qid=1772474296&amp;sprefix=motorola+moto+g+play+2021%2Caps%2C199&amp;sr=8-8" TargetMode="External"/><Relationship Id="rId2" Type="http://schemas.openxmlformats.org/officeDocument/2006/relationships/hyperlink" Target="https://www.amazon.com/Motorola-XT2093DL-Storage-Simple-Display/dp/B0F77H7R3X/ref=sr_1_4?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moto+g+play+2021&amp;qid=1772474296&amp;sprefix=motorola+moto+g+play+2021%2Caps%2C199&amp;sr=8-4" TargetMode="External"/><Relationship Id="rId1" Type="http://schemas.openxmlformats.org/officeDocument/2006/relationships/hyperlink" Target="https://www.amazon.com/Octa-core-Snapdragon-Unlocked-T-Mobile-XT2093-7/dp/B09SK27K2P/ref=sr_1_3?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moto+g+play+2021&amp;qid=1772474296&amp;sprefix=motorola+moto+g+play+2021%2Caps%2C199&amp;sr=8-3" TargetMode="External"/><Relationship Id="rId4" Type="http://schemas.openxmlformats.org/officeDocument/2006/relationships/hyperlink" Target="https://www.amazon.com/Motorola-Battery-Camera-Renewed-Verizon/dp/B0BQQ7NGCB/ref=sr_1_12?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2Bmoto%2Bg%2Bplay%2B2021&amp;qid=1772474296&amp;sprefix=motorola%2Bmoto%2Bg%2Bplay%2B2021%2Caps%2C199&amp;sr=8-12&amp;th=1"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hyperlink" Target="https://mintsalary.com/uganda/average-salary-software-engineer"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ispor.org/heor-resources/presentations-database/presentation-cti/ispor-2025/poster-session-2/tailoring-generalized-cost-effectiveness-analysis-gcea-to-the-u-s-setting-the-importance-of-using-the-right-prices" TargetMode="External"/><Relationship Id="rId3" Type="http://schemas.openxmlformats.org/officeDocument/2006/relationships/hyperlink" Target="https://www.depreciationrates.net.au/battery" TargetMode="External"/><Relationship Id="rId7" Type="http://schemas.openxmlformats.org/officeDocument/2006/relationships/hyperlink" Target="https://home.treasury.gov/system/files/131/Report-Depreciation-Instruments-1991.pdf" TargetMode="External"/><Relationship Id="rId12" Type="http://schemas.microsoft.com/office/2017/10/relationships/threadedComment" Target="../threadedComments/threadedComment1.xml"/><Relationship Id="rId2" Type="http://schemas.openxmlformats.org/officeDocument/2006/relationships/hyperlink" Target="https://www.depreciationrates.net.au/phones" TargetMode="External"/><Relationship Id="rId1" Type="http://schemas.openxmlformats.org/officeDocument/2006/relationships/hyperlink" Target="https://www.jumia.ug/ace-elec-ace-10000-mah-power-banks-utra-slim-portable-fast-charger-198474639.html" TargetMode="External"/><Relationship Id="rId6" Type="http://schemas.openxmlformats.org/officeDocument/2006/relationships/hyperlink" Target="https://saluddigital.com/wp-content/uploads/2019/06/WHO.-Monitoring-and-Evaluating-Digital-Health-Interventions.pdf" TargetMode="External"/><Relationship Id="rId11" Type="http://schemas.openxmlformats.org/officeDocument/2006/relationships/comments" Target="../comments2.xml"/><Relationship Id="rId5" Type="http://schemas.openxmlformats.org/officeDocument/2006/relationships/hyperlink" Target="https://www.depreciationrates.net.au/microscopes" TargetMode="External"/><Relationship Id="rId10" Type="http://schemas.openxmlformats.org/officeDocument/2006/relationships/vmlDrawing" Target="../drawings/vmlDrawing2.vml"/><Relationship Id="rId4" Type="http://schemas.openxmlformats.org/officeDocument/2006/relationships/hyperlink" Target="https://www.ubuy.ug/en/product/1A4UQ03TG-moto-g-play-2021-3-day-battery-unlocked-made-for-us-by-motorola-3-32gb-13mp-camera-blue?srsltid=AfmBOooKW7yjIzrvu-hsacTRPBAigD36i3n3ytI4lKTbm28N3WrJZ-xF" TargetMode="External"/><Relationship Id="rId9"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8244-CB6E-40B9-9D5D-9650A988F410}">
  <dimension ref="A1:S43"/>
  <sheetViews>
    <sheetView topLeftCell="A16" workbookViewId="0">
      <selection activeCell="B38" sqref="B38"/>
    </sheetView>
  </sheetViews>
  <sheetFormatPr defaultRowHeight="14.25"/>
  <cols>
    <col min="1" max="1" width="5.7109375" style="4" customWidth="1"/>
    <col min="2" max="2" width="45.5703125" customWidth="1"/>
    <col min="3" max="4" width="36.5703125" bestFit="1" customWidth="1"/>
    <col min="5" max="5" width="10.85546875" bestFit="1" customWidth="1"/>
    <col min="8" max="8" width="39.140625" customWidth="1"/>
    <col min="15" max="15" width="10.7109375" bestFit="1" customWidth="1"/>
    <col min="16" max="16" width="18.7109375" bestFit="1" customWidth="1"/>
    <col min="17" max="17" width="11.42578125" bestFit="1" customWidth="1"/>
    <col min="18" max="18" width="14.28515625" customWidth="1"/>
    <col min="19" max="19" width="14" customWidth="1"/>
  </cols>
  <sheetData>
    <row r="1" spans="1:19" ht="18">
      <c r="B1" s="103" t="s">
        <v>0</v>
      </c>
      <c r="R1" s="1"/>
      <c r="S1" s="1"/>
    </row>
    <row r="2" spans="1:19">
      <c r="B2" t="s">
        <v>1</v>
      </c>
      <c r="Q2" s="90"/>
    </row>
    <row r="3" spans="1:19">
      <c r="B3" s="169" t="s">
        <v>2</v>
      </c>
      <c r="Q3" s="90"/>
    </row>
    <row r="4" spans="1:19" ht="18">
      <c r="B4" s="100" t="s">
        <v>3</v>
      </c>
      <c r="C4" s="100" t="s">
        <v>4</v>
      </c>
      <c r="Q4" s="90"/>
      <c r="R4" s="90"/>
      <c r="S4" s="90"/>
    </row>
    <row r="5" spans="1:19">
      <c r="B5" t="s">
        <v>5</v>
      </c>
      <c r="Q5" s="90"/>
      <c r="R5" s="90"/>
      <c r="S5" s="90"/>
    </row>
    <row r="6" spans="1:19">
      <c r="Q6" s="90"/>
      <c r="R6" s="90"/>
      <c r="S6" s="90"/>
    </row>
    <row r="7" spans="1:19" s="101" customFormat="1">
      <c r="A7" s="4"/>
      <c r="B7" s="86" t="s">
        <v>6</v>
      </c>
      <c r="C7" s="101" t="s">
        <v>7</v>
      </c>
    </row>
    <row r="8" spans="1:19" ht="71.25">
      <c r="C8" s="97" t="s">
        <v>8</v>
      </c>
      <c r="D8" s="1" t="s">
        <v>9</v>
      </c>
    </row>
    <row r="9" spans="1:19">
      <c r="C9" s="97" t="s">
        <v>10</v>
      </c>
      <c r="D9" s="1" t="s">
        <v>11</v>
      </c>
    </row>
    <row r="10" spans="1:19">
      <c r="C10" s="99" t="s">
        <v>12</v>
      </c>
      <c r="D10" s="97" t="s">
        <v>13</v>
      </c>
    </row>
    <row r="11" spans="1:19">
      <c r="C11" s="98"/>
      <c r="D11" t="s">
        <v>14</v>
      </c>
      <c r="E11" t="s">
        <v>15</v>
      </c>
    </row>
    <row r="12" spans="1:19">
      <c r="C12" s="98"/>
      <c r="D12" t="s">
        <v>16</v>
      </c>
    </row>
    <row r="13" spans="1:19">
      <c r="C13" s="98"/>
    </row>
    <row r="14" spans="1:19">
      <c r="C14" s="98"/>
    </row>
    <row r="16" spans="1:19" s="101" customFormat="1">
      <c r="A16" s="4"/>
      <c r="B16" s="86" t="s">
        <v>17</v>
      </c>
      <c r="C16" s="101" t="s">
        <v>18</v>
      </c>
    </row>
    <row r="17" spans="1:4" ht="28.5">
      <c r="C17" t="s">
        <v>8</v>
      </c>
      <c r="D17" s="96" t="s">
        <v>19</v>
      </c>
    </row>
    <row r="18" spans="1:4">
      <c r="C18" t="s">
        <v>10</v>
      </c>
      <c r="D18" t="s">
        <v>20</v>
      </c>
    </row>
    <row r="19" spans="1:4">
      <c r="C19" s="99" t="s">
        <v>12</v>
      </c>
      <c r="D19" s="97" t="s">
        <v>13</v>
      </c>
    </row>
    <row r="20" spans="1:4">
      <c r="C20" s="98"/>
      <c r="D20" t="s">
        <v>21</v>
      </c>
    </row>
    <row r="21" spans="1:4">
      <c r="C21" s="98"/>
      <c r="D21" t="s">
        <v>16</v>
      </c>
    </row>
    <row r="22" spans="1:4">
      <c r="C22" s="98"/>
    </row>
    <row r="23" spans="1:4">
      <c r="C23" s="98"/>
    </row>
    <row r="24" spans="1:4">
      <c r="C24" s="98"/>
    </row>
    <row r="26" spans="1:4" s="101" customFormat="1">
      <c r="A26" s="4"/>
      <c r="B26" s="86" t="s">
        <v>22</v>
      </c>
      <c r="C26" s="101" t="s">
        <v>23</v>
      </c>
    </row>
    <row r="27" spans="1:4" ht="42.75">
      <c r="C27" t="s">
        <v>8</v>
      </c>
      <c r="D27" s="96" t="s">
        <v>24</v>
      </c>
    </row>
    <row r="28" spans="1:4">
      <c r="C28" t="s">
        <v>10</v>
      </c>
      <c r="D28" t="s">
        <v>25</v>
      </c>
    </row>
    <row r="29" spans="1:4">
      <c r="C29" s="99" t="s">
        <v>12</v>
      </c>
      <c r="D29" s="97" t="s">
        <v>13</v>
      </c>
    </row>
    <row r="30" spans="1:4">
      <c r="C30" s="98"/>
      <c r="D30" t="s">
        <v>21</v>
      </c>
    </row>
    <row r="31" spans="1:4">
      <c r="C31" s="98"/>
      <c r="D31" t="s">
        <v>16</v>
      </c>
    </row>
    <row r="32" spans="1:4">
      <c r="C32" s="98"/>
    </row>
    <row r="33" spans="1:4">
      <c r="C33" s="98"/>
    </row>
    <row r="34" spans="1:4">
      <c r="C34" s="98"/>
    </row>
    <row r="35" spans="1:4">
      <c r="C35" s="98"/>
    </row>
    <row r="36" spans="1:4">
      <c r="C36" s="98"/>
    </row>
    <row r="38" spans="1:4" s="101" customFormat="1" ht="28.5">
      <c r="A38" s="4"/>
      <c r="B38" s="102" t="s">
        <v>26</v>
      </c>
      <c r="C38" s="101" t="s">
        <v>27</v>
      </c>
    </row>
    <row r="39" spans="1:4" ht="63" customHeight="1">
      <c r="C39" t="s">
        <v>8</v>
      </c>
      <c r="D39" s="96" t="s">
        <v>28</v>
      </c>
    </row>
    <row r="40" spans="1:4">
      <c r="C40" t="s">
        <v>10</v>
      </c>
      <c r="D40" t="s">
        <v>29</v>
      </c>
    </row>
    <row r="41" spans="1:4">
      <c r="C41" s="99" t="s">
        <v>12</v>
      </c>
      <c r="D41" s="97" t="s">
        <v>13</v>
      </c>
    </row>
    <row r="42" spans="1:4">
      <c r="C42" s="98"/>
      <c r="D42" t="s">
        <v>21</v>
      </c>
    </row>
    <row r="43" spans="1:4">
      <c r="C43" s="98"/>
      <c r="D43" t="s">
        <v>16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9247B-05E6-4314-A76A-C315C303B4EC}">
  <dimension ref="A1:N40"/>
  <sheetViews>
    <sheetView workbookViewId="0"/>
  </sheetViews>
  <sheetFormatPr defaultColWidth="9.140625" defaultRowHeight="14.25"/>
  <cols>
    <col min="2" max="2" width="48.7109375" customWidth="1"/>
    <col min="3" max="4" width="13.5703125" customWidth="1"/>
    <col min="5" max="5" width="14.7109375" customWidth="1"/>
    <col min="6" max="6" width="18.28515625" customWidth="1"/>
    <col min="7" max="7" width="25.28515625" customWidth="1"/>
    <col min="8" max="8" width="14.85546875" customWidth="1"/>
    <col min="9" max="9" width="14.28515625" customWidth="1"/>
    <col min="10" max="10" width="18.7109375" customWidth="1"/>
    <col min="11" max="11" width="19.28515625" customWidth="1"/>
    <col min="12" max="12" width="12.5703125" customWidth="1"/>
  </cols>
  <sheetData>
    <row r="1" spans="1:14">
      <c r="A1" s="74" t="s">
        <v>401</v>
      </c>
      <c r="B1" s="74"/>
      <c r="C1" s="74"/>
      <c r="D1" s="74"/>
      <c r="E1" s="74"/>
      <c r="F1" s="74"/>
      <c r="G1" s="74"/>
    </row>
    <row r="2" spans="1:14">
      <c r="A2" t="s">
        <v>402</v>
      </c>
    </row>
    <row r="3" spans="1:14">
      <c r="M3" s="117" t="s">
        <v>403</v>
      </c>
      <c r="N3" s="117">
        <v>12</v>
      </c>
    </row>
    <row r="4" spans="1:14">
      <c r="B4" s="83"/>
      <c r="C4" s="84" t="s">
        <v>404</v>
      </c>
      <c r="D4" s="84" t="s">
        <v>405</v>
      </c>
      <c r="E4" s="84" t="s">
        <v>406</v>
      </c>
      <c r="F4" s="84" t="s">
        <v>407</v>
      </c>
      <c r="G4" s="84" t="s">
        <v>408</v>
      </c>
      <c r="H4" s="84" t="s">
        <v>310</v>
      </c>
      <c r="I4" s="84" t="s">
        <v>311</v>
      </c>
      <c r="J4" s="84" t="s">
        <v>312</v>
      </c>
      <c r="K4" s="85" t="s">
        <v>313</v>
      </c>
      <c r="M4" s="117" t="s">
        <v>409</v>
      </c>
      <c r="N4" s="117">
        <f>'Personnel &amp; Transport'!E3</f>
        <v>3680</v>
      </c>
    </row>
    <row r="5" spans="1:14">
      <c r="B5" s="82" t="s">
        <v>8</v>
      </c>
      <c r="C5" s="74"/>
      <c r="D5" s="74"/>
      <c r="E5" s="74"/>
      <c r="F5" s="74"/>
      <c r="G5" s="74"/>
      <c r="K5" s="4"/>
    </row>
    <row r="6" spans="1:14">
      <c r="B6" s="78" t="s">
        <v>52</v>
      </c>
      <c r="D6">
        <v>2</v>
      </c>
      <c r="E6">
        <v>5</v>
      </c>
      <c r="F6" s="90">
        <f>'Personnel &amp; Transport'!C8</f>
        <v>3.2608695652173911</v>
      </c>
      <c r="G6" s="89">
        <f>F6*$N$4</f>
        <v>12000</v>
      </c>
      <c r="H6" s="90">
        <f>F6*E6*D6</f>
        <v>32.608695652173914</v>
      </c>
      <c r="I6" s="90">
        <f>H6*$N$3</f>
        <v>391.304347826087</v>
      </c>
      <c r="J6" s="89">
        <f>H6*$N$4</f>
        <v>120000</v>
      </c>
      <c r="K6" s="94">
        <f>H6*$N$4 * $N$3</f>
        <v>1440000</v>
      </c>
    </row>
    <row r="7" spans="1:14">
      <c r="B7" s="78" t="s">
        <v>53</v>
      </c>
      <c r="D7">
        <v>12</v>
      </c>
      <c r="E7">
        <v>3</v>
      </c>
      <c r="F7" s="90">
        <f>'Personnel &amp; Transport'!C7</f>
        <v>3.2608695652173911</v>
      </c>
      <c r="G7" s="89">
        <f>F7*$N$4</f>
        <v>12000</v>
      </c>
      <c r="H7" s="90">
        <f>F7*E7*D7</f>
        <v>117.39130434782609</v>
      </c>
      <c r="I7" s="90">
        <f>H7*$N$3</f>
        <v>1408.695652173913</v>
      </c>
      <c r="J7" s="89">
        <f>H7*$N$4</f>
        <v>432000</v>
      </c>
      <c r="K7" s="94">
        <f>H7*$N$4 * $N$3</f>
        <v>5184000</v>
      </c>
    </row>
    <row r="8" spans="1:14">
      <c r="B8" s="78" t="s">
        <v>54</v>
      </c>
      <c r="D8">
        <v>1</v>
      </c>
      <c r="E8">
        <v>8</v>
      </c>
      <c r="F8" s="90">
        <f>'Personnel &amp; Transport'!C9</f>
        <v>3.2608695652173911</v>
      </c>
      <c r="G8" s="89">
        <f>F8*$N$4</f>
        <v>12000</v>
      </c>
      <c r="H8" s="90">
        <f>F8*E8*D8</f>
        <v>26.086956521739129</v>
      </c>
      <c r="I8" s="90">
        <f>H8*$N$3</f>
        <v>313.04347826086956</v>
      </c>
      <c r="J8" s="89">
        <f>H8*$N$4</f>
        <v>96000</v>
      </c>
      <c r="K8" s="94">
        <f>H8*$N$4 * $N$3</f>
        <v>1152000</v>
      </c>
    </row>
    <row r="9" spans="1:14">
      <c r="B9" s="78" t="s">
        <v>55</v>
      </c>
      <c r="D9">
        <v>3</v>
      </c>
      <c r="E9">
        <v>5</v>
      </c>
      <c r="F9" s="90">
        <f>'Personnel &amp; Transport'!C10</f>
        <v>3.2608695652173911</v>
      </c>
      <c r="G9" s="89">
        <f>F9*$N$4</f>
        <v>12000</v>
      </c>
      <c r="H9" s="90">
        <f>F9*E9*D9</f>
        <v>48.913043478260875</v>
      </c>
      <c r="I9" s="90">
        <f>H9*$N$3</f>
        <v>586.95652173913049</v>
      </c>
      <c r="J9" s="89">
        <f>H9*$N$4</f>
        <v>180000.00000000003</v>
      </c>
      <c r="K9" s="94">
        <f>H9*$N$4 * $N$3</f>
        <v>2160000.0000000005</v>
      </c>
    </row>
    <row r="10" spans="1:14">
      <c r="B10" s="107" t="s">
        <v>410</v>
      </c>
      <c r="C10" s="95"/>
      <c r="D10" s="95"/>
      <c r="E10" s="95"/>
      <c r="F10" s="95"/>
      <c r="G10" s="95"/>
      <c r="H10" s="95">
        <f>SUM(H5:H9)</f>
        <v>225</v>
      </c>
      <c r="I10" s="95">
        <f>SUM(I5:I9)</f>
        <v>2700</v>
      </c>
      <c r="J10" s="106">
        <f>SUM(J5:J9)</f>
        <v>828000</v>
      </c>
      <c r="K10" s="106">
        <f t="shared" ref="K10" si="0">SUM(K5:K9)</f>
        <v>9936000</v>
      </c>
    </row>
    <row r="11" spans="1:14">
      <c r="B11" s="78"/>
      <c r="F11" s="90"/>
      <c r="G11" s="89"/>
      <c r="H11" s="90"/>
      <c r="I11" s="90"/>
      <c r="J11" s="89"/>
      <c r="K11" s="94"/>
    </row>
    <row r="12" spans="1:14">
      <c r="B12" s="82" t="s">
        <v>10</v>
      </c>
      <c r="C12" s="74"/>
      <c r="D12" s="74"/>
      <c r="E12" s="74"/>
      <c r="F12" s="91"/>
      <c r="G12" s="89"/>
      <c r="H12" s="90"/>
      <c r="I12" s="90"/>
      <c r="J12" s="89"/>
      <c r="K12" s="94"/>
    </row>
    <row r="13" spans="1:14">
      <c r="B13" s="78" t="s">
        <v>52</v>
      </c>
      <c r="D13">
        <v>2</v>
      </c>
      <c r="E13">
        <v>5</v>
      </c>
      <c r="F13" s="90">
        <f>'Personnel &amp; Transport'!C4</f>
        <v>5.4347826086956523</v>
      </c>
      <c r="G13" s="89">
        <f>F13*$N$4</f>
        <v>20000</v>
      </c>
      <c r="H13" s="90">
        <f>F13*E13*D13</f>
        <v>54.347826086956523</v>
      </c>
      <c r="I13" s="90">
        <f>H13*$N$3</f>
        <v>652.17391304347825</v>
      </c>
      <c r="J13" s="89">
        <f>H13*$N$4</f>
        <v>200000</v>
      </c>
      <c r="K13" s="94">
        <f>H13*$N$4 * $N$3</f>
        <v>2400000</v>
      </c>
    </row>
    <row r="14" spans="1:14">
      <c r="B14" s="78" t="s">
        <v>55</v>
      </c>
      <c r="D14">
        <v>3</v>
      </c>
      <c r="E14">
        <v>3</v>
      </c>
      <c r="F14" s="90">
        <f>'Personnel &amp; Transport'!C5</f>
        <v>5.4347826086956523</v>
      </c>
      <c r="G14" s="89">
        <f>F14*$N$4</f>
        <v>20000</v>
      </c>
      <c r="H14" s="90">
        <f>F14*E14*D14</f>
        <v>48.913043478260875</v>
      </c>
      <c r="I14" s="90">
        <f>H14*$N$3</f>
        <v>586.95652173913049</v>
      </c>
      <c r="J14" s="89">
        <f>H14*$N$4</f>
        <v>180000.00000000003</v>
      </c>
      <c r="K14" s="94">
        <f>H14*$N$4 * $N$3</f>
        <v>2160000.0000000005</v>
      </c>
    </row>
    <row r="15" spans="1:14">
      <c r="B15" s="107" t="s">
        <v>411</v>
      </c>
      <c r="C15" s="105"/>
      <c r="D15" s="105"/>
      <c r="E15" s="105"/>
      <c r="F15" s="105"/>
      <c r="G15" s="105"/>
      <c r="H15" s="95">
        <f>SUM(H12:H14)</f>
        <v>103.2608695652174</v>
      </c>
      <c r="I15" s="95">
        <f>SUM(I12:I14)</f>
        <v>1239.1304347826087</v>
      </c>
      <c r="J15" s="106">
        <f t="shared" ref="J15:K15" si="1">SUM(J12:J14)</f>
        <v>380000</v>
      </c>
      <c r="K15" s="106">
        <f t="shared" si="1"/>
        <v>4560000</v>
      </c>
    </row>
    <row r="16" spans="1:14">
      <c r="B16" s="306"/>
      <c r="F16" s="90"/>
      <c r="G16" s="89"/>
      <c r="H16" s="90"/>
      <c r="I16" s="90"/>
      <c r="J16" s="89"/>
      <c r="K16" s="94"/>
    </row>
    <row r="17" spans="2:12">
      <c r="B17" s="307" t="s">
        <v>412</v>
      </c>
      <c r="C17" s="74"/>
      <c r="D17" s="74" t="s">
        <v>308</v>
      </c>
      <c r="E17" s="74"/>
      <c r="F17" s="91" t="s">
        <v>309</v>
      </c>
      <c r="G17" s="91" t="s">
        <v>309</v>
      </c>
      <c r="H17" s="91" t="s">
        <v>310</v>
      </c>
      <c r="I17" s="91" t="s">
        <v>311</v>
      </c>
      <c r="J17" s="91" t="s">
        <v>312</v>
      </c>
      <c r="K17" s="127" t="s">
        <v>313</v>
      </c>
    </row>
    <row r="18" spans="2:12">
      <c r="B18" s="308" t="s">
        <v>119</v>
      </c>
      <c r="D18">
        <v>12</v>
      </c>
      <c r="F18" s="90">
        <f>G18/N4</f>
        <v>0.1358695652173913</v>
      </c>
      <c r="G18" s="89">
        <f>Supplies!E5</f>
        <v>500</v>
      </c>
      <c r="H18" s="90">
        <f>F18*D18</f>
        <v>1.6304347826086956</v>
      </c>
      <c r="I18" s="90">
        <f>H18*N3</f>
        <v>19.565217391304348</v>
      </c>
      <c r="J18" s="89">
        <f>G18*D18</f>
        <v>6000</v>
      </c>
      <c r="K18" s="94">
        <f>J18*N3</f>
        <v>72000</v>
      </c>
    </row>
    <row r="19" spans="2:12">
      <c r="B19" s="309" t="s">
        <v>96</v>
      </c>
      <c r="C19">
        <v>10</v>
      </c>
      <c r="D19">
        <v>2</v>
      </c>
      <c r="F19" s="90">
        <v>235.6</v>
      </c>
      <c r="G19" s="89">
        <f>F19*N4</f>
        <v>867008</v>
      </c>
      <c r="H19" s="90">
        <f>I19/N3</f>
        <v>3.9266666666666663</v>
      </c>
      <c r="I19" s="90">
        <f>(F19/C19)*D19</f>
        <v>47.12</v>
      </c>
      <c r="J19" s="89">
        <f>K19/N3</f>
        <v>14450.133333333333</v>
      </c>
      <c r="K19" s="254">
        <f>(G19/C19)*D19</f>
        <v>173401.60000000001</v>
      </c>
    </row>
    <row r="20" spans="2:12">
      <c r="B20" s="310" t="s">
        <v>413</v>
      </c>
      <c r="D20">
        <v>8</v>
      </c>
      <c r="F20" s="90">
        <f>G20/N4</f>
        <v>4.0760869565217392</v>
      </c>
      <c r="G20" s="89">
        <f>Supplies!E6</f>
        <v>15000</v>
      </c>
      <c r="H20" s="90">
        <f>I20/N3</f>
        <v>2.7173913043478262</v>
      </c>
      <c r="I20" s="90">
        <f>F20*D20</f>
        <v>32.608695652173914</v>
      </c>
      <c r="J20" s="89">
        <f>H20*N4</f>
        <v>10000</v>
      </c>
      <c r="K20" s="254">
        <f>I20*N4</f>
        <v>120000</v>
      </c>
    </row>
    <row r="21" spans="2:12">
      <c r="B21" s="311" t="s">
        <v>414</v>
      </c>
      <c r="C21" s="302"/>
      <c r="D21" s="302"/>
      <c r="E21" s="302"/>
      <c r="F21" s="303"/>
      <c r="G21" s="304"/>
      <c r="H21" s="303">
        <f>Supplies!I29</f>
        <v>331.69384057971013</v>
      </c>
      <c r="I21" s="303">
        <f>Supplies!J29</f>
        <v>3980.3260869565215</v>
      </c>
      <c r="J21" s="304">
        <f>Supplies!F29</f>
        <v>1220633.3333333333</v>
      </c>
      <c r="K21" s="305">
        <f>Supplies!G29</f>
        <v>14647600</v>
      </c>
    </row>
    <row r="22" spans="2:12">
      <c r="B22" s="312" t="s">
        <v>113</v>
      </c>
      <c r="F22" s="90"/>
      <c r="G22" s="89"/>
      <c r="H22" s="90">
        <f>Supplies!I30</f>
        <v>41.25</v>
      </c>
      <c r="I22" s="90">
        <f>Supplies!J30</f>
        <v>495</v>
      </c>
      <c r="J22" s="89">
        <f>Supplies!F30</f>
        <v>151800</v>
      </c>
      <c r="K22" s="254">
        <f>Supplies!G30</f>
        <v>1821600</v>
      </c>
    </row>
    <row r="23" spans="2:12">
      <c r="B23" s="313" t="s">
        <v>415</v>
      </c>
      <c r="F23" s="90"/>
      <c r="G23" s="89"/>
      <c r="H23" s="90">
        <f>Supplies!I31</f>
        <v>175.10869565217391</v>
      </c>
      <c r="I23" s="90">
        <f>Supplies!J31</f>
        <v>2101.304347826087</v>
      </c>
      <c r="J23" s="89">
        <f>Supplies!F31</f>
        <v>644400</v>
      </c>
      <c r="K23" s="254">
        <f>Supplies!G31</f>
        <v>7732800</v>
      </c>
    </row>
    <row r="24" spans="2:12">
      <c r="B24" s="107" t="s">
        <v>416</v>
      </c>
      <c r="C24" s="105"/>
      <c r="D24" s="105"/>
      <c r="E24" s="105"/>
      <c r="F24" s="105"/>
      <c r="G24" s="105"/>
      <c r="H24" s="95">
        <f>SUM(H18:H23)</f>
        <v>556.32702898550724</v>
      </c>
      <c r="I24" s="95">
        <f t="shared" ref="I24:K24" si="2">SUM(I18:I23)</f>
        <v>6675.9243478260869</v>
      </c>
      <c r="J24" s="106">
        <f t="shared" si="2"/>
        <v>2047283.4666666666</v>
      </c>
      <c r="K24" s="301">
        <f t="shared" si="2"/>
        <v>24567401.600000001</v>
      </c>
    </row>
    <row r="25" spans="2:12">
      <c r="B25" s="78"/>
      <c r="F25" s="90"/>
      <c r="G25" s="89"/>
      <c r="H25" s="90"/>
      <c r="I25" s="110"/>
      <c r="J25" s="110"/>
      <c r="K25" s="112"/>
    </row>
    <row r="26" spans="2:12">
      <c r="B26" s="78" t="s">
        <v>417</v>
      </c>
      <c r="D26">
        <v>600</v>
      </c>
      <c r="F26" s="90">
        <v>5</v>
      </c>
      <c r="G26" s="89">
        <f>F26*N4</f>
        <v>18400</v>
      </c>
      <c r="H26" s="90">
        <f>I26/N3</f>
        <v>250</v>
      </c>
      <c r="I26" s="90">
        <f>F26*D26</f>
        <v>3000</v>
      </c>
      <c r="J26" s="89">
        <f>H26*N4</f>
        <v>920000</v>
      </c>
      <c r="K26" s="94">
        <f>I26*N4</f>
        <v>11040000</v>
      </c>
    </row>
    <row r="27" spans="2:12">
      <c r="B27" s="78"/>
      <c r="F27" s="90"/>
      <c r="G27" s="89"/>
      <c r="H27" s="90"/>
      <c r="I27" s="111"/>
      <c r="J27" s="111"/>
      <c r="K27" s="113"/>
    </row>
    <row r="28" spans="2:12">
      <c r="B28" s="108" t="s">
        <v>418</v>
      </c>
      <c r="C28" s="109"/>
      <c r="D28" s="109"/>
      <c r="E28" s="109"/>
      <c r="F28" s="109"/>
      <c r="G28" s="109"/>
      <c r="H28" s="95">
        <f>SUM(H10+H15+H24)</f>
        <v>884.58789855072462</v>
      </c>
      <c r="I28" s="95">
        <f>SUM(I10+I15+I24)</f>
        <v>10615.054782608695</v>
      </c>
      <c r="J28" s="106">
        <f>SUM(J10+J15+J24)</f>
        <v>3255283.4666666668</v>
      </c>
      <c r="K28" s="106">
        <f>SUM(K10+K15+K24)</f>
        <v>39063401.600000001</v>
      </c>
    </row>
    <row r="29" spans="2:12">
      <c r="B29" s="116" t="s">
        <v>419</v>
      </c>
      <c r="C29" s="114"/>
      <c r="D29" s="114"/>
      <c r="E29" s="114"/>
      <c r="F29" s="114"/>
      <c r="G29" s="114"/>
      <c r="H29" s="115">
        <f>H28+H26</f>
        <v>1134.5878985507247</v>
      </c>
      <c r="I29" s="115">
        <f>I28+I26</f>
        <v>13615.054782608695</v>
      </c>
      <c r="J29" s="106">
        <f>J28+J26</f>
        <v>4175283.4666666668</v>
      </c>
      <c r="K29" s="106">
        <f>K28+K26</f>
        <v>50103401.600000001</v>
      </c>
    </row>
    <row r="30" spans="2:12">
      <c r="B30" s="74"/>
      <c r="C30" s="74"/>
      <c r="D30" s="74"/>
      <c r="E30" s="74"/>
      <c r="F30" s="74"/>
      <c r="G30" s="74"/>
      <c r="H30" s="90"/>
      <c r="I30" s="90"/>
      <c r="J30" s="89"/>
      <c r="K30" s="89"/>
    </row>
    <row r="31" spans="2:12" ht="42.75" customHeight="1">
      <c r="B31" t="s">
        <v>420</v>
      </c>
      <c r="C31" s="74"/>
      <c r="D31" s="74"/>
      <c r="E31" s="74"/>
      <c r="F31" s="74"/>
      <c r="G31" s="338" t="s">
        <v>421</v>
      </c>
      <c r="H31" s="122" t="s">
        <v>310</v>
      </c>
      <c r="I31" s="122" t="s">
        <v>311</v>
      </c>
      <c r="J31" s="122" t="s">
        <v>312</v>
      </c>
      <c r="K31" s="123" t="s">
        <v>313</v>
      </c>
      <c r="L31" s="120" t="s">
        <v>422</v>
      </c>
    </row>
    <row r="32" spans="2:12">
      <c r="G32" s="341" t="s">
        <v>410</v>
      </c>
      <c r="H32" s="344">
        <f>H10</f>
        <v>225</v>
      </c>
      <c r="I32" s="344">
        <f>I10</f>
        <v>2700</v>
      </c>
      <c r="J32" s="345">
        <f>J10</f>
        <v>828000</v>
      </c>
      <c r="K32" s="345">
        <f t="shared" ref="K32" si="3">K10</f>
        <v>9936000</v>
      </c>
      <c r="L32" s="346">
        <f>H32/$H$39</f>
        <v>0.25435572922558797</v>
      </c>
    </row>
    <row r="33" spans="2:12">
      <c r="B33" t="s">
        <v>423</v>
      </c>
      <c r="G33" s="341" t="s">
        <v>424</v>
      </c>
      <c r="H33" s="347">
        <f>H15</f>
        <v>103.2608695652174</v>
      </c>
      <c r="I33" s="347">
        <f>I15</f>
        <v>1239.1304347826087</v>
      </c>
      <c r="J33" s="345">
        <f>J15</f>
        <v>380000</v>
      </c>
      <c r="K33" s="345">
        <f t="shared" ref="K33" si="4">K15</f>
        <v>4560000</v>
      </c>
      <c r="L33" s="346">
        <f t="shared" ref="L33:L34" si="5">H33/$H$39</f>
        <v>0.11673330568324088</v>
      </c>
    </row>
    <row r="34" spans="2:12" ht="28.5">
      <c r="G34" s="341" t="s">
        <v>140</v>
      </c>
      <c r="H34" s="347">
        <f>Supplies!I9</f>
        <v>556.32702898550724</v>
      </c>
      <c r="I34" s="347">
        <f>Supplies!J9</f>
        <v>6675.924347826086</v>
      </c>
      <c r="J34" s="345">
        <f>Supplies!F9</f>
        <v>2047283.4666666666</v>
      </c>
      <c r="K34" s="345">
        <f>Supplies!G9</f>
        <v>24567401.600000001</v>
      </c>
      <c r="L34" s="346">
        <f t="shared" si="5"/>
        <v>0.62891096509117117</v>
      </c>
    </row>
    <row r="35" spans="2:12" ht="28.5">
      <c r="G35" s="352" t="s">
        <v>425</v>
      </c>
      <c r="H35" s="343">
        <f>SUM(H18:H20)</f>
        <v>8.2744927536231891</v>
      </c>
      <c r="I35" s="343">
        <f t="shared" ref="I35:K35" si="6">SUM(I18:I20)</f>
        <v>99.293913043478256</v>
      </c>
      <c r="J35" s="342">
        <f t="shared" si="6"/>
        <v>30450.133333333331</v>
      </c>
      <c r="K35" s="342">
        <f t="shared" si="6"/>
        <v>365401.59999999998</v>
      </c>
      <c r="L35" s="314">
        <f>H35/$H$34</f>
        <v>1.4873432931547796E-2</v>
      </c>
    </row>
    <row r="36" spans="2:12">
      <c r="G36" s="352" t="s">
        <v>426</v>
      </c>
      <c r="H36" s="343">
        <f>H21</f>
        <v>331.69384057971013</v>
      </c>
      <c r="I36" s="343">
        <f t="shared" ref="I36:K36" si="7">I21</f>
        <v>3980.3260869565215</v>
      </c>
      <c r="J36" s="342">
        <f t="shared" si="7"/>
        <v>1220633.3333333333</v>
      </c>
      <c r="K36" s="342">
        <f t="shared" si="7"/>
        <v>14647600</v>
      </c>
      <c r="L36" s="314">
        <f>H36/$H$34</f>
        <v>0.59622096949805226</v>
      </c>
    </row>
    <row r="37" spans="2:12">
      <c r="G37" s="361" t="s">
        <v>113</v>
      </c>
      <c r="H37" s="236">
        <f>H22</f>
        <v>41.25</v>
      </c>
      <c r="I37" s="236">
        <f>I22</f>
        <v>495</v>
      </c>
      <c r="J37" s="342">
        <f t="shared" ref="J37:K37" si="8">J22</f>
        <v>151800</v>
      </c>
      <c r="K37" s="342">
        <f t="shared" si="8"/>
        <v>1821600</v>
      </c>
      <c r="L37" s="314">
        <f>H37/$H$34</f>
        <v>7.4147035557883337E-2</v>
      </c>
    </row>
    <row r="38" spans="2:12" ht="28.5">
      <c r="G38" s="361" t="s">
        <v>415</v>
      </c>
      <c r="H38" s="236">
        <f>H23</f>
        <v>175.10869565217391</v>
      </c>
      <c r="I38" s="236">
        <f t="shared" ref="I38:K38" si="9">I23</f>
        <v>2101.304347826087</v>
      </c>
      <c r="J38" s="342">
        <f t="shared" si="9"/>
        <v>644400</v>
      </c>
      <c r="K38" s="342">
        <f t="shared" si="9"/>
        <v>7732800</v>
      </c>
      <c r="L38" s="314">
        <f>H38/$H$34</f>
        <v>0.31475856201251662</v>
      </c>
    </row>
    <row r="39" spans="2:12" ht="28.5">
      <c r="G39" s="339" t="s">
        <v>418</v>
      </c>
      <c r="H39" s="348">
        <f>SUM(H32:H34)</f>
        <v>884.58789855072462</v>
      </c>
      <c r="I39" s="348">
        <f>SUM(I32:I34)</f>
        <v>10615.054782608695</v>
      </c>
      <c r="J39" s="349">
        <f t="shared" ref="J39:K39" si="10">SUM(J32:J34)</f>
        <v>3255283.4666666668</v>
      </c>
      <c r="K39" s="350">
        <f t="shared" si="10"/>
        <v>39063401.600000001</v>
      </c>
      <c r="L39" s="314">
        <f>SUM(L32:L36)</f>
        <v>1.6110944024296001</v>
      </c>
    </row>
    <row r="40" spans="2:12">
      <c r="L40" s="12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8763C-3D51-4FFB-9BB4-F3113215AF69}">
  <dimension ref="A1:P33"/>
  <sheetViews>
    <sheetView workbookViewId="0">
      <selection activeCell="B9" sqref="B9"/>
    </sheetView>
  </sheetViews>
  <sheetFormatPr defaultRowHeight="14.25"/>
  <cols>
    <col min="2" max="2" width="38.5703125" customWidth="1"/>
    <col min="3" max="3" width="21" customWidth="1"/>
    <col min="4" max="5" width="16.42578125" customWidth="1"/>
    <col min="6" max="6" width="18.42578125" customWidth="1"/>
    <col min="7" max="7" width="21.7109375" customWidth="1"/>
    <col min="8" max="8" width="14.85546875" customWidth="1"/>
    <col min="9" max="9" width="14.28515625" customWidth="1"/>
    <col min="10" max="10" width="18.7109375" customWidth="1"/>
    <col min="11" max="11" width="19.28515625" customWidth="1"/>
    <col min="12" max="12" width="16.42578125" customWidth="1"/>
    <col min="15" max="15" width="21" bestFit="1" customWidth="1"/>
    <col min="16" max="16" width="24" bestFit="1" customWidth="1"/>
  </cols>
  <sheetData>
    <row r="1" spans="1:15">
      <c r="A1" s="74" t="s">
        <v>427</v>
      </c>
    </row>
    <row r="2" spans="1:15">
      <c r="A2" t="s">
        <v>428</v>
      </c>
      <c r="M2" t="s">
        <v>403</v>
      </c>
      <c r="N2">
        <v>12</v>
      </c>
    </row>
    <row r="3" spans="1:15">
      <c r="M3" t="s">
        <v>409</v>
      </c>
      <c r="N3">
        <f>'Personnel &amp; Transport'!E3</f>
        <v>3680</v>
      </c>
    </row>
    <row r="4" spans="1:15">
      <c r="B4" s="322"/>
      <c r="C4" s="323" t="s">
        <v>429</v>
      </c>
      <c r="D4" s="323" t="s">
        <v>405</v>
      </c>
      <c r="E4" s="323" t="s">
        <v>406</v>
      </c>
      <c r="F4" s="323" t="s">
        <v>430</v>
      </c>
      <c r="G4" s="323" t="s">
        <v>431</v>
      </c>
      <c r="H4" s="323" t="s">
        <v>310</v>
      </c>
      <c r="I4" s="323" t="s">
        <v>311</v>
      </c>
      <c r="J4" s="323" t="s">
        <v>312</v>
      </c>
      <c r="K4" s="324" t="s">
        <v>313</v>
      </c>
      <c r="L4" s="74"/>
      <c r="M4" s="74"/>
      <c r="N4" s="74"/>
      <c r="O4" s="74"/>
    </row>
    <row r="5" spans="1:15">
      <c r="B5" s="325" t="s">
        <v>432</v>
      </c>
      <c r="C5" s="74"/>
      <c r="D5" s="74"/>
      <c r="E5" s="74"/>
      <c r="F5" s="90"/>
      <c r="G5" s="92"/>
      <c r="K5" s="326"/>
      <c r="L5" t="s">
        <v>433</v>
      </c>
    </row>
    <row r="6" spans="1:15">
      <c r="B6" s="327" t="s">
        <v>434</v>
      </c>
      <c r="D6">
        <v>12</v>
      </c>
      <c r="E6">
        <v>3</v>
      </c>
      <c r="F6" s="90">
        <f>'Personnel &amp; Transport'!C7</f>
        <v>3.2608695652173911</v>
      </c>
      <c r="G6" s="89">
        <f>F6*$N$3</f>
        <v>12000</v>
      </c>
      <c r="H6" s="90">
        <f>F6*E6*D6</f>
        <v>117.39130434782609</v>
      </c>
      <c r="I6" s="90">
        <f>H6*$N$2</f>
        <v>1408.695652173913</v>
      </c>
      <c r="J6" s="89">
        <f>G6*E6*D6</f>
        <v>432000</v>
      </c>
      <c r="K6" s="254">
        <f>J6 * $N$2</f>
        <v>5184000</v>
      </c>
    </row>
    <row r="7" spans="1:15">
      <c r="B7" s="328" t="s">
        <v>410</v>
      </c>
      <c r="C7" s="95"/>
      <c r="D7" s="95"/>
      <c r="E7" s="95"/>
      <c r="F7" s="95"/>
      <c r="G7" s="95"/>
      <c r="H7" s="95">
        <f>SUM(H5:H6)</f>
        <v>117.39130434782609</v>
      </c>
      <c r="I7" s="95">
        <f>SUM(I5:I6)</f>
        <v>1408.695652173913</v>
      </c>
      <c r="J7" s="106">
        <f>SUM(J5:J6)</f>
        <v>432000</v>
      </c>
      <c r="K7" s="301">
        <f>SUM(K5:K6)</f>
        <v>5184000</v>
      </c>
      <c r="L7" t="s">
        <v>435</v>
      </c>
    </row>
    <row r="8" spans="1:15">
      <c r="B8" s="325"/>
      <c r="C8" s="74"/>
      <c r="D8" s="74"/>
      <c r="E8" s="74"/>
      <c r="F8" s="90"/>
      <c r="G8" s="92"/>
      <c r="K8" s="326"/>
      <c r="L8" t="s">
        <v>436</v>
      </c>
    </row>
    <row r="9" spans="1:15">
      <c r="B9" s="325" t="s">
        <v>10</v>
      </c>
      <c r="C9" s="74"/>
      <c r="D9" s="74"/>
      <c r="E9" s="74"/>
      <c r="F9" s="90"/>
      <c r="G9" s="92"/>
      <c r="H9" s="90"/>
      <c r="K9" s="326"/>
    </row>
    <row r="10" spans="1:15">
      <c r="B10" s="327" t="s">
        <v>437</v>
      </c>
      <c r="D10" s="74"/>
      <c r="E10" s="74"/>
      <c r="F10" s="90"/>
      <c r="G10" s="92"/>
      <c r="H10" s="90"/>
      <c r="K10" s="326"/>
    </row>
    <row r="11" spans="1:15">
      <c r="B11" s="328" t="s">
        <v>411</v>
      </c>
      <c r="C11" s="105"/>
      <c r="D11" s="105"/>
      <c r="E11" s="105"/>
      <c r="F11" s="105"/>
      <c r="G11" s="105"/>
      <c r="H11" s="95">
        <f>SUM(H8:H10)</f>
        <v>0</v>
      </c>
      <c r="I11" s="95">
        <f>SUM(I8:I10)</f>
        <v>0</v>
      </c>
      <c r="J11" s="106">
        <f>SUM(J8:J10)</f>
        <v>0</v>
      </c>
      <c r="K11" s="301">
        <f t="shared" ref="K11" si="0">SUM(K8:K10)</f>
        <v>0</v>
      </c>
    </row>
    <row r="12" spans="1:15">
      <c r="B12" s="327"/>
      <c r="D12" s="74"/>
      <c r="E12" s="74"/>
      <c r="F12" s="90"/>
      <c r="G12" s="92"/>
      <c r="K12" s="326"/>
    </row>
    <row r="13" spans="1:15">
      <c r="B13" s="325" t="s">
        <v>412</v>
      </c>
      <c r="C13" s="74"/>
      <c r="D13" s="74" t="s">
        <v>308</v>
      </c>
      <c r="E13" s="74"/>
      <c r="F13" s="91" t="s">
        <v>309</v>
      </c>
      <c r="G13" s="91" t="s">
        <v>309</v>
      </c>
      <c r="H13" s="91" t="s">
        <v>310</v>
      </c>
      <c r="I13" s="91" t="s">
        <v>311</v>
      </c>
      <c r="J13" s="91" t="s">
        <v>312</v>
      </c>
      <c r="K13" s="329" t="s">
        <v>313</v>
      </c>
    </row>
    <row r="14" spans="1:15" ht="17.25" customHeight="1">
      <c r="B14" s="255" t="s">
        <v>438</v>
      </c>
      <c r="C14" s="193"/>
      <c r="F14" s="90"/>
      <c r="G14" s="89"/>
      <c r="H14" s="90">
        <f>'VectorCam Cost-Depreciation'!G24</f>
        <v>72.256095191040842</v>
      </c>
      <c r="I14" s="90">
        <f>'VectorCam Cost-Depreciation'!H24</f>
        <v>867.07314229249016</v>
      </c>
      <c r="J14" s="89">
        <f>'VectorCam Cost-Depreciation'!I24</f>
        <v>265902.4303030303</v>
      </c>
      <c r="K14" s="254">
        <f>'VectorCam Cost-Depreciation'!J24</f>
        <v>3190829.163636364</v>
      </c>
      <c r="L14" s="90"/>
    </row>
    <row r="15" spans="1:15">
      <c r="B15" s="333" t="s">
        <v>414</v>
      </c>
      <c r="C15" s="302"/>
      <c r="D15" s="302"/>
      <c r="E15" s="302"/>
      <c r="F15" s="303"/>
      <c r="G15" s="304"/>
      <c r="H15" s="303">
        <f>'Routine Uganda Surveillance'!H21</f>
        <v>331.69384057971013</v>
      </c>
      <c r="I15" s="303">
        <f>'Routine Uganda Surveillance'!I21</f>
        <v>3980.3260869565215</v>
      </c>
      <c r="J15" s="304">
        <f>'Routine Uganda Surveillance'!J21</f>
        <v>1220633.3333333333</v>
      </c>
      <c r="K15" s="305">
        <f>'Routine Uganda Surveillance'!K21</f>
        <v>14647600</v>
      </c>
    </row>
    <row r="16" spans="1:15">
      <c r="B16" s="331" t="s">
        <v>113</v>
      </c>
      <c r="F16" s="90"/>
      <c r="G16" s="89"/>
      <c r="H16" s="90">
        <f>'Routine Uganda Surveillance'!H22</f>
        <v>41.25</v>
      </c>
      <c r="I16" s="90">
        <f>'Routine Uganda Surveillance'!I22</f>
        <v>495</v>
      </c>
      <c r="J16" s="89">
        <f>'Routine Uganda Surveillance'!J22</f>
        <v>151800</v>
      </c>
      <c r="K16" s="254">
        <f>'Routine Uganda Surveillance'!K22</f>
        <v>1821600</v>
      </c>
    </row>
    <row r="17" spans="2:16">
      <c r="B17" s="337" t="s">
        <v>415</v>
      </c>
      <c r="C17" s="317"/>
      <c r="D17" s="317"/>
      <c r="E17" s="317"/>
      <c r="F17" s="318"/>
      <c r="G17" s="319"/>
      <c r="H17" s="318">
        <f>'Routine Uganda Surveillance'!H23</f>
        <v>175.10869565217391</v>
      </c>
      <c r="I17" s="318">
        <f>'Routine Uganda Surveillance'!I23</f>
        <v>2101.304347826087</v>
      </c>
      <c r="J17" s="319">
        <f>'Routine Uganda Surveillance'!J23</f>
        <v>644400</v>
      </c>
      <c r="K17" s="332">
        <f>'Routine Uganda Surveillance'!K23</f>
        <v>7732800</v>
      </c>
    </row>
    <row r="18" spans="2:16">
      <c r="B18" s="335" t="s">
        <v>416</v>
      </c>
      <c r="C18" s="336"/>
      <c r="D18" s="336"/>
      <c r="E18" s="336"/>
      <c r="F18" s="336"/>
      <c r="G18" s="336"/>
      <c r="H18" s="334">
        <f>SUM(H14:H17)</f>
        <v>620.30863142292492</v>
      </c>
      <c r="I18" s="334">
        <f>SUM(I14:I17)</f>
        <v>7443.703577075099</v>
      </c>
      <c r="J18" s="106">
        <f t="shared" ref="J18:K18" si="1">SUM(J14:J17)</f>
        <v>2282735.7636363637</v>
      </c>
      <c r="K18" s="106">
        <f t="shared" si="1"/>
        <v>27392829.163636364</v>
      </c>
    </row>
    <row r="19" spans="2:16">
      <c r="B19" s="125"/>
      <c r="C19" s="91"/>
      <c r="D19" s="91"/>
      <c r="E19" s="91"/>
      <c r="F19" s="91"/>
      <c r="G19" s="91"/>
      <c r="H19" s="90"/>
      <c r="I19" s="90"/>
      <c r="J19" s="90"/>
      <c r="K19" s="126"/>
    </row>
    <row r="20" spans="2:16">
      <c r="B20" s="78" t="s">
        <v>417</v>
      </c>
      <c r="D20">
        <v>600</v>
      </c>
      <c r="F20" s="90">
        <v>5</v>
      </c>
      <c r="G20" s="90">
        <f>F20*N3</f>
        <v>18400</v>
      </c>
      <c r="H20" s="90">
        <f>I20/N2</f>
        <v>250</v>
      </c>
      <c r="I20" s="90">
        <f>F20*D20</f>
        <v>3000</v>
      </c>
      <c r="J20" s="89">
        <f>H20*N3</f>
        <v>920000</v>
      </c>
      <c r="K20" s="94">
        <f>I20*N3</f>
        <v>11040000</v>
      </c>
    </row>
    <row r="21" spans="2:16">
      <c r="B21" s="78"/>
      <c r="F21" s="90"/>
      <c r="K21" s="4"/>
    </row>
    <row r="22" spans="2:16">
      <c r="B22" s="356" t="s">
        <v>439</v>
      </c>
      <c r="C22" s="356"/>
      <c r="D22" s="356"/>
      <c r="E22" s="356"/>
      <c r="F22" s="356"/>
      <c r="G22" s="356"/>
      <c r="H22" s="357">
        <f>SUM(H7,H11,H18)</f>
        <v>737.69993577075104</v>
      </c>
      <c r="I22" s="357">
        <f>SUM(I7,I11,I18)</f>
        <v>8852.3992292490111</v>
      </c>
      <c r="J22" s="358">
        <f>SUM(J7,J11,J18)</f>
        <v>2714735.7636363637</v>
      </c>
      <c r="K22" s="358">
        <f>SUM(K7,K11,K18)</f>
        <v>32576829.163636364</v>
      </c>
    </row>
    <row r="23" spans="2:16">
      <c r="B23" s="356" t="s">
        <v>440</v>
      </c>
      <c r="C23" s="356"/>
      <c r="D23" s="356"/>
      <c r="E23" s="356"/>
      <c r="F23" s="356"/>
      <c r="G23" s="356"/>
      <c r="H23" s="357">
        <f>H20+H22</f>
        <v>987.69993577075104</v>
      </c>
      <c r="I23" s="357">
        <f t="shared" ref="I23:K23" si="2">I20+I22</f>
        <v>11852.399229249011</v>
      </c>
      <c r="J23" s="358">
        <f>J20+J22</f>
        <v>3634735.7636363637</v>
      </c>
      <c r="K23" s="358">
        <f t="shared" si="2"/>
        <v>43616829.163636364</v>
      </c>
    </row>
    <row r="24" spans="2:16">
      <c r="I24" s="90"/>
    </row>
    <row r="25" spans="2:16" ht="28.5">
      <c r="G25" s="353" t="s">
        <v>441</v>
      </c>
      <c r="H25" s="354" t="s">
        <v>310</v>
      </c>
      <c r="I25" s="354" t="s">
        <v>311</v>
      </c>
      <c r="J25" s="354" t="s">
        <v>312</v>
      </c>
      <c r="K25" s="354" t="s">
        <v>313</v>
      </c>
      <c r="L25" s="341" t="s">
        <v>422</v>
      </c>
    </row>
    <row r="26" spans="2:16">
      <c r="G26" s="341" t="s">
        <v>410</v>
      </c>
      <c r="H26" s="344">
        <f>H7</f>
        <v>117.39130434782609</v>
      </c>
      <c r="I26" s="344">
        <f>I7</f>
        <v>1408.695652173913</v>
      </c>
      <c r="J26" s="345">
        <f>J7</f>
        <v>432000</v>
      </c>
      <c r="K26" s="345">
        <f>K7</f>
        <v>5184000</v>
      </c>
      <c r="L26" s="355">
        <f>H26/$H$33</f>
        <v>0.15913150951433297</v>
      </c>
      <c r="O26" t="s">
        <v>442</v>
      </c>
      <c r="P26" t="s">
        <v>443</v>
      </c>
    </row>
    <row r="27" spans="2:16">
      <c r="G27" s="341" t="s">
        <v>424</v>
      </c>
      <c r="H27" s="347">
        <f>H11</f>
        <v>0</v>
      </c>
      <c r="I27" s="347">
        <f>I11</f>
        <v>0</v>
      </c>
      <c r="J27" s="345">
        <f>J11</f>
        <v>0</v>
      </c>
      <c r="K27" s="345">
        <f>K11</f>
        <v>0</v>
      </c>
      <c r="L27" s="355">
        <f t="shared" ref="L27:L33" si="3">H27/$H$33</f>
        <v>0</v>
      </c>
      <c r="O27" s="90">
        <f>SUM(H26,H28)</f>
        <v>737.69993577075104</v>
      </c>
    </row>
    <row r="28" spans="2:16" ht="28.5">
      <c r="G28" s="341" t="s">
        <v>140</v>
      </c>
      <c r="H28" s="347">
        <f>H18</f>
        <v>620.30863142292492</v>
      </c>
      <c r="I28" s="347">
        <f>I18</f>
        <v>7443.703577075099</v>
      </c>
      <c r="J28" s="345">
        <f t="shared" ref="J28:K28" si="4">J18</f>
        <v>2282735.7636363637</v>
      </c>
      <c r="K28" s="345">
        <f t="shared" si="4"/>
        <v>27392829.163636364</v>
      </c>
      <c r="L28" s="355">
        <f t="shared" si="3"/>
        <v>0.84086849048566703</v>
      </c>
    </row>
    <row r="29" spans="2:16" ht="28.5">
      <c r="G29" s="351" t="s">
        <v>444</v>
      </c>
      <c r="H29" s="343">
        <f>H14</f>
        <v>72.256095191040842</v>
      </c>
      <c r="I29" s="343">
        <f>I14</f>
        <v>867.07314229249016</v>
      </c>
      <c r="J29" s="342">
        <f t="shared" ref="J29:K29" si="5">J14</f>
        <v>265902.4303030303</v>
      </c>
      <c r="K29" s="342">
        <f t="shared" si="5"/>
        <v>3190829.163636364</v>
      </c>
      <c r="L29" s="359">
        <f>H29/$H$28</f>
        <v>0.11648410409072127</v>
      </c>
    </row>
    <row r="30" spans="2:16">
      <c r="G30" s="351" t="s">
        <v>426</v>
      </c>
      <c r="H30" s="343">
        <f>H15</f>
        <v>331.69384057971013</v>
      </c>
      <c r="I30" s="343">
        <f t="shared" ref="I30:K30" si="6">I15</f>
        <v>3980.3260869565215</v>
      </c>
      <c r="J30" s="342">
        <f t="shared" si="6"/>
        <v>1220633.3333333333</v>
      </c>
      <c r="K30" s="342">
        <f t="shared" si="6"/>
        <v>14647600</v>
      </c>
      <c r="L30" s="359">
        <f>H30/$H$28</f>
        <v>0.5347238838492997</v>
      </c>
    </row>
    <row r="31" spans="2:16">
      <c r="G31" s="360" t="s">
        <v>113</v>
      </c>
      <c r="H31" s="343">
        <f>H16</f>
        <v>41.25</v>
      </c>
      <c r="I31" s="343">
        <f t="shared" ref="I31:K31" si="7">I16</f>
        <v>495</v>
      </c>
      <c r="J31" s="342">
        <f t="shared" si="7"/>
        <v>151800</v>
      </c>
      <c r="K31" s="342">
        <f t="shared" si="7"/>
        <v>1821600</v>
      </c>
      <c r="L31" s="359">
        <f>H31/$H$28</f>
        <v>6.6499155275941746E-2</v>
      </c>
    </row>
    <row r="32" spans="2:16" ht="28.5">
      <c r="G32" s="360" t="s">
        <v>415</v>
      </c>
      <c r="H32" s="236">
        <f>H17</f>
        <v>175.10869565217391</v>
      </c>
      <c r="I32" s="236">
        <f t="shared" ref="I32:K32" si="8">I17</f>
        <v>2101.304347826087</v>
      </c>
      <c r="J32" s="342">
        <f t="shared" si="8"/>
        <v>644400</v>
      </c>
      <c r="K32" s="342">
        <f t="shared" si="8"/>
        <v>7732800</v>
      </c>
      <c r="L32" s="359">
        <f>H32/$H$28</f>
        <v>0.28229285678403726</v>
      </c>
    </row>
    <row r="33" spans="7:12">
      <c r="G33" s="339" t="s">
        <v>439</v>
      </c>
      <c r="H33" s="340">
        <f>SUM(H26:H28)</f>
        <v>737.69993577075104</v>
      </c>
      <c r="I33" s="340">
        <f t="shared" ref="I33:K33" si="9">SUM(I26:I28)</f>
        <v>8852.3992292490111</v>
      </c>
      <c r="J33" s="321">
        <f t="shared" si="9"/>
        <v>2714735.7636363637</v>
      </c>
      <c r="K33" s="321">
        <f t="shared" si="9"/>
        <v>32576829.163636364</v>
      </c>
      <c r="L33" s="355">
        <f t="shared" si="3"/>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925FE-334E-4C4B-9E37-92A14DA2FD39}">
  <dimension ref="A1:P34"/>
  <sheetViews>
    <sheetView workbookViewId="0">
      <selection activeCell="B7" sqref="B7"/>
    </sheetView>
  </sheetViews>
  <sheetFormatPr defaultRowHeight="14.25"/>
  <cols>
    <col min="2" max="2" width="36.42578125" customWidth="1"/>
    <col min="3" max="3" width="25.7109375" customWidth="1"/>
    <col min="4" max="4" width="16.85546875" customWidth="1"/>
    <col min="5" max="5" width="15.140625" customWidth="1"/>
    <col min="6" max="7" width="19.5703125" customWidth="1"/>
    <col min="8" max="8" width="15.85546875" customWidth="1"/>
    <col min="9" max="9" width="15" customWidth="1"/>
    <col min="10" max="10" width="22.140625" customWidth="1"/>
    <col min="11" max="11" width="21.28515625" customWidth="1"/>
    <col min="12" max="12" width="20.85546875" customWidth="1"/>
  </cols>
  <sheetData>
    <row r="1" spans="1:16">
      <c r="A1" s="74" t="s">
        <v>445</v>
      </c>
    </row>
    <row r="2" spans="1:16">
      <c r="A2" t="s">
        <v>446</v>
      </c>
      <c r="M2" t="s">
        <v>403</v>
      </c>
      <c r="N2">
        <v>12</v>
      </c>
    </row>
    <row r="3" spans="1:16">
      <c r="H3" s="74"/>
      <c r="I3" s="74"/>
      <c r="L3" s="74"/>
      <c r="M3" t="s">
        <v>409</v>
      </c>
      <c r="N3">
        <f>'Personnel &amp; Transport'!E3</f>
        <v>3680</v>
      </c>
      <c r="O3" s="74"/>
      <c r="P3" s="74"/>
    </row>
    <row r="4" spans="1:16">
      <c r="B4" s="83"/>
      <c r="C4" s="84" t="s">
        <v>429</v>
      </c>
      <c r="D4" s="84" t="s">
        <v>405</v>
      </c>
      <c r="E4" s="84" t="s">
        <v>406</v>
      </c>
      <c r="F4" s="84" t="s">
        <v>447</v>
      </c>
      <c r="G4" s="84" t="s">
        <v>448</v>
      </c>
      <c r="H4" s="84" t="s">
        <v>310</v>
      </c>
      <c r="I4" s="84" t="s">
        <v>311</v>
      </c>
      <c r="J4" s="84" t="s">
        <v>312</v>
      </c>
      <c r="K4" s="85" t="s">
        <v>313</v>
      </c>
      <c r="M4" t="s">
        <v>449</v>
      </c>
      <c r="N4">
        <v>4</v>
      </c>
    </row>
    <row r="5" spans="1:16">
      <c r="B5" s="82" t="s">
        <v>432</v>
      </c>
      <c r="C5" s="74"/>
      <c r="D5" s="74"/>
      <c r="E5" s="74"/>
      <c r="F5" s="91"/>
      <c r="G5" s="74"/>
      <c r="H5" s="90"/>
      <c r="J5" s="92"/>
      <c r="K5" s="93"/>
    </row>
    <row r="6" spans="1:16">
      <c r="B6" s="78" t="s">
        <v>434</v>
      </c>
      <c r="D6">
        <v>12</v>
      </c>
      <c r="E6">
        <v>3</v>
      </c>
      <c r="F6" s="90">
        <f>'Personnel &amp; Transport'!C7</f>
        <v>3.2608695652173911</v>
      </c>
      <c r="G6" s="92">
        <f>F6*$N$3</f>
        <v>12000</v>
      </c>
      <c r="H6" s="90">
        <f>D6*E6*F6</f>
        <v>117.39130434782608</v>
      </c>
      <c r="I6" s="90">
        <f>H6*$N$2</f>
        <v>1408.695652173913</v>
      </c>
      <c r="J6" s="92">
        <f>H6*$N$3</f>
        <v>431999.99999999994</v>
      </c>
      <c r="K6" s="93">
        <f>I6*$N$3</f>
        <v>5184000</v>
      </c>
    </row>
    <row r="7" spans="1:16">
      <c r="B7" s="78" t="s">
        <v>450</v>
      </c>
      <c r="D7">
        <v>2</v>
      </c>
      <c r="E7">
        <v>5</v>
      </c>
      <c r="F7" s="90">
        <f>'Personnel &amp; Transport'!C8</f>
        <v>3.2608695652173911</v>
      </c>
      <c r="G7" s="92">
        <f t="shared" ref="G7:G11" si="0">F7*$N$3</f>
        <v>12000</v>
      </c>
      <c r="H7" s="90">
        <f>I7/N2</f>
        <v>10.869565217391305</v>
      </c>
      <c r="I7" s="90">
        <f>D7*E7*F7*N4</f>
        <v>130.43478260869566</v>
      </c>
      <c r="J7" s="92">
        <f>H7*$N$3</f>
        <v>40000</v>
      </c>
      <c r="K7" s="93">
        <f t="shared" ref="K7:K11" si="1">I7*$N$3</f>
        <v>480000</v>
      </c>
    </row>
    <row r="8" spans="1:16">
      <c r="B8" s="107" t="s">
        <v>410</v>
      </c>
      <c r="C8" s="95"/>
      <c r="D8" s="95"/>
      <c r="E8" s="95"/>
      <c r="F8" s="95"/>
      <c r="G8" s="95"/>
      <c r="H8" s="95">
        <f>SUM(H6:H7)</f>
        <v>128.26086956521738</v>
      </c>
      <c r="I8" s="95">
        <f>SUM(I6:I7)</f>
        <v>1539.1304347826087</v>
      </c>
      <c r="J8" s="106">
        <f>SUM(J6:J7)</f>
        <v>471999.99999999994</v>
      </c>
      <c r="K8" s="106">
        <f>SUM(K6:K7)</f>
        <v>5664000</v>
      </c>
    </row>
    <row r="9" spans="1:16">
      <c r="B9" s="82"/>
      <c r="C9" s="74"/>
      <c r="D9" s="74"/>
      <c r="E9" s="74"/>
      <c r="F9" s="91"/>
      <c r="G9" s="92"/>
      <c r="H9" s="90"/>
      <c r="I9" s="90"/>
      <c r="J9" s="92"/>
      <c r="K9" s="93"/>
    </row>
    <row r="10" spans="1:16">
      <c r="B10" s="82" t="s">
        <v>10</v>
      </c>
      <c r="C10" s="74"/>
      <c r="D10" s="74"/>
      <c r="E10" s="74"/>
      <c r="F10" s="91"/>
      <c r="G10" s="92"/>
      <c r="H10" s="90"/>
      <c r="I10" s="90"/>
      <c r="J10" s="92"/>
      <c r="K10" s="93"/>
    </row>
    <row r="11" spans="1:16">
      <c r="B11" s="78" t="s">
        <v>451</v>
      </c>
      <c r="D11">
        <v>2</v>
      </c>
      <c r="E11">
        <v>5</v>
      </c>
      <c r="F11" s="90">
        <f>'Personnel &amp; Transport'!C4</f>
        <v>5.4347826086956523</v>
      </c>
      <c r="G11" s="92">
        <f t="shared" si="0"/>
        <v>20000</v>
      </c>
      <c r="H11" s="90">
        <f>I11/N2</f>
        <v>18.115942028985508</v>
      </c>
      <c r="I11" s="90">
        <f>D11*E11*F11*N4</f>
        <v>217.39130434782609</v>
      </c>
      <c r="J11" s="92">
        <f t="shared" ref="J11" si="2">H11*$N$3</f>
        <v>66666.666666666672</v>
      </c>
      <c r="K11" s="93">
        <f t="shared" si="1"/>
        <v>800000</v>
      </c>
    </row>
    <row r="12" spans="1:16">
      <c r="B12" s="107" t="s">
        <v>411</v>
      </c>
      <c r="C12" s="105"/>
      <c r="D12" s="105"/>
      <c r="E12" s="105"/>
      <c r="F12" s="105"/>
      <c r="G12" s="105"/>
      <c r="H12" s="95">
        <f>SUM(H9:H11)</f>
        <v>18.115942028985508</v>
      </c>
      <c r="I12" s="95">
        <f>SUM(I9:I11)</f>
        <v>217.39130434782609</v>
      </c>
      <c r="J12" s="106">
        <f>SUM(J9:J11)</f>
        <v>66666.666666666672</v>
      </c>
      <c r="K12" s="106">
        <f>SUM(K9:K11)</f>
        <v>800000</v>
      </c>
    </row>
    <row r="13" spans="1:16">
      <c r="B13" s="82"/>
      <c r="C13" s="74"/>
      <c r="D13" s="74"/>
      <c r="E13" s="74"/>
      <c r="F13" s="91"/>
      <c r="G13" s="92"/>
      <c r="H13" s="90"/>
      <c r="I13" s="90"/>
      <c r="J13" s="92"/>
      <c r="K13" s="93"/>
    </row>
    <row r="14" spans="1:16">
      <c r="B14" s="82" t="s">
        <v>412</v>
      </c>
      <c r="C14" s="74"/>
      <c r="D14" s="74" t="s">
        <v>308</v>
      </c>
      <c r="E14" s="74"/>
      <c r="F14" s="91" t="s">
        <v>309</v>
      </c>
      <c r="G14" s="91" t="s">
        <v>309</v>
      </c>
      <c r="H14" s="91" t="s">
        <v>310</v>
      </c>
      <c r="I14" s="91" t="s">
        <v>311</v>
      </c>
      <c r="J14" s="91" t="s">
        <v>312</v>
      </c>
      <c r="K14" s="127" t="s">
        <v>313</v>
      </c>
    </row>
    <row r="15" spans="1:16" ht="17.25" customHeight="1">
      <c r="B15" s="196" t="s">
        <v>438</v>
      </c>
      <c r="C15" s="193"/>
      <c r="F15" s="90"/>
      <c r="G15" s="89"/>
      <c r="H15" s="90">
        <f>'Model 1'!H14</f>
        <v>72.256095191040842</v>
      </c>
      <c r="I15" s="90">
        <f>'Model 1'!I14</f>
        <v>867.07314229249016</v>
      </c>
      <c r="J15" s="90">
        <f>'Model 1'!J14</f>
        <v>265902.4303030303</v>
      </c>
      <c r="K15" s="90">
        <f>'Model 1'!K14</f>
        <v>3190829.163636364</v>
      </c>
    </row>
    <row r="16" spans="1:16">
      <c r="B16" s="333" t="s">
        <v>414</v>
      </c>
      <c r="C16" s="302"/>
      <c r="D16" s="302"/>
      <c r="E16" s="302"/>
      <c r="F16" s="303"/>
      <c r="G16" s="304"/>
      <c r="H16" s="303">
        <f>'Model 1'!H15</f>
        <v>331.69384057971013</v>
      </c>
      <c r="I16" s="303">
        <f>'Model 1'!I15</f>
        <v>3980.3260869565215</v>
      </c>
      <c r="J16" s="303">
        <f>'Model 1'!J15</f>
        <v>1220633.3333333333</v>
      </c>
      <c r="K16" s="303">
        <f>'Model 1'!K15</f>
        <v>14647600</v>
      </c>
    </row>
    <row r="17" spans="2:12">
      <c r="B17" s="331" t="s">
        <v>113</v>
      </c>
      <c r="F17" s="90"/>
      <c r="G17" s="89"/>
      <c r="H17" s="90">
        <f>'Model 1'!H16</f>
        <v>41.25</v>
      </c>
      <c r="I17" s="90">
        <f>'Model 1'!I16</f>
        <v>495</v>
      </c>
      <c r="J17" s="90">
        <f>'Model 1'!J16</f>
        <v>151800</v>
      </c>
      <c r="K17" s="90">
        <f>'Model 1'!K16</f>
        <v>1821600</v>
      </c>
    </row>
    <row r="18" spans="2:12">
      <c r="B18" s="331" t="s">
        <v>415</v>
      </c>
      <c r="F18" s="90"/>
      <c r="G18" s="89"/>
      <c r="H18" s="90">
        <f>'Model 1'!H17</f>
        <v>175.10869565217391</v>
      </c>
      <c r="I18" s="90">
        <f>'Model 1'!I17</f>
        <v>2101.304347826087</v>
      </c>
      <c r="J18" s="90">
        <f>'Model 1'!J17</f>
        <v>644400</v>
      </c>
      <c r="K18" s="90">
        <f>'Model 1'!K17</f>
        <v>7732800</v>
      </c>
    </row>
    <row r="19" spans="2:12">
      <c r="B19" s="107" t="s">
        <v>416</v>
      </c>
      <c r="C19" s="105"/>
      <c r="D19" s="105"/>
      <c r="E19" s="105"/>
      <c r="F19" s="105"/>
      <c r="G19" s="105"/>
      <c r="H19" s="95">
        <f>SUM(H15:H18)</f>
        <v>620.30863142292492</v>
      </c>
      <c r="I19" s="95">
        <f>SUM(I15:I18)</f>
        <v>7443.703577075099</v>
      </c>
      <c r="J19" s="106">
        <f>SUM(J15:J18)</f>
        <v>2282735.7636363637</v>
      </c>
      <c r="K19" s="106">
        <f>SUM(K15:K18)</f>
        <v>27392829.163636364</v>
      </c>
    </row>
    <row r="20" spans="2:12">
      <c r="B20" s="125"/>
      <c r="C20" s="91"/>
      <c r="D20" s="91"/>
      <c r="E20" s="91"/>
      <c r="F20" s="91"/>
      <c r="G20" s="91"/>
      <c r="H20" s="90"/>
      <c r="I20" s="90"/>
      <c r="J20" s="89"/>
      <c r="K20" s="94"/>
    </row>
    <row r="21" spans="2:12">
      <c r="B21" s="78" t="s">
        <v>417</v>
      </c>
      <c r="D21">
        <v>600</v>
      </c>
      <c r="F21" s="90">
        <v>5</v>
      </c>
      <c r="G21" s="89">
        <f>F21*N3</f>
        <v>18400</v>
      </c>
      <c r="H21" s="90">
        <f>I21/N2</f>
        <v>250</v>
      </c>
      <c r="I21" s="90">
        <f>F21*D21</f>
        <v>3000</v>
      </c>
      <c r="J21" s="89">
        <f>H21*N3</f>
        <v>920000</v>
      </c>
      <c r="K21" s="94">
        <f>I21*N3</f>
        <v>11040000</v>
      </c>
    </row>
    <row r="22" spans="2:12" ht="28.5">
      <c r="B22" s="78"/>
      <c r="F22" s="90"/>
      <c r="G22" s="92"/>
      <c r="H22" s="90"/>
      <c r="I22" s="90"/>
      <c r="J22" s="92"/>
      <c r="K22" s="93"/>
      <c r="L22" s="120" t="s">
        <v>422</v>
      </c>
    </row>
    <row r="23" spans="2:12">
      <c r="B23" s="108" t="s">
        <v>439</v>
      </c>
      <c r="C23" s="109"/>
      <c r="D23" s="109"/>
      <c r="E23" s="109"/>
      <c r="F23" s="109"/>
      <c r="G23" s="109"/>
      <c r="H23" s="95">
        <f>SUM(H8,H12,H19)</f>
        <v>766.6854430171278</v>
      </c>
      <c r="I23" s="95">
        <f>SUM(I8,I12,I19)</f>
        <v>9200.2253162055331</v>
      </c>
      <c r="J23" s="106">
        <f>SUM(J8,J12,J19)</f>
        <v>2821402.4303030302</v>
      </c>
      <c r="K23" s="106">
        <f>SUM(K8,K12,K19)</f>
        <v>33856829.163636364</v>
      </c>
      <c r="L23" s="121">
        <f>H27/H31</f>
        <v>0.38668450804227311</v>
      </c>
    </row>
    <row r="24" spans="2:12">
      <c r="B24" s="116" t="s">
        <v>440</v>
      </c>
      <c r="C24" s="114"/>
      <c r="D24" s="114"/>
      <c r="E24" s="114"/>
      <c r="F24" s="114"/>
      <c r="G24" s="114"/>
      <c r="H24" s="115">
        <f>H21+H23</f>
        <v>1016.6854430171278</v>
      </c>
      <c r="I24" s="115">
        <f t="shared" ref="I24:K24" si="3">I21+I23</f>
        <v>12200.225316205533</v>
      </c>
      <c r="J24" s="106">
        <f>J21+J23</f>
        <v>3741402.4303030302</v>
      </c>
      <c r="K24" s="106">
        <f t="shared" si="3"/>
        <v>44896829.163636364</v>
      </c>
      <c r="L24" s="121">
        <f>H28/H31</f>
        <v>5.4616455938174178E-2</v>
      </c>
    </row>
    <row r="25" spans="2:12">
      <c r="B25" s="74"/>
      <c r="C25" s="74"/>
      <c r="D25" s="74"/>
      <c r="E25" s="74"/>
      <c r="F25" s="74"/>
      <c r="G25" s="74"/>
      <c r="I25" s="90"/>
      <c r="L25" s="121">
        <f>H29/H31</f>
        <v>1.8701240587970975</v>
      </c>
    </row>
    <row r="26" spans="2:12" ht="28.5">
      <c r="B26" s="74"/>
      <c r="C26" s="74"/>
      <c r="D26" s="74"/>
      <c r="E26" s="74"/>
      <c r="F26" s="74"/>
      <c r="G26" s="353" t="s">
        <v>441</v>
      </c>
      <c r="H26" s="354" t="s">
        <v>310</v>
      </c>
      <c r="I26" s="354" t="s">
        <v>311</v>
      </c>
      <c r="J26" s="354" t="s">
        <v>312</v>
      </c>
      <c r="K26" s="354" t="s">
        <v>313</v>
      </c>
      <c r="L26" s="341" t="s">
        <v>422</v>
      </c>
    </row>
    <row r="27" spans="2:12">
      <c r="B27" s="74"/>
      <c r="C27" s="74"/>
      <c r="D27" s="74"/>
      <c r="E27" s="74"/>
      <c r="F27" s="74"/>
      <c r="G27" s="341" t="s">
        <v>410</v>
      </c>
      <c r="H27" s="344">
        <f>H8</f>
        <v>128.26086956521738</v>
      </c>
      <c r="I27" s="344">
        <f>I8</f>
        <v>1539.1304347826087</v>
      </c>
      <c r="J27" s="345">
        <f>J8</f>
        <v>471999.99999999994</v>
      </c>
      <c r="K27" s="345">
        <f>K8</f>
        <v>5664000</v>
      </c>
      <c r="L27" s="355">
        <f>H27/$H$34</f>
        <v>0.16729268924224511</v>
      </c>
    </row>
    <row r="28" spans="2:12">
      <c r="B28" s="74"/>
      <c r="C28" s="74"/>
      <c r="D28" s="74"/>
      <c r="E28" s="74"/>
      <c r="F28" s="74"/>
      <c r="G28" s="341" t="s">
        <v>424</v>
      </c>
      <c r="H28" s="347">
        <f>H12</f>
        <v>18.115942028985508</v>
      </c>
      <c r="I28" s="347">
        <f>I12</f>
        <v>217.39130434782609</v>
      </c>
      <c r="J28" s="345">
        <f>J12</f>
        <v>66666.666666666672</v>
      </c>
      <c r="K28" s="345">
        <f>K12</f>
        <v>800000</v>
      </c>
      <c r="L28" s="355">
        <f t="shared" ref="L28:L29" si="4">H28/$H$34</f>
        <v>2.3628910909921627E-2</v>
      </c>
    </row>
    <row r="29" spans="2:12" ht="28.5">
      <c r="B29" s="74"/>
      <c r="C29" s="74"/>
      <c r="D29" s="74"/>
      <c r="E29" s="74"/>
      <c r="F29" s="74"/>
      <c r="G29" s="341" t="s">
        <v>140</v>
      </c>
      <c r="H29" s="347">
        <f>H19</f>
        <v>620.30863142292492</v>
      </c>
      <c r="I29" s="347">
        <f>I19</f>
        <v>7443.703577075099</v>
      </c>
      <c r="J29" s="345">
        <f>J19</f>
        <v>2282735.7636363637</v>
      </c>
      <c r="K29" s="345">
        <f>K19</f>
        <v>27392829.163636364</v>
      </c>
      <c r="L29" s="355">
        <f t="shared" si="4"/>
        <v>0.80907839984783325</v>
      </c>
    </row>
    <row r="30" spans="2:12" ht="28.5">
      <c r="B30" s="74"/>
      <c r="C30" s="74"/>
      <c r="D30" s="74"/>
      <c r="E30" s="74"/>
      <c r="F30" s="74"/>
      <c r="G30" s="351" t="s">
        <v>444</v>
      </c>
      <c r="H30" s="343">
        <f t="shared" ref="H30:K31" si="5">H15</f>
        <v>72.256095191040842</v>
      </c>
      <c r="I30" s="343">
        <f t="shared" si="5"/>
        <v>867.07314229249016</v>
      </c>
      <c r="J30" s="342">
        <f t="shared" si="5"/>
        <v>265902.4303030303</v>
      </c>
      <c r="K30" s="342">
        <f t="shared" si="5"/>
        <v>3190829.163636364</v>
      </c>
      <c r="L30" s="359">
        <f>H30/$H$29</f>
        <v>0.11648410409072127</v>
      </c>
    </row>
    <row r="31" spans="2:12" ht="28.5">
      <c r="G31" s="351" t="s">
        <v>426</v>
      </c>
      <c r="H31" s="343">
        <f t="shared" si="5"/>
        <v>331.69384057971013</v>
      </c>
      <c r="I31" s="343">
        <f t="shared" si="5"/>
        <v>3980.3260869565215</v>
      </c>
      <c r="J31" s="342">
        <f t="shared" si="5"/>
        <v>1220633.3333333333</v>
      </c>
      <c r="K31" s="342">
        <f t="shared" si="5"/>
        <v>14647600</v>
      </c>
      <c r="L31" s="359">
        <f>H31/$H$29</f>
        <v>0.5347238838492997</v>
      </c>
    </row>
    <row r="32" spans="2:12">
      <c r="G32" s="360" t="s">
        <v>113</v>
      </c>
      <c r="H32" s="343">
        <f>H17</f>
        <v>41.25</v>
      </c>
      <c r="I32" s="343">
        <f t="shared" ref="I32:K33" si="6">I17</f>
        <v>495</v>
      </c>
      <c r="J32" s="342">
        <f t="shared" si="6"/>
        <v>151800</v>
      </c>
      <c r="K32" s="342">
        <f t="shared" si="6"/>
        <v>1821600</v>
      </c>
      <c r="L32" s="359">
        <f>H32/$H$29</f>
        <v>6.6499155275941746E-2</v>
      </c>
    </row>
    <row r="33" spans="7:12" ht="28.5">
      <c r="G33" s="360" t="s">
        <v>415</v>
      </c>
      <c r="H33" s="236">
        <f>H18</f>
        <v>175.10869565217391</v>
      </c>
      <c r="I33" s="236">
        <f t="shared" si="6"/>
        <v>2101.304347826087</v>
      </c>
      <c r="J33" s="342">
        <f t="shared" si="6"/>
        <v>644400</v>
      </c>
      <c r="K33" s="342">
        <f t="shared" si="6"/>
        <v>7732800</v>
      </c>
      <c r="L33" s="359">
        <f>H33/$H$29</f>
        <v>0.28229285678403726</v>
      </c>
    </row>
    <row r="34" spans="7:12">
      <c r="G34" s="339" t="s">
        <v>439</v>
      </c>
      <c r="H34" s="340">
        <f>SUM(H27:H29)</f>
        <v>766.6854430171278</v>
      </c>
      <c r="I34" s="340">
        <f>SUM(I27:I29)</f>
        <v>9200.2253162055331</v>
      </c>
      <c r="J34" s="321">
        <f>SUM(J27:J29)</f>
        <v>2821402.4303030302</v>
      </c>
      <c r="K34" s="321">
        <f>SUM(K27:K29)</f>
        <v>33856829.163636364</v>
      </c>
      <c r="L34" s="355">
        <f>H34/$H$34</f>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78CF4-F03A-4608-944E-9F81BE95C67E}">
  <dimension ref="A1:N34"/>
  <sheetViews>
    <sheetView workbookViewId="0">
      <selection activeCell="K8" sqref="K8"/>
    </sheetView>
  </sheetViews>
  <sheetFormatPr defaultRowHeight="14.25"/>
  <cols>
    <col min="2" max="2" width="35.7109375" customWidth="1"/>
    <col min="3" max="3" width="25" customWidth="1"/>
    <col min="4" max="4" width="18.28515625" customWidth="1"/>
    <col min="5" max="5" width="18" customWidth="1"/>
    <col min="6" max="6" width="20" customWidth="1"/>
    <col min="7" max="7" width="24" customWidth="1"/>
    <col min="8" max="8" width="14.28515625" customWidth="1"/>
    <col min="9" max="9" width="17.7109375" customWidth="1"/>
    <col min="10" max="10" width="17" customWidth="1"/>
    <col min="11" max="11" width="19.140625" customWidth="1"/>
    <col min="12" max="12" width="18.5703125" customWidth="1"/>
  </cols>
  <sheetData>
    <row r="1" spans="1:14">
      <c r="A1" s="74" t="s">
        <v>452</v>
      </c>
    </row>
    <row r="2" spans="1:14">
      <c r="A2" t="s">
        <v>446</v>
      </c>
      <c r="M2" t="s">
        <v>403</v>
      </c>
      <c r="N2">
        <v>12</v>
      </c>
    </row>
    <row r="3" spans="1:14">
      <c r="H3" s="74"/>
      <c r="I3" s="74"/>
      <c r="M3" t="s">
        <v>409</v>
      </c>
      <c r="N3">
        <f>'Personnel &amp; Transport'!E3</f>
        <v>3680</v>
      </c>
    </row>
    <row r="4" spans="1:14">
      <c r="B4" s="83"/>
      <c r="C4" s="84" t="s">
        <v>429</v>
      </c>
      <c r="D4" s="84" t="s">
        <v>405</v>
      </c>
      <c r="E4" s="84" t="s">
        <v>406</v>
      </c>
      <c r="F4" s="84" t="s">
        <v>447</v>
      </c>
      <c r="G4" s="84" t="s">
        <v>448</v>
      </c>
      <c r="H4" s="84" t="s">
        <v>310</v>
      </c>
      <c r="I4" s="84" t="s">
        <v>311</v>
      </c>
      <c r="J4" s="84" t="s">
        <v>312</v>
      </c>
      <c r="K4" s="85" t="s">
        <v>313</v>
      </c>
    </row>
    <row r="5" spans="1:14">
      <c r="B5" s="82" t="s">
        <v>432</v>
      </c>
      <c r="C5" s="74"/>
      <c r="D5" s="74"/>
      <c r="E5" s="74"/>
      <c r="F5" s="74"/>
      <c r="G5" s="74"/>
      <c r="K5" s="4"/>
    </row>
    <row r="6" spans="1:14">
      <c r="B6" s="78" t="s">
        <v>453</v>
      </c>
      <c r="D6">
        <v>12</v>
      </c>
      <c r="E6">
        <v>3</v>
      </c>
      <c r="F6" s="90">
        <f>'Personnel &amp; Transport'!C7</f>
        <v>3.2608695652173911</v>
      </c>
      <c r="G6" s="92">
        <f>F6*$N$3</f>
        <v>12000</v>
      </c>
      <c r="H6" s="90">
        <f>D6*E6*F6</f>
        <v>117.39130434782608</v>
      </c>
      <c r="I6" s="90">
        <f>H6*$N$2</f>
        <v>1408.695652173913</v>
      </c>
      <c r="J6" s="89">
        <f>H6*$N$3</f>
        <v>431999.99999999994</v>
      </c>
      <c r="K6" s="94">
        <f>I6*$N$3</f>
        <v>5184000</v>
      </c>
    </row>
    <row r="7" spans="1:14">
      <c r="B7" s="78" t="s">
        <v>451</v>
      </c>
      <c r="D7">
        <v>2</v>
      </c>
      <c r="E7">
        <v>5</v>
      </c>
      <c r="F7" s="90">
        <f>'Personnel &amp; Transport'!C8</f>
        <v>3.2608695652173911</v>
      </c>
      <c r="G7" s="92">
        <f>F7*$N$3</f>
        <v>12000</v>
      </c>
      <c r="H7" s="90">
        <f t="shared" ref="H7" si="0">D7*E7*F7</f>
        <v>32.608695652173914</v>
      </c>
      <c r="I7" s="90">
        <f t="shared" ref="I7" si="1">H7*$N$2</f>
        <v>391.304347826087</v>
      </c>
      <c r="J7" s="89">
        <f t="shared" ref="J7:J11" si="2">H7*$N$3</f>
        <v>120000</v>
      </c>
      <c r="K7" s="94">
        <f t="shared" ref="K7" si="3">I7*$N$3</f>
        <v>1440000.0000000002</v>
      </c>
    </row>
    <row r="8" spans="1:14">
      <c r="B8" s="107" t="s">
        <v>410</v>
      </c>
      <c r="C8" s="95"/>
      <c r="D8" s="95"/>
      <c r="E8" s="95"/>
      <c r="F8" s="95"/>
      <c r="G8" s="95"/>
      <c r="H8" s="95">
        <f>SUM(H6:H7)</f>
        <v>150</v>
      </c>
      <c r="I8" s="95">
        <f>SUM(I6:I7)</f>
        <v>1800</v>
      </c>
      <c r="J8" s="106">
        <f>SUM(J6:J7)</f>
        <v>552000</v>
      </c>
      <c r="K8" s="106">
        <f>SUM(K6:K7)</f>
        <v>6624000</v>
      </c>
    </row>
    <row r="9" spans="1:14">
      <c r="B9" s="82"/>
      <c r="C9" s="74"/>
      <c r="D9" s="74"/>
      <c r="E9" s="74"/>
      <c r="F9" s="90"/>
      <c r="G9" s="92"/>
      <c r="H9" s="90"/>
      <c r="I9" s="90"/>
      <c r="J9" s="92"/>
      <c r="K9" s="93"/>
    </row>
    <row r="10" spans="1:14">
      <c r="B10" s="82" t="s">
        <v>10</v>
      </c>
      <c r="C10" s="74"/>
      <c r="D10" s="74"/>
      <c r="E10" s="74"/>
      <c r="F10" s="90"/>
      <c r="G10" s="92"/>
      <c r="H10" s="90"/>
      <c r="I10" s="90"/>
      <c r="J10" s="92"/>
      <c r="K10" s="93"/>
    </row>
    <row r="11" spans="1:14">
      <c r="B11" s="78" t="s">
        <v>454</v>
      </c>
      <c r="D11">
        <v>2</v>
      </c>
      <c r="E11">
        <v>5</v>
      </c>
      <c r="F11" s="90">
        <f>'Personnel &amp; Transport'!C4</f>
        <v>5.4347826086956523</v>
      </c>
      <c r="G11" s="92">
        <f>F11*N3</f>
        <v>20000</v>
      </c>
      <c r="H11" s="90">
        <f>D11*E11*F11</f>
        <v>54.347826086956523</v>
      </c>
      <c r="I11" s="90">
        <f>H11*$N$2</f>
        <v>652.17391304347825</v>
      </c>
      <c r="J11" s="89">
        <f t="shared" si="2"/>
        <v>200000</v>
      </c>
      <c r="K11" s="94">
        <f>I11*$N$3</f>
        <v>2400000</v>
      </c>
    </row>
    <row r="12" spans="1:14">
      <c r="B12" s="107" t="s">
        <v>411</v>
      </c>
      <c r="C12" s="105"/>
      <c r="D12" s="105"/>
      <c r="E12" s="105"/>
      <c r="F12" s="105"/>
      <c r="G12" s="105"/>
      <c r="H12" s="95">
        <f>SUM(H9:H11)</f>
        <v>54.347826086956523</v>
      </c>
      <c r="I12" s="95">
        <f t="shared" ref="I12:K12" si="4">SUM(I9:I11)</f>
        <v>652.17391304347825</v>
      </c>
      <c r="J12" s="106">
        <f t="shared" si="4"/>
        <v>200000</v>
      </c>
      <c r="K12" s="106">
        <f t="shared" si="4"/>
        <v>2400000</v>
      </c>
    </row>
    <row r="13" spans="1:14">
      <c r="B13" s="82"/>
      <c r="C13" s="74"/>
      <c r="D13" s="74"/>
      <c r="E13" s="74"/>
      <c r="F13" s="90"/>
      <c r="G13" s="92"/>
      <c r="H13" s="90"/>
      <c r="K13" s="4"/>
    </row>
    <row r="14" spans="1:14">
      <c r="B14" s="82" t="s">
        <v>412</v>
      </c>
      <c r="C14" s="74"/>
      <c r="D14" s="74" t="s">
        <v>308</v>
      </c>
      <c r="E14" s="74"/>
      <c r="F14" s="91" t="s">
        <v>309</v>
      </c>
      <c r="G14" s="91" t="s">
        <v>309</v>
      </c>
      <c r="H14" s="91" t="s">
        <v>310</v>
      </c>
      <c r="I14" s="91" t="s">
        <v>311</v>
      </c>
      <c r="J14" s="91" t="s">
        <v>312</v>
      </c>
      <c r="K14" s="127" t="s">
        <v>313</v>
      </c>
    </row>
    <row r="15" spans="1:14" ht="18.75" customHeight="1">
      <c r="B15" s="315" t="s">
        <v>438</v>
      </c>
      <c r="C15" s="316"/>
      <c r="D15" s="317"/>
      <c r="E15" s="317"/>
      <c r="F15" s="318"/>
      <c r="G15" s="319"/>
      <c r="H15" s="318">
        <f>'VectorCam Cost-Depreciation'!G24</f>
        <v>72.256095191040842</v>
      </c>
      <c r="I15" s="318">
        <f>'VectorCam Cost-Depreciation'!H24</f>
        <v>867.07314229249016</v>
      </c>
      <c r="J15" s="319">
        <f>'VectorCam Cost-Depreciation'!I24</f>
        <v>265902.4303030303</v>
      </c>
      <c r="K15" s="320">
        <f>'VectorCam Cost-Depreciation'!J24</f>
        <v>3190829.163636364</v>
      </c>
    </row>
    <row r="16" spans="1:14">
      <c r="B16" s="330" t="s">
        <v>414</v>
      </c>
      <c r="F16" s="90"/>
      <c r="G16" s="89"/>
      <c r="H16" s="90">
        <f>'Model 1'!H15</f>
        <v>331.69384057971013</v>
      </c>
      <c r="I16" s="90">
        <f>'Model 1'!I15</f>
        <v>3980.3260869565215</v>
      </c>
      <c r="J16" s="89">
        <f>'Model 1'!J15</f>
        <v>1220633.3333333333</v>
      </c>
      <c r="K16" s="94">
        <f>'Model 1'!K15</f>
        <v>14647600</v>
      </c>
    </row>
    <row r="17" spans="2:12">
      <c r="B17" s="331" t="s">
        <v>113</v>
      </c>
      <c r="F17" s="90"/>
      <c r="G17" s="89"/>
      <c r="H17" s="90">
        <f>'Model 1'!H16</f>
        <v>41.25</v>
      </c>
      <c r="I17" s="90">
        <f>'Model 1'!I16</f>
        <v>495</v>
      </c>
      <c r="J17" s="89">
        <f>'Model 1'!J16</f>
        <v>151800</v>
      </c>
      <c r="K17" s="94">
        <f>'Model 1'!K16</f>
        <v>1821600</v>
      </c>
    </row>
    <row r="18" spans="2:12">
      <c r="B18" s="331" t="s">
        <v>415</v>
      </c>
      <c r="F18" s="90"/>
      <c r="G18" s="89"/>
      <c r="H18" s="90">
        <f>'Model 1'!H17</f>
        <v>175.10869565217391</v>
      </c>
      <c r="I18" s="90">
        <f>'Model 1'!I17</f>
        <v>2101.304347826087</v>
      </c>
      <c r="J18" s="89">
        <f>'Model 1'!J17</f>
        <v>644400</v>
      </c>
      <c r="K18" s="94">
        <f>'Model 1'!K17</f>
        <v>7732800</v>
      </c>
    </row>
    <row r="19" spans="2:12">
      <c r="B19" s="107" t="s">
        <v>416</v>
      </c>
      <c r="C19" s="105"/>
      <c r="D19" s="105"/>
      <c r="E19" s="105"/>
      <c r="F19" s="105"/>
      <c r="G19" s="105"/>
      <c r="H19" s="95">
        <f>SUM(H15:H18)</f>
        <v>620.30863142292492</v>
      </c>
      <c r="I19" s="95">
        <f>SUM(I15:I18)</f>
        <v>7443.703577075099</v>
      </c>
      <c r="J19" s="106">
        <f>SUM(J15:J18)</f>
        <v>2282735.7636363637</v>
      </c>
      <c r="K19" s="106">
        <f>SUM(K15:K18)</f>
        <v>27392829.163636364</v>
      </c>
    </row>
    <row r="20" spans="2:12">
      <c r="B20" s="125"/>
      <c r="C20" s="91"/>
      <c r="D20" s="91"/>
      <c r="E20" s="91"/>
      <c r="F20" s="91"/>
      <c r="G20" s="91"/>
      <c r="H20" s="90"/>
      <c r="I20" s="90"/>
      <c r="J20" s="89"/>
      <c r="K20" s="94"/>
    </row>
    <row r="21" spans="2:12">
      <c r="B21" s="78" t="s">
        <v>417</v>
      </c>
      <c r="D21">
        <v>600</v>
      </c>
      <c r="F21" s="90">
        <v>5</v>
      </c>
      <c r="G21" s="89">
        <f>F21*N3</f>
        <v>18400</v>
      </c>
      <c r="H21" s="90">
        <f>I21/N2</f>
        <v>250</v>
      </c>
      <c r="I21" s="90">
        <f>F21*D21</f>
        <v>3000</v>
      </c>
      <c r="J21" s="89">
        <f>H21*N3</f>
        <v>920000</v>
      </c>
      <c r="K21" s="94">
        <f>I21*N3</f>
        <v>11040000</v>
      </c>
    </row>
    <row r="22" spans="2:12">
      <c r="B22" s="78"/>
      <c r="F22" s="90"/>
      <c r="G22" s="92"/>
      <c r="H22" s="90"/>
      <c r="I22" s="90"/>
      <c r="J22" s="92"/>
      <c r="K22" s="93"/>
    </row>
    <row r="23" spans="2:12" ht="28.5">
      <c r="B23" s="108" t="s">
        <v>439</v>
      </c>
      <c r="C23" s="109"/>
      <c r="D23" s="109"/>
      <c r="E23" s="109"/>
      <c r="F23" s="109"/>
      <c r="G23" s="109"/>
      <c r="H23" s="95">
        <f>SUM(H8,H12,H19)</f>
        <v>824.65645750988142</v>
      </c>
      <c r="I23" s="95">
        <f>SUM(I8,I12,I19)</f>
        <v>9895.877490118577</v>
      </c>
      <c r="J23" s="106">
        <f>SUM(J8,J12,J19)</f>
        <v>3034735.7636363637</v>
      </c>
      <c r="K23" s="106">
        <f>SUM(K8,K12,K19)</f>
        <v>36416829.163636364</v>
      </c>
      <c r="L23" s="341" t="s">
        <v>422</v>
      </c>
    </row>
    <row r="24" spans="2:12">
      <c r="B24" s="116" t="s">
        <v>440</v>
      </c>
      <c r="C24" s="114"/>
      <c r="D24" s="114"/>
      <c r="E24" s="114"/>
      <c r="F24" s="114"/>
      <c r="G24" s="114"/>
      <c r="H24" s="115">
        <f>H21+H23</f>
        <v>1074.6564575098814</v>
      </c>
      <c r="I24" s="115">
        <f t="shared" ref="I24:K24" si="5">I21+I23</f>
        <v>12895.877490118577</v>
      </c>
      <c r="J24" s="106">
        <f>J21+J23</f>
        <v>3954735.7636363637</v>
      </c>
      <c r="K24" s="106">
        <f t="shared" si="5"/>
        <v>47456829.163636364</v>
      </c>
      <c r="L24" s="355" t="e">
        <f>H27/$H$36</f>
        <v>#DIV/0!</v>
      </c>
    </row>
    <row r="25" spans="2:12">
      <c r="L25" s="355" t="e">
        <f>H28/$H$36</f>
        <v>#DIV/0!</v>
      </c>
    </row>
    <row r="26" spans="2:12" ht="28.5">
      <c r="G26" s="353" t="s">
        <v>441</v>
      </c>
      <c r="H26" s="354" t="s">
        <v>310</v>
      </c>
      <c r="I26" s="354" t="s">
        <v>311</v>
      </c>
      <c r="J26" s="354" t="s">
        <v>312</v>
      </c>
      <c r="K26" s="354" t="s">
        <v>313</v>
      </c>
      <c r="L26" s="341" t="s">
        <v>422</v>
      </c>
    </row>
    <row r="27" spans="2:12">
      <c r="G27" s="341" t="s">
        <v>410</v>
      </c>
      <c r="H27" s="344">
        <f>H8</f>
        <v>150</v>
      </c>
      <c r="I27" s="344">
        <f>I8</f>
        <v>1800</v>
      </c>
      <c r="J27" s="345">
        <f>J8</f>
        <v>552000</v>
      </c>
      <c r="K27" s="345">
        <f>K8</f>
        <v>6624000</v>
      </c>
      <c r="L27" s="355">
        <f>H27/$H$34</f>
        <v>0.18189392520242603</v>
      </c>
    </row>
    <row r="28" spans="2:12">
      <c r="G28" s="341" t="s">
        <v>424</v>
      </c>
      <c r="H28" s="347">
        <f>H12</f>
        <v>54.347826086956523</v>
      </c>
      <c r="I28" s="347">
        <f>I12</f>
        <v>652.17391304347825</v>
      </c>
      <c r="J28" s="345">
        <f>J12</f>
        <v>200000</v>
      </c>
      <c r="K28" s="345">
        <f>K12</f>
        <v>2400000</v>
      </c>
      <c r="L28" s="355">
        <f>H28/$H$34</f>
        <v>6.5903596087835525E-2</v>
      </c>
    </row>
    <row r="29" spans="2:12" ht="28.5">
      <c r="G29" s="341" t="s">
        <v>140</v>
      </c>
      <c r="H29" s="347">
        <f>H19</f>
        <v>620.30863142292492</v>
      </c>
      <c r="I29" s="347">
        <f>I19</f>
        <v>7443.703577075099</v>
      </c>
      <c r="J29" s="345">
        <f>J19</f>
        <v>2282735.7636363637</v>
      </c>
      <c r="K29" s="345">
        <f>K19</f>
        <v>27392829.163636364</v>
      </c>
      <c r="L29" s="355">
        <f>H29/$H$34</f>
        <v>0.75220247870973844</v>
      </c>
    </row>
    <row r="30" spans="2:12" ht="28.5">
      <c r="G30" s="351" t="s">
        <v>444</v>
      </c>
      <c r="H30" s="343">
        <f>H15</f>
        <v>72.256095191040842</v>
      </c>
      <c r="I30" s="343">
        <f t="shared" ref="H30:K31" si="6">I15</f>
        <v>867.07314229249016</v>
      </c>
      <c r="J30" s="342">
        <f t="shared" si="6"/>
        <v>265902.4303030303</v>
      </c>
      <c r="K30" s="342">
        <f t="shared" si="6"/>
        <v>3190829.163636364</v>
      </c>
      <c r="L30" s="359">
        <f>H30/$H$29</f>
        <v>0.11648410409072127</v>
      </c>
    </row>
    <row r="31" spans="2:12">
      <c r="G31" s="351" t="s">
        <v>426</v>
      </c>
      <c r="H31" s="343">
        <f t="shared" si="6"/>
        <v>331.69384057971013</v>
      </c>
      <c r="I31" s="343">
        <f t="shared" si="6"/>
        <v>3980.3260869565215</v>
      </c>
      <c r="J31" s="342">
        <f t="shared" si="6"/>
        <v>1220633.3333333333</v>
      </c>
      <c r="K31" s="342">
        <f t="shared" si="6"/>
        <v>14647600</v>
      </c>
      <c r="L31" s="359">
        <f>H31/$H$29</f>
        <v>0.5347238838492997</v>
      </c>
    </row>
    <row r="32" spans="2:12">
      <c r="G32" s="360" t="s">
        <v>113</v>
      </c>
      <c r="H32" s="343">
        <f>H17</f>
        <v>41.25</v>
      </c>
      <c r="I32" s="343">
        <f t="shared" ref="I32:K33" si="7">I17</f>
        <v>495</v>
      </c>
      <c r="J32" s="342">
        <f t="shared" si="7"/>
        <v>151800</v>
      </c>
      <c r="K32" s="342">
        <f t="shared" si="7"/>
        <v>1821600</v>
      </c>
      <c r="L32" s="359">
        <f>H32/$H$29</f>
        <v>6.6499155275941746E-2</v>
      </c>
    </row>
    <row r="33" spans="7:12" ht="28.5">
      <c r="G33" s="360" t="s">
        <v>415</v>
      </c>
      <c r="H33" s="236">
        <f>H18</f>
        <v>175.10869565217391</v>
      </c>
      <c r="I33" s="236">
        <f t="shared" si="7"/>
        <v>2101.304347826087</v>
      </c>
      <c r="J33" s="342">
        <f t="shared" si="7"/>
        <v>644400</v>
      </c>
      <c r="K33" s="342">
        <f t="shared" si="7"/>
        <v>7732800</v>
      </c>
      <c r="L33" s="359">
        <f>H33/$H$29</f>
        <v>0.28229285678403726</v>
      </c>
    </row>
    <row r="34" spans="7:12">
      <c r="G34" s="362" t="s">
        <v>439</v>
      </c>
      <c r="H34" s="357">
        <f>SUM(H27:H29)</f>
        <v>824.65645750988142</v>
      </c>
      <c r="I34" s="357">
        <f>SUM(I27:I29)</f>
        <v>9895.877490118577</v>
      </c>
      <c r="J34" s="358">
        <f>SUM(J27:J29)</f>
        <v>3034735.7636363637</v>
      </c>
      <c r="K34" s="358">
        <f>SUM(K27:K29)</f>
        <v>36416829.163636364</v>
      </c>
      <c r="L34" s="355">
        <f>H34/$H$34</f>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3FD2B-8DFA-4B9B-835F-035DCD7608C9}">
  <sheetPr>
    <outlinePr summaryBelow="0" summaryRight="0"/>
  </sheetPr>
  <dimension ref="A1:AF1000"/>
  <sheetViews>
    <sheetView workbookViewId="0">
      <selection activeCell="D1" sqref="D1"/>
    </sheetView>
  </sheetViews>
  <sheetFormatPr defaultColWidth="14.42578125" defaultRowHeight="15" customHeight="1"/>
  <cols>
    <col min="1" max="4" width="14.42578125" customWidth="1"/>
    <col min="5" max="5" width="12" customWidth="1"/>
    <col min="6" max="6" width="17.140625" customWidth="1"/>
    <col min="7" max="7" width="13.85546875" customWidth="1"/>
    <col min="8" max="11" width="14.42578125" customWidth="1"/>
  </cols>
  <sheetData>
    <row r="1" spans="1:32" ht="90" customHeight="1">
      <c r="A1" s="7" t="s">
        <v>455</v>
      </c>
      <c r="B1" s="8" t="s">
        <v>456</v>
      </c>
      <c r="C1" s="28" t="s">
        <v>457</v>
      </c>
      <c r="D1" s="9" t="s">
        <v>458</v>
      </c>
      <c r="E1" s="28" t="s">
        <v>459</v>
      </c>
      <c r="F1" s="9" t="s">
        <v>460</v>
      </c>
      <c r="G1" s="28" t="s">
        <v>461</v>
      </c>
      <c r="H1" s="9" t="s">
        <v>462</v>
      </c>
      <c r="I1" s="28" t="s">
        <v>463</v>
      </c>
      <c r="J1" s="9" t="s">
        <v>464</v>
      </c>
      <c r="K1" s="28" t="s">
        <v>465</v>
      </c>
      <c r="L1" s="9" t="s">
        <v>466</v>
      </c>
      <c r="M1" s="28" t="s">
        <v>467</v>
      </c>
      <c r="N1" s="9" t="s">
        <v>468</v>
      </c>
      <c r="O1" s="9" t="s">
        <v>469</v>
      </c>
      <c r="P1" s="10"/>
      <c r="Q1" s="11">
        <f>'Personnel &amp; Transport'!E3</f>
        <v>3680</v>
      </c>
      <c r="R1" s="11"/>
      <c r="S1" s="11"/>
      <c r="T1" s="11"/>
      <c r="U1" s="11"/>
      <c r="V1" s="11"/>
      <c r="W1" s="11"/>
      <c r="X1" s="11"/>
      <c r="Y1" s="11"/>
      <c r="Z1" s="11"/>
      <c r="AA1" s="11"/>
      <c r="AB1" s="11"/>
      <c r="AC1" s="11"/>
      <c r="AD1" s="11"/>
      <c r="AE1" s="11"/>
      <c r="AF1" s="11"/>
    </row>
    <row r="2" spans="1:32" ht="18">
      <c r="A2" s="12" t="s">
        <v>470</v>
      </c>
      <c r="B2" s="13">
        <f t="shared" ref="B2:B23" si="0">12000*5*2</f>
        <v>120000</v>
      </c>
      <c r="C2" s="13">
        <f>B2/10</f>
        <v>12000</v>
      </c>
      <c r="D2" s="13">
        <f t="shared" ref="D2:D23" si="1">1*20000*5*2</f>
        <v>200000</v>
      </c>
      <c r="E2" s="13">
        <f>D2/10</f>
        <v>20000</v>
      </c>
      <c r="F2" s="13">
        <f>(12000*3*12)</f>
        <v>432000</v>
      </c>
      <c r="G2" s="13">
        <f>F2/(12*3)</f>
        <v>12000</v>
      </c>
      <c r="H2" s="13">
        <f>(12000*5*3)</f>
        <v>180000</v>
      </c>
      <c r="I2" s="13">
        <f>H2/(5*3)</f>
        <v>12000</v>
      </c>
      <c r="J2" s="13">
        <f>3*20000*3</f>
        <v>180000</v>
      </c>
      <c r="K2" s="13">
        <f>J2/(3*3)</f>
        <v>20000</v>
      </c>
      <c r="L2" s="13">
        <f t="shared" ref="L2:L23" si="2">(12000*8)</f>
        <v>96000</v>
      </c>
      <c r="M2" s="13">
        <f>L2/8</f>
        <v>12000</v>
      </c>
      <c r="N2" s="13">
        <f>B2+D2+F2+H2+J2+L2</f>
        <v>1208000</v>
      </c>
      <c r="O2" s="14">
        <f t="shared" ref="O2:O23" si="3">N2*3</f>
        <v>3624000</v>
      </c>
      <c r="P2">
        <f>N2/$Q$1</f>
        <v>328.26086956521738</v>
      </c>
    </row>
    <row r="3" spans="1:32" ht="18">
      <c r="A3" s="15" t="s">
        <v>471</v>
      </c>
      <c r="B3" s="13">
        <f t="shared" si="0"/>
        <v>120000</v>
      </c>
      <c r="C3" s="13"/>
      <c r="D3" s="13">
        <f t="shared" si="1"/>
        <v>200000</v>
      </c>
      <c r="E3" s="13"/>
      <c r="F3" s="13">
        <f t="shared" ref="F3:F23" si="4">(12000*3*12)</f>
        <v>432000</v>
      </c>
      <c r="G3" s="13"/>
      <c r="H3" s="13">
        <f t="shared" ref="H3:H23" si="5">(12000*5*3)</f>
        <v>180000</v>
      </c>
      <c r="I3" s="13"/>
      <c r="J3" s="13">
        <f t="shared" ref="J3:J23" si="6">3*20000*3</f>
        <v>180000</v>
      </c>
      <c r="K3" s="13"/>
      <c r="L3" s="13">
        <f t="shared" si="2"/>
        <v>96000</v>
      </c>
      <c r="M3" s="13"/>
      <c r="N3" s="13">
        <f t="shared" ref="N3:N23" si="7">B3+D3+F3+H3+J3+L3</f>
        <v>1208000</v>
      </c>
      <c r="O3" s="14">
        <f t="shared" si="3"/>
        <v>3624000</v>
      </c>
      <c r="P3">
        <f>P2*12</f>
        <v>3939.1304347826085</v>
      </c>
    </row>
    <row r="4" spans="1:32" ht="18">
      <c r="A4" s="15" t="s">
        <v>472</v>
      </c>
      <c r="B4" s="13">
        <f t="shared" si="0"/>
        <v>120000</v>
      </c>
      <c r="C4" s="13"/>
      <c r="D4" s="13">
        <f t="shared" si="1"/>
        <v>200000</v>
      </c>
      <c r="E4" s="13"/>
      <c r="F4" s="13">
        <f t="shared" si="4"/>
        <v>432000</v>
      </c>
      <c r="G4" s="13"/>
      <c r="H4" s="13">
        <f t="shared" si="5"/>
        <v>180000</v>
      </c>
      <c r="I4" s="13"/>
      <c r="J4" s="13">
        <f t="shared" si="6"/>
        <v>180000</v>
      </c>
      <c r="K4" s="13"/>
      <c r="L4" s="13">
        <f t="shared" si="2"/>
        <v>96000</v>
      </c>
      <c r="M4" s="13"/>
      <c r="N4" s="13">
        <f t="shared" si="7"/>
        <v>1208000</v>
      </c>
      <c r="O4" s="14">
        <f t="shared" si="3"/>
        <v>3624000</v>
      </c>
    </row>
    <row r="5" spans="1:32" ht="18">
      <c r="A5" s="16" t="s">
        <v>473</v>
      </c>
      <c r="B5" s="13">
        <f t="shared" si="0"/>
        <v>120000</v>
      </c>
      <c r="C5" s="13"/>
      <c r="D5" s="13">
        <f t="shared" si="1"/>
        <v>200000</v>
      </c>
      <c r="E5" s="13"/>
      <c r="F5" s="13">
        <f t="shared" si="4"/>
        <v>432000</v>
      </c>
      <c r="G5" s="13"/>
      <c r="H5" s="13">
        <f t="shared" si="5"/>
        <v>180000</v>
      </c>
      <c r="I5" s="13"/>
      <c r="J5" s="13">
        <f t="shared" si="6"/>
        <v>180000</v>
      </c>
      <c r="K5" s="13"/>
      <c r="L5" s="13">
        <f t="shared" si="2"/>
        <v>96000</v>
      </c>
      <c r="M5" s="13"/>
      <c r="N5" s="13">
        <f t="shared" si="7"/>
        <v>1208000</v>
      </c>
      <c r="O5" s="14">
        <f t="shared" si="3"/>
        <v>3624000</v>
      </c>
    </row>
    <row r="6" spans="1:32" ht="18">
      <c r="A6" s="15" t="s">
        <v>474</v>
      </c>
      <c r="B6" s="13">
        <f t="shared" si="0"/>
        <v>120000</v>
      </c>
      <c r="C6" s="13"/>
      <c r="D6" s="13">
        <f t="shared" si="1"/>
        <v>200000</v>
      </c>
      <c r="E6" s="13"/>
      <c r="F6" s="13">
        <f t="shared" si="4"/>
        <v>432000</v>
      </c>
      <c r="G6" s="13"/>
      <c r="H6" s="13">
        <f t="shared" si="5"/>
        <v>180000</v>
      </c>
      <c r="I6" s="13"/>
      <c r="J6" s="13">
        <f t="shared" si="6"/>
        <v>180000</v>
      </c>
      <c r="K6" s="13"/>
      <c r="L6" s="13">
        <f t="shared" si="2"/>
        <v>96000</v>
      </c>
      <c r="M6" s="13"/>
      <c r="N6" s="13">
        <f t="shared" si="7"/>
        <v>1208000</v>
      </c>
      <c r="O6" s="14">
        <f t="shared" si="3"/>
        <v>3624000</v>
      </c>
    </row>
    <row r="7" spans="1:32" ht="18">
      <c r="A7" s="17" t="s">
        <v>475</v>
      </c>
      <c r="B7" s="13">
        <f t="shared" si="0"/>
        <v>120000</v>
      </c>
      <c r="C7" s="13"/>
      <c r="D7" s="13">
        <f t="shared" si="1"/>
        <v>200000</v>
      </c>
      <c r="E7" s="13"/>
      <c r="F7" s="13">
        <f t="shared" si="4"/>
        <v>432000</v>
      </c>
      <c r="G7" s="13"/>
      <c r="H7" s="13">
        <f t="shared" si="5"/>
        <v>180000</v>
      </c>
      <c r="I7" s="13"/>
      <c r="J7" s="13">
        <f t="shared" si="6"/>
        <v>180000</v>
      </c>
      <c r="K7" s="13"/>
      <c r="L7" s="13">
        <f t="shared" si="2"/>
        <v>96000</v>
      </c>
      <c r="M7" s="13"/>
      <c r="N7" s="13">
        <f t="shared" si="7"/>
        <v>1208000</v>
      </c>
      <c r="O7" s="14">
        <f t="shared" si="3"/>
        <v>3624000</v>
      </c>
    </row>
    <row r="8" spans="1:32" ht="18">
      <c r="A8" s="17" t="s">
        <v>476</v>
      </c>
      <c r="B8" s="13">
        <f t="shared" si="0"/>
        <v>120000</v>
      </c>
      <c r="C8" s="13"/>
      <c r="D8" s="13">
        <f t="shared" si="1"/>
        <v>200000</v>
      </c>
      <c r="E8" s="13"/>
      <c r="F8" s="13">
        <f t="shared" si="4"/>
        <v>432000</v>
      </c>
      <c r="G8" s="13"/>
      <c r="H8" s="13">
        <f t="shared" si="5"/>
        <v>180000</v>
      </c>
      <c r="I8" s="13"/>
      <c r="J8" s="13">
        <f t="shared" si="6"/>
        <v>180000</v>
      </c>
      <c r="K8" s="13"/>
      <c r="L8" s="13">
        <f t="shared" si="2"/>
        <v>96000</v>
      </c>
      <c r="M8" s="13"/>
      <c r="N8" s="13">
        <f t="shared" si="7"/>
        <v>1208000</v>
      </c>
      <c r="O8" s="14">
        <f t="shared" si="3"/>
        <v>3624000</v>
      </c>
    </row>
    <row r="9" spans="1:32" ht="18">
      <c r="A9" s="17" t="s">
        <v>477</v>
      </c>
      <c r="B9" s="13">
        <f t="shared" si="0"/>
        <v>120000</v>
      </c>
      <c r="C9" s="13"/>
      <c r="D9" s="13">
        <f t="shared" si="1"/>
        <v>200000</v>
      </c>
      <c r="E9" s="13"/>
      <c r="F9" s="13">
        <f t="shared" si="4"/>
        <v>432000</v>
      </c>
      <c r="G9" s="13"/>
      <c r="H9" s="13">
        <f t="shared" si="5"/>
        <v>180000</v>
      </c>
      <c r="I9" s="13"/>
      <c r="J9" s="13">
        <f t="shared" si="6"/>
        <v>180000</v>
      </c>
      <c r="K9" s="13"/>
      <c r="L9" s="13">
        <f t="shared" si="2"/>
        <v>96000</v>
      </c>
      <c r="M9" s="13"/>
      <c r="N9" s="13">
        <f t="shared" si="7"/>
        <v>1208000</v>
      </c>
      <c r="O9" s="14">
        <f t="shared" si="3"/>
        <v>3624000</v>
      </c>
    </row>
    <row r="10" spans="1:32" ht="18">
      <c r="A10" s="18" t="s">
        <v>478</v>
      </c>
      <c r="B10" s="19">
        <f t="shared" si="0"/>
        <v>120000</v>
      </c>
      <c r="C10" s="19"/>
      <c r="D10" s="19">
        <f t="shared" si="1"/>
        <v>200000</v>
      </c>
      <c r="E10" s="19"/>
      <c r="F10" s="19">
        <f t="shared" si="4"/>
        <v>432000</v>
      </c>
      <c r="G10" s="19"/>
      <c r="H10" s="19">
        <f t="shared" si="5"/>
        <v>180000</v>
      </c>
      <c r="I10" s="19"/>
      <c r="J10" s="19">
        <f t="shared" si="6"/>
        <v>180000</v>
      </c>
      <c r="K10" s="19"/>
      <c r="L10" s="19">
        <f t="shared" si="2"/>
        <v>96000</v>
      </c>
      <c r="M10" s="19"/>
      <c r="N10" s="19">
        <f t="shared" si="7"/>
        <v>1208000</v>
      </c>
      <c r="O10" s="20">
        <f>N10*3</f>
        <v>3624000</v>
      </c>
    </row>
    <row r="11" spans="1:32" ht="18">
      <c r="A11" s="21" t="s">
        <v>479</v>
      </c>
      <c r="B11" s="13">
        <f t="shared" si="0"/>
        <v>120000</v>
      </c>
      <c r="C11" s="13"/>
      <c r="D11" s="13">
        <f t="shared" si="1"/>
        <v>200000</v>
      </c>
      <c r="E11" s="13"/>
      <c r="F11" s="13">
        <f t="shared" si="4"/>
        <v>432000</v>
      </c>
      <c r="G11" s="13"/>
      <c r="H11" s="13">
        <f t="shared" si="5"/>
        <v>180000</v>
      </c>
      <c r="I11" s="13"/>
      <c r="J11" s="13">
        <f t="shared" si="6"/>
        <v>180000</v>
      </c>
      <c r="K11" s="13"/>
      <c r="L11" s="13">
        <f t="shared" si="2"/>
        <v>96000</v>
      </c>
      <c r="M11" s="13"/>
      <c r="N11" s="13">
        <f t="shared" si="7"/>
        <v>1208000</v>
      </c>
      <c r="O11" s="14">
        <f t="shared" si="3"/>
        <v>3624000</v>
      </c>
    </row>
    <row r="12" spans="1:32" ht="18">
      <c r="A12" s="21" t="s">
        <v>480</v>
      </c>
      <c r="B12" s="13">
        <f t="shared" si="0"/>
        <v>120000</v>
      </c>
      <c r="C12" s="13"/>
      <c r="D12" s="13">
        <f t="shared" si="1"/>
        <v>200000</v>
      </c>
      <c r="E12" s="13"/>
      <c r="F12" s="13">
        <f t="shared" si="4"/>
        <v>432000</v>
      </c>
      <c r="G12" s="13"/>
      <c r="H12" s="13">
        <f t="shared" si="5"/>
        <v>180000</v>
      </c>
      <c r="I12" s="13"/>
      <c r="J12" s="13">
        <f t="shared" si="6"/>
        <v>180000</v>
      </c>
      <c r="K12" s="13"/>
      <c r="L12" s="13">
        <f t="shared" si="2"/>
        <v>96000</v>
      </c>
      <c r="M12" s="13"/>
      <c r="N12" s="13">
        <f t="shared" si="7"/>
        <v>1208000</v>
      </c>
      <c r="O12" s="14">
        <f t="shared" si="3"/>
        <v>3624000</v>
      </c>
    </row>
    <row r="13" spans="1:32" ht="18">
      <c r="A13" s="21" t="s">
        <v>481</v>
      </c>
      <c r="B13" s="13">
        <f t="shared" si="0"/>
        <v>120000</v>
      </c>
      <c r="C13" s="13"/>
      <c r="D13" s="13">
        <f t="shared" si="1"/>
        <v>200000</v>
      </c>
      <c r="E13" s="13"/>
      <c r="F13" s="13">
        <f t="shared" si="4"/>
        <v>432000</v>
      </c>
      <c r="G13" s="13"/>
      <c r="H13" s="13">
        <f t="shared" si="5"/>
        <v>180000</v>
      </c>
      <c r="I13" s="13"/>
      <c r="J13" s="13">
        <f t="shared" si="6"/>
        <v>180000</v>
      </c>
      <c r="K13" s="13"/>
      <c r="L13" s="13">
        <f t="shared" si="2"/>
        <v>96000</v>
      </c>
      <c r="M13" s="13"/>
      <c r="N13" s="13">
        <f t="shared" si="7"/>
        <v>1208000</v>
      </c>
      <c r="O13" s="14">
        <f t="shared" si="3"/>
        <v>3624000</v>
      </c>
    </row>
    <row r="14" spans="1:32" ht="18">
      <c r="A14" s="21" t="s">
        <v>482</v>
      </c>
      <c r="B14" s="13">
        <f t="shared" si="0"/>
        <v>120000</v>
      </c>
      <c r="C14" s="13"/>
      <c r="D14" s="13">
        <f t="shared" si="1"/>
        <v>200000</v>
      </c>
      <c r="E14" s="13"/>
      <c r="F14" s="13">
        <f t="shared" si="4"/>
        <v>432000</v>
      </c>
      <c r="G14" s="13"/>
      <c r="H14" s="13">
        <f t="shared" si="5"/>
        <v>180000</v>
      </c>
      <c r="I14" s="13"/>
      <c r="J14" s="13">
        <f t="shared" si="6"/>
        <v>180000</v>
      </c>
      <c r="K14" s="13"/>
      <c r="L14" s="13">
        <f t="shared" si="2"/>
        <v>96000</v>
      </c>
      <c r="M14" s="13"/>
      <c r="N14" s="13">
        <f t="shared" si="7"/>
        <v>1208000</v>
      </c>
      <c r="O14" s="14">
        <f t="shared" si="3"/>
        <v>3624000</v>
      </c>
    </row>
    <row r="15" spans="1:32" ht="18">
      <c r="A15" s="22" t="s">
        <v>483</v>
      </c>
      <c r="B15" s="13">
        <f t="shared" si="0"/>
        <v>120000</v>
      </c>
      <c r="C15" s="13"/>
      <c r="D15" s="13">
        <f t="shared" si="1"/>
        <v>200000</v>
      </c>
      <c r="E15" s="13"/>
      <c r="F15" s="13">
        <f t="shared" si="4"/>
        <v>432000</v>
      </c>
      <c r="G15" s="13"/>
      <c r="H15" s="13">
        <f t="shared" si="5"/>
        <v>180000</v>
      </c>
      <c r="I15" s="13"/>
      <c r="J15" s="13">
        <f t="shared" si="6"/>
        <v>180000</v>
      </c>
      <c r="K15" s="13"/>
      <c r="L15" s="13">
        <f t="shared" si="2"/>
        <v>96000</v>
      </c>
      <c r="M15" s="13"/>
      <c r="N15" s="13">
        <f t="shared" si="7"/>
        <v>1208000</v>
      </c>
      <c r="O15" s="14">
        <f t="shared" si="3"/>
        <v>3624000</v>
      </c>
    </row>
    <row r="16" spans="1:32" ht="18">
      <c r="A16" s="22" t="s">
        <v>484</v>
      </c>
      <c r="B16" s="13">
        <f t="shared" si="0"/>
        <v>120000</v>
      </c>
      <c r="C16" s="13"/>
      <c r="D16" s="13">
        <f t="shared" si="1"/>
        <v>200000</v>
      </c>
      <c r="E16" s="13"/>
      <c r="F16" s="13">
        <f t="shared" si="4"/>
        <v>432000</v>
      </c>
      <c r="G16" s="13"/>
      <c r="H16" s="13">
        <f t="shared" si="5"/>
        <v>180000</v>
      </c>
      <c r="I16" s="13"/>
      <c r="J16" s="13">
        <f t="shared" si="6"/>
        <v>180000</v>
      </c>
      <c r="K16" s="13"/>
      <c r="L16" s="13">
        <f t="shared" si="2"/>
        <v>96000</v>
      </c>
      <c r="M16" s="13"/>
      <c r="N16" s="13">
        <f t="shared" si="7"/>
        <v>1208000</v>
      </c>
      <c r="O16" s="14">
        <f t="shared" si="3"/>
        <v>3624000</v>
      </c>
    </row>
    <row r="17" spans="1:15" ht="18">
      <c r="A17" s="18" t="s">
        <v>485</v>
      </c>
      <c r="B17" s="19">
        <f t="shared" si="0"/>
        <v>120000</v>
      </c>
      <c r="C17" s="19"/>
      <c r="D17" s="19">
        <f t="shared" si="1"/>
        <v>200000</v>
      </c>
      <c r="E17" s="19"/>
      <c r="F17" s="19">
        <f t="shared" si="4"/>
        <v>432000</v>
      </c>
      <c r="G17" s="19"/>
      <c r="H17" s="19">
        <f t="shared" si="5"/>
        <v>180000</v>
      </c>
      <c r="I17" s="19"/>
      <c r="J17" s="19">
        <f t="shared" si="6"/>
        <v>180000</v>
      </c>
      <c r="K17" s="19"/>
      <c r="L17" s="19">
        <f t="shared" si="2"/>
        <v>96000</v>
      </c>
      <c r="M17" s="19"/>
      <c r="N17" s="19">
        <f t="shared" si="7"/>
        <v>1208000</v>
      </c>
      <c r="O17" s="20">
        <f t="shared" si="3"/>
        <v>3624000</v>
      </c>
    </row>
    <row r="18" spans="1:15" ht="18">
      <c r="A18" s="22" t="s">
        <v>486</v>
      </c>
      <c r="B18" s="13">
        <f t="shared" si="0"/>
        <v>120000</v>
      </c>
      <c r="C18" s="13"/>
      <c r="D18" s="13">
        <f t="shared" si="1"/>
        <v>200000</v>
      </c>
      <c r="E18" s="13"/>
      <c r="F18" s="13">
        <f t="shared" si="4"/>
        <v>432000</v>
      </c>
      <c r="G18" s="13"/>
      <c r="H18" s="13">
        <f t="shared" si="5"/>
        <v>180000</v>
      </c>
      <c r="I18" s="13"/>
      <c r="J18" s="13">
        <f t="shared" si="6"/>
        <v>180000</v>
      </c>
      <c r="K18" s="13"/>
      <c r="L18" s="13">
        <f t="shared" si="2"/>
        <v>96000</v>
      </c>
      <c r="M18" s="13"/>
      <c r="N18" s="13">
        <f t="shared" si="7"/>
        <v>1208000</v>
      </c>
      <c r="O18" s="14">
        <f t="shared" si="3"/>
        <v>3624000</v>
      </c>
    </row>
    <row r="19" spans="1:15" ht="18">
      <c r="A19" s="22" t="s">
        <v>487</v>
      </c>
      <c r="B19" s="13">
        <f t="shared" si="0"/>
        <v>120000</v>
      </c>
      <c r="C19" s="13"/>
      <c r="D19" s="13">
        <f t="shared" si="1"/>
        <v>200000</v>
      </c>
      <c r="E19" s="13"/>
      <c r="F19" s="13">
        <f t="shared" si="4"/>
        <v>432000</v>
      </c>
      <c r="G19" s="13"/>
      <c r="H19" s="13">
        <f t="shared" si="5"/>
        <v>180000</v>
      </c>
      <c r="I19" s="13"/>
      <c r="J19" s="13">
        <f t="shared" si="6"/>
        <v>180000</v>
      </c>
      <c r="K19" s="13"/>
      <c r="L19" s="13">
        <f t="shared" si="2"/>
        <v>96000</v>
      </c>
      <c r="M19" s="13"/>
      <c r="N19" s="13">
        <f t="shared" si="7"/>
        <v>1208000</v>
      </c>
      <c r="O19" s="14">
        <f t="shared" si="3"/>
        <v>3624000</v>
      </c>
    </row>
    <row r="20" spans="1:15" ht="18">
      <c r="A20" s="22" t="s">
        <v>488</v>
      </c>
      <c r="B20" s="13">
        <f t="shared" si="0"/>
        <v>120000</v>
      </c>
      <c r="C20" s="13"/>
      <c r="D20" s="13">
        <f t="shared" si="1"/>
        <v>200000</v>
      </c>
      <c r="E20" s="13"/>
      <c r="F20" s="13">
        <f t="shared" si="4"/>
        <v>432000</v>
      </c>
      <c r="G20" s="13"/>
      <c r="H20" s="13">
        <f t="shared" si="5"/>
        <v>180000</v>
      </c>
      <c r="I20" s="13"/>
      <c r="J20" s="13">
        <f t="shared" si="6"/>
        <v>180000</v>
      </c>
      <c r="K20" s="13"/>
      <c r="L20" s="13">
        <f t="shared" si="2"/>
        <v>96000</v>
      </c>
      <c r="M20" s="13"/>
      <c r="N20" s="13">
        <f t="shared" si="7"/>
        <v>1208000</v>
      </c>
      <c r="O20" s="14">
        <f t="shared" si="3"/>
        <v>3624000</v>
      </c>
    </row>
    <row r="21" spans="1:15" ht="15.75" customHeight="1">
      <c r="A21" s="22" t="s">
        <v>489</v>
      </c>
      <c r="B21" s="13">
        <f t="shared" si="0"/>
        <v>120000</v>
      </c>
      <c r="C21" s="13"/>
      <c r="D21" s="13">
        <f t="shared" si="1"/>
        <v>200000</v>
      </c>
      <c r="E21" s="13"/>
      <c r="F21" s="13">
        <f t="shared" si="4"/>
        <v>432000</v>
      </c>
      <c r="G21" s="13"/>
      <c r="H21" s="13">
        <f t="shared" si="5"/>
        <v>180000</v>
      </c>
      <c r="I21" s="13"/>
      <c r="J21" s="13">
        <f t="shared" si="6"/>
        <v>180000</v>
      </c>
      <c r="K21" s="13"/>
      <c r="L21" s="13">
        <f t="shared" si="2"/>
        <v>96000</v>
      </c>
      <c r="M21" s="13"/>
      <c r="N21" s="13">
        <f t="shared" si="7"/>
        <v>1208000</v>
      </c>
      <c r="O21" s="14">
        <f t="shared" si="3"/>
        <v>3624000</v>
      </c>
    </row>
    <row r="22" spans="1:15" ht="15.75" customHeight="1">
      <c r="A22" s="22" t="s">
        <v>490</v>
      </c>
      <c r="B22" s="13">
        <f t="shared" si="0"/>
        <v>120000</v>
      </c>
      <c r="C22" s="13"/>
      <c r="D22" s="13">
        <f t="shared" si="1"/>
        <v>200000</v>
      </c>
      <c r="E22" s="13"/>
      <c r="F22" s="13">
        <f t="shared" si="4"/>
        <v>432000</v>
      </c>
      <c r="G22" s="13"/>
      <c r="H22" s="13">
        <f t="shared" si="5"/>
        <v>180000</v>
      </c>
      <c r="I22" s="13"/>
      <c r="J22" s="13">
        <f t="shared" si="6"/>
        <v>180000</v>
      </c>
      <c r="K22" s="13"/>
      <c r="L22" s="13">
        <f t="shared" si="2"/>
        <v>96000</v>
      </c>
      <c r="M22" s="13"/>
      <c r="N22" s="13">
        <f t="shared" si="7"/>
        <v>1208000</v>
      </c>
      <c r="O22" s="14">
        <f t="shared" si="3"/>
        <v>3624000</v>
      </c>
    </row>
    <row r="23" spans="1:15" ht="15.75" customHeight="1">
      <c r="A23" s="22" t="s">
        <v>491</v>
      </c>
      <c r="B23" s="13">
        <f t="shared" si="0"/>
        <v>120000</v>
      </c>
      <c r="C23" s="13"/>
      <c r="D23" s="13">
        <f t="shared" si="1"/>
        <v>200000</v>
      </c>
      <c r="E23" s="13"/>
      <c r="F23" s="13">
        <f t="shared" si="4"/>
        <v>432000</v>
      </c>
      <c r="G23" s="13"/>
      <c r="H23" s="13">
        <f t="shared" si="5"/>
        <v>180000</v>
      </c>
      <c r="I23" s="13"/>
      <c r="J23" s="13">
        <f t="shared" si="6"/>
        <v>180000</v>
      </c>
      <c r="K23" s="13"/>
      <c r="L23" s="13">
        <f t="shared" si="2"/>
        <v>96000</v>
      </c>
      <c r="M23" s="13"/>
      <c r="N23" s="13">
        <f t="shared" si="7"/>
        <v>1208000</v>
      </c>
      <c r="O23" s="14">
        <f t="shared" si="3"/>
        <v>3624000</v>
      </c>
    </row>
    <row r="24" spans="1:15" ht="15.75" customHeight="1">
      <c r="A24" s="23" t="s">
        <v>492</v>
      </c>
      <c r="B24" s="24"/>
      <c r="C24" s="24"/>
      <c r="D24" s="24"/>
      <c r="E24" s="24"/>
      <c r="F24" s="24"/>
      <c r="G24" s="24"/>
      <c r="H24" s="24"/>
      <c r="I24" s="24"/>
      <c r="J24" s="24"/>
      <c r="K24" s="25"/>
      <c r="L24" s="25"/>
      <c r="M24" s="25"/>
      <c r="N24" s="24"/>
      <c r="O24" s="26">
        <f>SUM(O3:O23)</f>
        <v>76104000</v>
      </c>
    </row>
    <row r="25" spans="1:15" ht="15.75" customHeight="1">
      <c r="A25" s="27"/>
      <c r="B25" s="27"/>
      <c r="C25" s="27"/>
      <c r="D25" s="27"/>
      <c r="E25" s="27"/>
      <c r="F25" s="27"/>
      <c r="G25" s="27"/>
      <c r="H25" s="27"/>
      <c r="I25" s="27"/>
      <c r="J25" s="27"/>
      <c r="K25" s="27"/>
      <c r="L25" s="27"/>
      <c r="M25" s="27"/>
      <c r="N25" s="27"/>
      <c r="O25" s="27"/>
    </row>
    <row r="26" spans="1:15" ht="15.75" customHeight="1">
      <c r="A26" s="27"/>
      <c r="B26" s="27"/>
      <c r="C26" s="27"/>
      <c r="D26" s="27"/>
      <c r="E26" s="27"/>
      <c r="F26" s="27"/>
      <c r="G26" s="27"/>
      <c r="H26" s="27"/>
      <c r="I26" s="27"/>
      <c r="J26" s="27"/>
      <c r="K26" s="27"/>
      <c r="L26" s="27"/>
      <c r="M26" s="27"/>
      <c r="N26" s="27"/>
      <c r="O26" s="27"/>
    </row>
    <row r="27" spans="1:15" ht="15.75" customHeight="1">
      <c r="A27" s="27"/>
      <c r="B27" s="27"/>
      <c r="C27" s="27"/>
      <c r="D27" s="27"/>
      <c r="E27" s="27"/>
      <c r="F27" s="27"/>
      <c r="G27" s="27"/>
      <c r="H27" s="27"/>
      <c r="I27" s="27"/>
      <c r="J27" s="27"/>
      <c r="K27" s="27"/>
      <c r="L27" s="27"/>
      <c r="M27" s="27"/>
      <c r="N27" s="27"/>
      <c r="O27" s="27"/>
    </row>
    <row r="28" spans="1:15" ht="15.75" customHeight="1">
      <c r="A28" s="27"/>
      <c r="B28" s="27"/>
      <c r="C28" s="27"/>
      <c r="D28" s="27"/>
      <c r="E28" s="27"/>
      <c r="F28" s="27"/>
      <c r="G28" s="27"/>
      <c r="H28" s="27"/>
      <c r="I28" s="27"/>
      <c r="J28" s="27"/>
      <c r="K28" s="27"/>
      <c r="L28" s="27"/>
      <c r="M28" s="27"/>
      <c r="N28" s="27"/>
      <c r="O28" s="27"/>
    </row>
    <row r="29" spans="1:15" ht="15.75" customHeight="1">
      <c r="A29" s="27"/>
      <c r="B29" s="27"/>
      <c r="C29" s="27"/>
      <c r="D29" s="27"/>
      <c r="E29" s="27"/>
      <c r="F29" s="27"/>
      <c r="G29" s="27"/>
      <c r="H29" s="27"/>
      <c r="I29" s="27"/>
      <c r="J29" s="27"/>
      <c r="K29" s="27"/>
      <c r="L29" s="27"/>
      <c r="M29" s="27"/>
      <c r="N29" s="27"/>
      <c r="O29" s="27"/>
    </row>
    <row r="30" spans="1:15" ht="15.75" customHeight="1"/>
    <row r="31" spans="1:15" ht="15.75" customHeight="1"/>
    <row r="32" spans="1: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E815-D0F0-44F6-99EA-7C57ED617A9E}">
  <dimension ref="A1:K11"/>
  <sheetViews>
    <sheetView workbookViewId="0"/>
  </sheetViews>
  <sheetFormatPr defaultColWidth="12.5703125" defaultRowHeight="15.75"/>
  <cols>
    <col min="1" max="1" width="13.7109375" style="267" bestFit="1" customWidth="1"/>
    <col min="2" max="2" width="11" style="267" customWidth="1"/>
    <col min="3" max="3" width="98.42578125" style="267" bestFit="1" customWidth="1"/>
    <col min="4" max="4" width="13.7109375" style="267" bestFit="1" customWidth="1"/>
    <col min="5" max="5" width="25.140625" style="267" bestFit="1" customWidth="1"/>
    <col min="6" max="6" width="9.140625" style="267" bestFit="1" customWidth="1"/>
    <col min="7" max="7" width="14.42578125" style="273" bestFit="1" customWidth="1"/>
    <col min="8" max="8" width="14.140625" style="267" bestFit="1" customWidth="1"/>
    <col min="9" max="9" width="10.42578125" style="267" bestFit="1" customWidth="1"/>
    <col min="10" max="10" width="72" style="267" bestFit="1" customWidth="1"/>
    <col min="11" max="11" width="34.85546875" style="267" customWidth="1"/>
    <col min="12" max="16384" width="12.5703125" style="267"/>
  </cols>
  <sheetData>
    <row r="1" spans="1:11">
      <c r="A1" s="264" t="s">
        <v>493</v>
      </c>
      <c r="B1" s="264" t="s">
        <v>494</v>
      </c>
      <c r="C1" s="264" t="s">
        <v>495</v>
      </c>
      <c r="D1" s="264" t="s">
        <v>496</v>
      </c>
      <c r="E1" s="264" t="s">
        <v>497</v>
      </c>
      <c r="F1" s="264" t="s">
        <v>498</v>
      </c>
      <c r="G1" s="265" t="s">
        <v>499</v>
      </c>
      <c r="H1" s="264" t="s">
        <v>500</v>
      </c>
      <c r="I1" s="264" t="s">
        <v>501</v>
      </c>
      <c r="J1" s="264" t="s">
        <v>502</v>
      </c>
      <c r="K1" s="266" t="s">
        <v>503</v>
      </c>
    </row>
    <row r="2" spans="1:11">
      <c r="A2" s="267" t="s">
        <v>504</v>
      </c>
      <c r="B2" s="267">
        <v>1000569</v>
      </c>
      <c r="C2" s="267" t="s">
        <v>505</v>
      </c>
      <c r="E2" s="268" t="s">
        <v>506</v>
      </c>
      <c r="F2" s="269">
        <v>1</v>
      </c>
      <c r="G2" s="270">
        <v>59.99</v>
      </c>
      <c r="H2" s="271">
        <f t="shared" ref="H2:H6" si="0">F2*G2</f>
        <v>59.99</v>
      </c>
      <c r="I2" s="267" t="s">
        <v>507</v>
      </c>
      <c r="J2" s="269" t="s">
        <v>508</v>
      </c>
    </row>
    <row r="3" spans="1:11">
      <c r="A3" s="267" t="s">
        <v>504</v>
      </c>
      <c r="B3" s="267">
        <v>1000569</v>
      </c>
      <c r="C3" s="267" t="s">
        <v>505</v>
      </c>
      <c r="E3" s="272" t="s">
        <v>509</v>
      </c>
      <c r="F3" s="269">
        <v>7</v>
      </c>
      <c r="G3" s="273">
        <v>49.99</v>
      </c>
      <c r="H3" s="271">
        <f t="shared" si="0"/>
        <v>349.93</v>
      </c>
      <c r="I3" s="267" t="s">
        <v>507</v>
      </c>
      <c r="J3" s="269" t="s">
        <v>508</v>
      </c>
    </row>
    <row r="4" spans="1:11">
      <c r="A4" s="267" t="s">
        <v>504</v>
      </c>
      <c r="B4" s="267">
        <v>1000569</v>
      </c>
      <c r="C4" s="267" t="s">
        <v>505</v>
      </c>
      <c r="E4" s="267" t="s">
        <v>510</v>
      </c>
      <c r="F4" s="269">
        <v>6</v>
      </c>
      <c r="G4" s="273">
        <v>82.44</v>
      </c>
      <c r="H4" s="271">
        <f t="shared" si="0"/>
        <v>494.64</v>
      </c>
      <c r="I4" s="267" t="s">
        <v>507</v>
      </c>
      <c r="J4" s="269" t="s">
        <v>508</v>
      </c>
    </row>
    <row r="5" spans="1:11">
      <c r="A5" s="267" t="s">
        <v>504</v>
      </c>
      <c r="B5" s="267">
        <v>1000569</v>
      </c>
      <c r="C5" s="267" t="s">
        <v>505</v>
      </c>
      <c r="E5" s="272" t="s">
        <v>511</v>
      </c>
      <c r="F5" s="269">
        <v>2</v>
      </c>
      <c r="G5" s="273">
        <v>64.95</v>
      </c>
      <c r="H5" s="271">
        <f t="shared" si="0"/>
        <v>129.9</v>
      </c>
      <c r="I5" s="267" t="s">
        <v>507</v>
      </c>
      <c r="J5" s="269" t="s">
        <v>508</v>
      </c>
    </row>
    <row r="6" spans="1:11">
      <c r="A6" s="267" t="s">
        <v>504</v>
      </c>
      <c r="B6" s="267">
        <v>1000569</v>
      </c>
      <c r="C6" s="267" t="s">
        <v>505</v>
      </c>
      <c r="E6" s="272" t="s">
        <v>512</v>
      </c>
      <c r="F6" s="269">
        <v>1</v>
      </c>
      <c r="G6" s="273">
        <v>76.42</v>
      </c>
      <c r="H6" s="271">
        <f t="shared" si="0"/>
        <v>76.42</v>
      </c>
      <c r="I6" s="267" t="s">
        <v>507</v>
      </c>
      <c r="J6" s="269" t="s">
        <v>508</v>
      </c>
    </row>
    <row r="7" spans="1:11">
      <c r="G7" s="275">
        <f>AVERAGE(G2:G6)</f>
        <v>66.75800000000001</v>
      </c>
      <c r="H7" s="274">
        <f>SUM(H2:H6)</f>
        <v>1110.8800000000001</v>
      </c>
    </row>
    <row r="9" spans="1:11">
      <c r="H9" s="274"/>
    </row>
    <row r="10" spans="1:11">
      <c r="H10" s="274"/>
    </row>
    <row r="11" spans="1:11">
      <c r="H11" s="274"/>
    </row>
  </sheetData>
  <autoFilter ref="A1:M1" xr:uid="{795B1A26-5BAE-694E-B5F5-581D26812AF8}">
    <sortState xmlns:xlrd2="http://schemas.microsoft.com/office/spreadsheetml/2017/richdata2" ref="A2:K30">
      <sortCondition descending="1" ref="F1:F30"/>
    </sortState>
  </autoFilter>
  <hyperlinks>
    <hyperlink ref="E2" r:id="rId1" display="https://www.amazon.com/Octa-core-Snapdragon-Unlocked-T-Mobile-XT2093-7/dp/B09SK27K2P/ref=sr_1_3?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moto+g+play+2021&amp;qid=1772474296&amp;sprefix=motorola+moto+g+play+2021%2Caps%2C199&amp;sr=8-3" xr:uid="{8BBF4EB6-B08E-4B9E-8D52-9626473AF8EA}"/>
    <hyperlink ref="E3" r:id="rId2" display="https://www.amazon.com/Motorola-XT2093DL-Storage-Simple-Display/dp/B0F77H7R3X/ref=sr_1_4?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moto+g+play+2021&amp;qid=1772474296&amp;sprefix=motorola+moto+g+play+2021%2Caps%2C199&amp;sr=8-4" xr:uid="{42BB4DAE-C195-4F32-BD65-1E3856B6726C}"/>
    <hyperlink ref="E5" r:id="rId3" display="https://www.amazon.com/Octa-core-Snapdragon-Unlocked-T-Mobile-XT2093-4/dp/B09VMB6152/ref=sr_1_8?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moto+g+play+2021&amp;qid=1772474296&amp;sprefix=motorola+moto+g+play+2021%2Caps%2C199&amp;sr=8-8" xr:uid="{3554108E-9370-4EA8-9809-E60919EF227F}"/>
    <hyperlink ref="E6" r:id="rId4" display="https://www.amazon.com/Motorola-Battery-Camera-Renewed-Verizon/dp/B0BQQ7NGCB/ref=sr_1_12?crid=2JFCZIQPZQBLV&amp;dib=eyJ2IjoiMSJ9.EbB_b4ZlDRcy-8b6T_ot9aVjel6sXk8DUWpcDZWqxpP8l0CBdtEwNnFbyTa7LuBVReS4pvbkPRE5-scUuAABRqOlI1O4VCh4VfjVAD6iJdrWnXvEQA3WXknA1G3T22xE0MqZN5JvKo_ulIoQinLAjq6hxniNygb9fFiZWaxIon7zMtNV8Q3GMhovX2k-8dPGbkSVhJOpls8LZLcWQTXEtXJ3TFOukNIjYP5pIpX7SJc.aFDkh6eibP7dJpESgH6U_nW5zvLPU-l1phkWucHylGk&amp;dib_tag=se&amp;keywords=motorola%2Bmoto%2Bg%2Bplay%2B2021&amp;qid=1772474296&amp;sprefix=motorola%2Bmoto%2Bg%2Bplay%2B2021%2Caps%2C199&amp;sr=8-12&amp;th=1" xr:uid="{4B399DBB-E2F0-44BF-8B87-49C4BA8AE06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900FA-5564-417C-8B2A-9CE720D92BE7}">
  <dimension ref="A1:K47"/>
  <sheetViews>
    <sheetView topLeftCell="A10" workbookViewId="0">
      <selection activeCell="C48" sqref="C48"/>
    </sheetView>
  </sheetViews>
  <sheetFormatPr defaultRowHeight="14.25"/>
  <cols>
    <col min="1" max="1" width="19.7109375" customWidth="1"/>
    <col min="2" max="2" width="18.42578125" customWidth="1"/>
    <col min="3" max="3" width="20.7109375" customWidth="1"/>
    <col min="4" max="4" width="55.5703125" customWidth="1"/>
    <col min="5" max="5" width="17.42578125" customWidth="1"/>
    <col min="7" max="7" width="19.42578125" customWidth="1"/>
  </cols>
  <sheetData>
    <row r="1" spans="1:11">
      <c r="A1" t="s">
        <v>513</v>
      </c>
    </row>
    <row r="2" spans="1:11">
      <c r="A2" t="s">
        <v>514</v>
      </c>
      <c r="B2" t="s">
        <v>515</v>
      </c>
      <c r="C2" t="s">
        <v>516</v>
      </c>
      <c r="D2" t="s">
        <v>517</v>
      </c>
      <c r="E2" s="186" t="s">
        <v>518</v>
      </c>
      <c r="F2" s="187">
        <v>6</v>
      </c>
    </row>
    <row r="3" spans="1:11">
      <c r="A3">
        <v>0.41</v>
      </c>
      <c r="B3">
        <v>291.67</v>
      </c>
      <c r="C3">
        <v>3500.0520000000001</v>
      </c>
      <c r="D3" t="s">
        <v>519</v>
      </c>
      <c r="E3" s="188" t="s">
        <v>520</v>
      </c>
      <c r="F3" s="6">
        <v>200</v>
      </c>
    </row>
    <row r="4" spans="1:11">
      <c r="C4" t="s">
        <v>521</v>
      </c>
      <c r="E4" s="189" t="s">
        <v>522</v>
      </c>
      <c r="F4" s="190">
        <f>B3/(F3/F2)</f>
        <v>8.7500999999999998</v>
      </c>
      <c r="G4" t="s">
        <v>523</v>
      </c>
    </row>
    <row r="7" spans="1:11">
      <c r="A7" t="s">
        <v>524</v>
      </c>
    </row>
    <row r="8" spans="1:11">
      <c r="A8" t="s">
        <v>525</v>
      </c>
      <c r="B8" t="s">
        <v>526</v>
      </c>
      <c r="C8" t="s">
        <v>527</v>
      </c>
      <c r="D8" t="s">
        <v>528</v>
      </c>
      <c r="E8" t="s">
        <v>529</v>
      </c>
      <c r="F8" t="s">
        <v>120</v>
      </c>
      <c r="G8" t="s">
        <v>530</v>
      </c>
      <c r="H8" t="s">
        <v>517</v>
      </c>
      <c r="I8" t="s">
        <v>531</v>
      </c>
    </row>
    <row r="9" spans="1:11" ht="15.75">
      <c r="A9" s="185" t="s">
        <v>532</v>
      </c>
      <c r="B9" s="185" t="s">
        <v>533</v>
      </c>
      <c r="C9" s="185"/>
      <c r="D9" s="185" t="s">
        <v>534</v>
      </c>
      <c r="E9" s="185">
        <v>0</v>
      </c>
      <c r="F9" s="185">
        <v>18.62</v>
      </c>
      <c r="G9" s="185">
        <v>223.45</v>
      </c>
      <c r="H9" s="185" t="s">
        <v>519</v>
      </c>
      <c r="I9" s="185"/>
      <c r="J9" s="185"/>
      <c r="K9" s="185"/>
    </row>
    <row r="10" spans="1:11">
      <c r="D10" t="s">
        <v>535</v>
      </c>
      <c r="F10">
        <v>1.25</v>
      </c>
    </row>
    <row r="11" spans="1:11">
      <c r="D11" t="s">
        <v>536</v>
      </c>
      <c r="F11">
        <v>17.37</v>
      </c>
    </row>
    <row r="12" spans="1:11" ht="15.75">
      <c r="A12" s="185" t="s">
        <v>532</v>
      </c>
      <c r="B12" s="185" t="s">
        <v>533</v>
      </c>
      <c r="C12" s="185"/>
      <c r="D12" s="185" t="s">
        <v>537</v>
      </c>
      <c r="E12" s="185">
        <v>0</v>
      </c>
      <c r="F12" s="185">
        <v>16.68</v>
      </c>
      <c r="G12" s="185">
        <v>200.16</v>
      </c>
      <c r="H12" s="185" t="s">
        <v>519</v>
      </c>
      <c r="I12" s="185"/>
      <c r="J12" s="185"/>
      <c r="K12" s="185"/>
    </row>
    <row r="13" spans="1:11">
      <c r="D13" t="s">
        <v>538</v>
      </c>
      <c r="F13">
        <v>16.57</v>
      </c>
    </row>
    <row r="14" spans="1:11">
      <c r="D14" t="s">
        <v>539</v>
      </c>
      <c r="F14">
        <v>0.11</v>
      </c>
    </row>
    <row r="15" spans="1:11" ht="15.75">
      <c r="A15" s="185" t="s">
        <v>532</v>
      </c>
      <c r="B15" s="185" t="s">
        <v>533</v>
      </c>
      <c r="C15" s="185"/>
      <c r="D15" s="185" t="s">
        <v>540</v>
      </c>
      <c r="E15" s="185">
        <v>0.41</v>
      </c>
      <c r="F15" s="185">
        <v>6.08</v>
      </c>
      <c r="G15" s="185">
        <v>72.959999999999994</v>
      </c>
      <c r="H15" s="185" t="s">
        <v>519</v>
      </c>
      <c r="I15" s="185"/>
      <c r="J15" s="185"/>
      <c r="K15" s="185"/>
    </row>
    <row r="16" spans="1:11" ht="15.75">
      <c r="A16" s="185" t="s">
        <v>532</v>
      </c>
      <c r="B16" s="185" t="s">
        <v>533</v>
      </c>
      <c r="C16" s="185"/>
      <c r="D16" s="185" t="s">
        <v>541</v>
      </c>
      <c r="E16" s="185">
        <v>0</v>
      </c>
      <c r="F16" s="185">
        <v>30.8</v>
      </c>
      <c r="G16" s="185">
        <v>369.6</v>
      </c>
      <c r="H16" s="185" t="s">
        <v>519</v>
      </c>
      <c r="I16" s="185"/>
      <c r="J16" s="185"/>
      <c r="K16" s="185"/>
    </row>
    <row r="17" spans="1:11" ht="15.75">
      <c r="A17" s="185" t="s">
        <v>532</v>
      </c>
      <c r="B17" s="185" t="s">
        <v>533</v>
      </c>
      <c r="C17" s="185"/>
      <c r="D17" s="185" t="s">
        <v>542</v>
      </c>
      <c r="E17" s="185">
        <v>0</v>
      </c>
      <c r="F17" s="185">
        <v>219.49</v>
      </c>
      <c r="G17" s="185">
        <v>2633.88</v>
      </c>
      <c r="H17" s="185" t="s">
        <v>519</v>
      </c>
      <c r="I17" s="185"/>
      <c r="J17" s="185"/>
      <c r="K17" s="185"/>
    </row>
    <row r="18" spans="1:11">
      <c r="D18" t="s">
        <v>543</v>
      </c>
      <c r="F18">
        <v>89.79</v>
      </c>
    </row>
    <row r="19" spans="1:11">
      <c r="D19" t="s">
        <v>544</v>
      </c>
      <c r="F19">
        <v>90.6</v>
      </c>
    </row>
    <row r="20" spans="1:11">
      <c r="D20" t="s">
        <v>545</v>
      </c>
      <c r="F20">
        <v>36.5</v>
      </c>
    </row>
    <row r="21" spans="1:11">
      <c r="D21" t="s">
        <v>546</v>
      </c>
      <c r="F21">
        <v>2.6</v>
      </c>
    </row>
    <row r="37" spans="2:4" ht="15">
      <c r="D37" s="1"/>
    </row>
    <row r="47" spans="2:4">
      <c r="B47" s="17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664B9-0DF1-4E5E-8EF3-EC437C88FCA5}">
  <dimension ref="A1:Q12"/>
  <sheetViews>
    <sheetView topLeftCell="B1" workbookViewId="0"/>
  </sheetViews>
  <sheetFormatPr defaultRowHeight="14.25"/>
  <cols>
    <col min="1" max="1" width="27" customWidth="1"/>
    <col min="2" max="2" width="26" customWidth="1"/>
    <col min="3" max="3" width="18.85546875" customWidth="1"/>
    <col min="4" max="4" width="19.7109375" customWidth="1"/>
    <col min="5" max="5" width="18.7109375" customWidth="1"/>
    <col min="6" max="7" width="15.85546875" customWidth="1"/>
    <col min="8" max="8" width="17.42578125" customWidth="1"/>
    <col min="9" max="9" width="19" customWidth="1"/>
    <col min="10" max="10" width="17.85546875" customWidth="1"/>
    <col min="11" max="11" width="15.140625" customWidth="1"/>
    <col min="12" max="12" width="18" customWidth="1"/>
    <col min="13" max="13" width="18.7109375" customWidth="1"/>
    <col min="14" max="14" width="15.28515625" customWidth="1"/>
    <col min="15" max="15" width="16" customWidth="1"/>
    <col min="16" max="16" width="18.7109375" customWidth="1"/>
    <col min="17" max="17" width="20.140625" customWidth="1"/>
  </cols>
  <sheetData>
    <row r="1" spans="1:17" ht="32.25" customHeight="1">
      <c r="A1" s="158"/>
      <c r="B1" s="159" t="s">
        <v>30</v>
      </c>
      <c r="C1" s="146"/>
      <c r="D1" s="146"/>
      <c r="E1" s="157"/>
      <c r="F1" s="146" t="s">
        <v>31</v>
      </c>
      <c r="G1" s="147"/>
      <c r="H1" s="147"/>
      <c r="I1" s="147"/>
      <c r="J1" s="147"/>
      <c r="K1" s="147"/>
      <c r="L1" s="147"/>
      <c r="M1" s="147"/>
      <c r="N1" s="147"/>
      <c r="O1" s="147"/>
      <c r="P1" s="147"/>
      <c r="Q1" s="148"/>
    </row>
    <row r="2" spans="1:17" ht="31.5" customHeight="1">
      <c r="A2" s="150"/>
      <c r="B2" s="149" t="s">
        <v>32</v>
      </c>
      <c r="C2" s="149"/>
      <c r="D2" s="149"/>
      <c r="E2" s="152"/>
      <c r="F2" s="153" t="s">
        <v>33</v>
      </c>
      <c r="G2" s="153"/>
      <c r="H2" s="153"/>
      <c r="I2" s="155"/>
      <c r="J2" s="151" t="s">
        <v>34</v>
      </c>
      <c r="K2" s="151"/>
      <c r="L2" s="151"/>
      <c r="M2" s="154"/>
      <c r="N2" s="156" t="s">
        <v>35</v>
      </c>
      <c r="O2" s="156"/>
      <c r="P2" s="156"/>
      <c r="Q2" s="156"/>
    </row>
    <row r="3" spans="1:17" ht="30" customHeight="1">
      <c r="A3" s="150" t="s">
        <v>36</v>
      </c>
      <c r="B3" s="149" t="s">
        <v>37</v>
      </c>
      <c r="C3" s="149" t="s">
        <v>38</v>
      </c>
      <c r="D3" s="149" t="s">
        <v>39</v>
      </c>
      <c r="E3" s="152" t="s">
        <v>40</v>
      </c>
      <c r="F3" s="153" t="s">
        <v>37</v>
      </c>
      <c r="G3" s="153" t="s">
        <v>38</v>
      </c>
      <c r="H3" s="153" t="s">
        <v>39</v>
      </c>
      <c r="I3" s="155" t="s">
        <v>40</v>
      </c>
      <c r="J3" s="151" t="s">
        <v>37</v>
      </c>
      <c r="K3" s="151" t="s">
        <v>38</v>
      </c>
      <c r="L3" s="151" t="s">
        <v>39</v>
      </c>
      <c r="M3" s="154" t="s">
        <v>40</v>
      </c>
      <c r="N3" s="156" t="s">
        <v>37</v>
      </c>
      <c r="O3" s="156" t="s">
        <v>38</v>
      </c>
      <c r="P3" s="156" t="s">
        <v>39</v>
      </c>
      <c r="Q3" s="156" t="s">
        <v>40</v>
      </c>
    </row>
    <row r="4" spans="1:17" ht="30.75" customHeight="1">
      <c r="A4" s="150" t="s">
        <v>41</v>
      </c>
      <c r="B4" s="160">
        <f>'Routine Uganda Surveillance'!H32</f>
        <v>225</v>
      </c>
      <c r="C4" s="160">
        <f>'Routine Uganda Surveillance'!I32</f>
        <v>2700</v>
      </c>
      <c r="D4" s="363">
        <f>'Routine Uganda Surveillance'!J32</f>
        <v>828000</v>
      </c>
      <c r="E4" s="363">
        <f>'Routine Uganda Surveillance'!K32</f>
        <v>9936000</v>
      </c>
      <c r="F4" s="166">
        <f>'Model 1'!H26</f>
        <v>117.39130434782609</v>
      </c>
      <c r="G4" s="166">
        <f>'Model 1'!I26</f>
        <v>1408.695652173913</v>
      </c>
      <c r="H4" s="370">
        <f>'Model 1'!J26</f>
        <v>432000</v>
      </c>
      <c r="I4" s="370">
        <f>'Model 1'!K26</f>
        <v>5184000</v>
      </c>
      <c r="J4" s="167">
        <f>'Model 2'!H27</f>
        <v>128.26086956521738</v>
      </c>
      <c r="K4" s="167">
        <f>'Model 2'!I27</f>
        <v>1539.1304347826087</v>
      </c>
      <c r="L4" s="372">
        <f>'Model 2'!J27</f>
        <v>471999.99999999994</v>
      </c>
      <c r="M4" s="372">
        <f>'Model 2'!K27</f>
        <v>5664000</v>
      </c>
      <c r="N4" s="168">
        <f>'Model 3'!H27</f>
        <v>150</v>
      </c>
      <c r="O4" s="168">
        <f>'Model 3'!I27</f>
        <v>1800</v>
      </c>
      <c r="P4" s="374">
        <f>'Model 3'!J27</f>
        <v>552000</v>
      </c>
      <c r="Q4" s="374">
        <f>'Model 3'!K27</f>
        <v>6624000</v>
      </c>
    </row>
    <row r="5" spans="1:17" ht="30" customHeight="1">
      <c r="A5" s="164" t="s">
        <v>42</v>
      </c>
      <c r="B5" s="165">
        <f>'Routine Uganda Surveillance'!H33</f>
        <v>103.2608695652174</v>
      </c>
      <c r="C5" s="165">
        <f>'Routine Uganda Surveillance'!I33</f>
        <v>1239.1304347826087</v>
      </c>
      <c r="D5" s="363">
        <f>'Routine Uganda Surveillance'!J33</f>
        <v>380000</v>
      </c>
      <c r="E5" s="363">
        <f>'Routine Uganda Surveillance'!K33</f>
        <v>4560000</v>
      </c>
      <c r="F5" s="166">
        <f>'Model 1'!H27</f>
        <v>0</v>
      </c>
      <c r="G5" s="166">
        <f>'Model 1'!I27</f>
        <v>0</v>
      </c>
      <c r="H5" s="370">
        <f>'Model 1'!J27</f>
        <v>0</v>
      </c>
      <c r="I5" s="370">
        <f>'Model 1'!K27</f>
        <v>0</v>
      </c>
      <c r="J5" s="167">
        <f>'Model 2'!H28</f>
        <v>18.115942028985508</v>
      </c>
      <c r="K5" s="167">
        <f>'Model 2'!I28</f>
        <v>217.39130434782609</v>
      </c>
      <c r="L5" s="372">
        <f>'Model 2'!J28</f>
        <v>66666.666666666672</v>
      </c>
      <c r="M5" s="372">
        <f>'Model 2'!K28</f>
        <v>800000</v>
      </c>
      <c r="N5" s="168">
        <f>'Model 3'!H28</f>
        <v>54.347826086956523</v>
      </c>
      <c r="O5" s="168">
        <f>'Model 3'!I28</f>
        <v>652.17391304347825</v>
      </c>
      <c r="P5" s="374">
        <f>'Model 3'!J28</f>
        <v>200000</v>
      </c>
      <c r="Q5" s="374">
        <f>'Model 3'!K28</f>
        <v>2400000</v>
      </c>
    </row>
    <row r="6" spans="1:17" ht="30" customHeight="1">
      <c r="A6" s="162" t="s">
        <v>12</v>
      </c>
      <c r="B6" s="163">
        <f>'Routine Uganda Surveillance'!H34</f>
        <v>556.32702898550724</v>
      </c>
      <c r="C6" s="163">
        <f>'Routine Uganda Surveillance'!I34</f>
        <v>6675.924347826086</v>
      </c>
      <c r="D6" s="363">
        <f>'Routine Uganda Surveillance'!J34</f>
        <v>2047283.4666666666</v>
      </c>
      <c r="E6" s="363">
        <f>'Routine Uganda Surveillance'!K34</f>
        <v>24567401.600000001</v>
      </c>
      <c r="F6" s="166">
        <f>'Model 1'!H28</f>
        <v>620.30863142292492</v>
      </c>
      <c r="G6" s="166">
        <f>'Model 1'!I28</f>
        <v>7443.703577075099</v>
      </c>
      <c r="H6" s="370">
        <f>'Model 1'!J28</f>
        <v>2282735.7636363637</v>
      </c>
      <c r="I6" s="370">
        <f>'Model 1'!K28</f>
        <v>27392829.163636364</v>
      </c>
      <c r="J6" s="167">
        <f>'Model 2'!H29</f>
        <v>620.30863142292492</v>
      </c>
      <c r="K6" s="167">
        <f>'Model 2'!I29</f>
        <v>7443.703577075099</v>
      </c>
      <c r="L6" s="372">
        <f>'Model 2'!J29</f>
        <v>2282735.7636363637</v>
      </c>
      <c r="M6" s="372">
        <f>'Model 2'!K29</f>
        <v>27392829.163636364</v>
      </c>
      <c r="N6" s="168">
        <f>'Model 3'!H29</f>
        <v>620.30863142292492</v>
      </c>
      <c r="O6" s="168">
        <f>'Model 3'!I29</f>
        <v>7443.703577075099</v>
      </c>
      <c r="P6" s="374">
        <f>'Model 3'!J29</f>
        <v>2282735.7636363637</v>
      </c>
      <c r="Q6" s="374">
        <f>'Model 3'!K29</f>
        <v>27392829.163636364</v>
      </c>
    </row>
    <row r="7" spans="1:17" s="74" customFormat="1" ht="29.25" customHeight="1">
      <c r="A7" s="161" t="s">
        <v>43</v>
      </c>
      <c r="B7" s="364">
        <f>SUM(B4:B6)</f>
        <v>884.58789855072462</v>
      </c>
      <c r="C7" s="364">
        <f t="shared" ref="C7:E7" si="0">SUM(C4:C6)</f>
        <v>10615.054782608695</v>
      </c>
      <c r="D7" s="365">
        <f t="shared" si="0"/>
        <v>3255283.4666666668</v>
      </c>
      <c r="E7" s="365">
        <f t="shared" si="0"/>
        <v>39063401.600000001</v>
      </c>
      <c r="F7" s="366">
        <f>SUM(F4:F6)</f>
        <v>737.69993577075104</v>
      </c>
      <c r="G7" s="367">
        <f>SUM(G4:G6)</f>
        <v>8852.3992292490111</v>
      </c>
      <c r="H7" s="371">
        <f>SUM(H4:H6)</f>
        <v>2714735.7636363637</v>
      </c>
      <c r="I7" s="371">
        <f>SUM(I4:I6)</f>
        <v>32576829.163636364</v>
      </c>
      <c r="J7" s="368">
        <f>SUM(J4:J6)</f>
        <v>766.6854430171278</v>
      </c>
      <c r="K7" s="368">
        <f t="shared" ref="K7:M7" si="1">SUM(K4:K6)</f>
        <v>9200.2253162055331</v>
      </c>
      <c r="L7" s="373">
        <f t="shared" si="1"/>
        <v>2821402.4303030302</v>
      </c>
      <c r="M7" s="373">
        <f t="shared" si="1"/>
        <v>33856829.163636364</v>
      </c>
      <c r="N7" s="369">
        <f>SUM(N4:N6)</f>
        <v>824.65645750988142</v>
      </c>
      <c r="O7" s="369">
        <f t="shared" ref="O7:Q7" si="2">SUM(O4:O6)</f>
        <v>9895.877490118577</v>
      </c>
      <c r="P7" s="375">
        <f t="shared" si="2"/>
        <v>3034735.7636363637</v>
      </c>
      <c r="Q7" s="375">
        <f t="shared" si="2"/>
        <v>36416829.163636364</v>
      </c>
    </row>
    <row r="8" spans="1:17" s="170" customFormat="1" ht="29.25" customHeight="1">
      <c r="A8" s="171" t="s">
        <v>44</v>
      </c>
      <c r="B8" s="172"/>
      <c r="C8" s="172"/>
      <c r="D8" s="172"/>
      <c r="E8" s="173"/>
      <c r="F8" s="174">
        <f>B7-F7</f>
        <v>146.88796277997358</v>
      </c>
      <c r="G8" s="174">
        <f>C7-G7</f>
        <v>1762.6555533596838</v>
      </c>
      <c r="H8" s="175">
        <f>D7-H7</f>
        <v>540547.70303030312</v>
      </c>
      <c r="I8" s="175">
        <f>E7-I7</f>
        <v>6486572.4363636374</v>
      </c>
      <c r="J8" s="174">
        <f>B7-J7</f>
        <v>117.90245553359682</v>
      </c>
      <c r="K8" s="174">
        <f>C7-K7</f>
        <v>1414.8294664031619</v>
      </c>
      <c r="L8" s="175">
        <f>D7-L7</f>
        <v>433881.03636363661</v>
      </c>
      <c r="M8" s="175">
        <f>E7-M7</f>
        <v>5206572.4363636374</v>
      </c>
      <c r="N8" s="174">
        <f>B7-N7</f>
        <v>59.931441040843197</v>
      </c>
      <c r="O8" s="174">
        <f>C7-O7</f>
        <v>719.17729249011791</v>
      </c>
      <c r="P8" s="175">
        <f>D7-P7</f>
        <v>220547.70303030312</v>
      </c>
      <c r="Q8" s="175">
        <f>E7-Q7</f>
        <v>2646572.4363636374</v>
      </c>
    </row>
    <row r="10" spans="1:17">
      <c r="A10" t="s">
        <v>45</v>
      </c>
    </row>
    <row r="11" spans="1:17">
      <c r="A11" t="s">
        <v>46</v>
      </c>
    </row>
    <row r="12" spans="1:17">
      <c r="A12"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C1E31-D740-4671-8630-73D986026B56}">
  <dimension ref="A1:J174"/>
  <sheetViews>
    <sheetView topLeftCell="A59" zoomScale="70" zoomScaleNormal="70" workbookViewId="0"/>
  </sheetViews>
  <sheetFormatPr defaultColWidth="9.140625" defaultRowHeight="13.15"/>
  <cols>
    <col min="1" max="1" width="31.42578125" style="380" customWidth="1"/>
    <col min="2" max="2" width="19.42578125" style="380" customWidth="1"/>
    <col min="3" max="3" width="18.140625" style="380" customWidth="1"/>
    <col min="4" max="6" width="16.85546875" style="380" customWidth="1"/>
    <col min="7" max="7" width="11.28515625" style="380" bestFit="1" customWidth="1"/>
    <col min="8" max="8" width="13.7109375" style="380" customWidth="1"/>
    <col min="9" max="9" width="11.28515625" style="380" bestFit="1" customWidth="1"/>
    <col min="10" max="11" width="12.28515625" style="380" bestFit="1" customWidth="1"/>
    <col min="12" max="16384" width="9.140625" style="380"/>
  </cols>
  <sheetData>
    <row r="1" spans="1:10">
      <c r="A1" s="380" t="s">
        <v>48</v>
      </c>
    </row>
    <row r="3" spans="1:10">
      <c r="B3" s="379"/>
      <c r="C3" s="379"/>
      <c r="D3" s="379"/>
      <c r="E3" s="379"/>
      <c r="F3" s="379"/>
    </row>
    <row r="4" spans="1:10">
      <c r="A4" s="380" t="s">
        <v>49</v>
      </c>
      <c r="B4" s="389"/>
      <c r="C4" s="469" t="s">
        <v>50</v>
      </c>
      <c r="D4" s="469"/>
      <c r="E4" s="469"/>
      <c r="F4" s="469"/>
      <c r="G4" s="470"/>
      <c r="H4" s="470"/>
      <c r="I4" s="470"/>
      <c r="J4" s="470"/>
    </row>
    <row r="5" spans="1:10">
      <c r="B5" s="390"/>
      <c r="C5" s="391" t="s">
        <v>51</v>
      </c>
      <c r="D5" s="391" t="s">
        <v>33</v>
      </c>
      <c r="E5" s="391" t="s">
        <v>34</v>
      </c>
      <c r="F5" s="391" t="s">
        <v>35</v>
      </c>
    </row>
    <row r="6" spans="1:10">
      <c r="B6" s="392" t="s">
        <v>52</v>
      </c>
      <c r="C6" s="388" t="str">
        <f>C21&amp;" ("&amp;D21&amp;")"</f>
        <v>2 (5)</v>
      </c>
      <c r="D6" s="393"/>
      <c r="E6" s="388" t="str">
        <f>C28 &amp; " (" &amp; TEXT(D28,"#.##") &amp; ")"</f>
        <v>2 (1.67)</v>
      </c>
      <c r="F6" s="388" t="str">
        <f>C31&amp;" ("&amp;D31&amp;")"</f>
        <v>2 (5)</v>
      </c>
    </row>
    <row r="7" spans="1:10">
      <c r="B7" s="392" t="s">
        <v>53</v>
      </c>
      <c r="C7" s="388" t="str">
        <f>C22&amp;" ("&amp;D22&amp;")"</f>
        <v>12 (3)</v>
      </c>
      <c r="D7" s="388" t="str">
        <f>C26&amp;" ("&amp;D26&amp;")"</f>
        <v>12 (3)</v>
      </c>
      <c r="E7" s="388" t="str">
        <f>C29&amp;" ("&amp;D29&amp;")"</f>
        <v>12 (3)</v>
      </c>
      <c r="F7" s="388" t="str">
        <f>C32&amp;" ("&amp;D32&amp;")"</f>
        <v>12 (3)</v>
      </c>
    </row>
    <row r="8" spans="1:10">
      <c r="B8" s="392" t="s">
        <v>54</v>
      </c>
      <c r="C8" s="388" t="str">
        <f t="shared" ref="C8:C9" si="0">C23&amp;" ("&amp;D23&amp;")"</f>
        <v>1 (8)</v>
      </c>
      <c r="D8" s="393"/>
      <c r="E8" s="393"/>
      <c r="F8" s="393"/>
    </row>
    <row r="9" spans="1:10">
      <c r="B9" s="392" t="s">
        <v>55</v>
      </c>
      <c r="C9" s="388" t="str">
        <f t="shared" si="0"/>
        <v>3 (5)</v>
      </c>
      <c r="D9" s="393"/>
      <c r="E9" s="393"/>
      <c r="F9" s="393"/>
    </row>
    <row r="11" spans="1:10">
      <c r="B11" s="389"/>
      <c r="C11" s="469" t="s">
        <v>50</v>
      </c>
      <c r="D11" s="469"/>
      <c r="E11" s="469"/>
      <c r="F11" s="469"/>
    </row>
    <row r="12" spans="1:10">
      <c r="B12" s="390"/>
      <c r="C12" s="391" t="s">
        <v>51</v>
      </c>
      <c r="D12" s="391" t="s">
        <v>33</v>
      </c>
      <c r="E12" s="391" t="s">
        <v>34</v>
      </c>
      <c r="F12" s="391" t="s">
        <v>35</v>
      </c>
    </row>
    <row r="13" spans="1:10">
      <c r="B13" s="392" t="s">
        <v>52</v>
      </c>
      <c r="C13" s="388" t="str">
        <f>C6</f>
        <v>2 (5)</v>
      </c>
      <c r="D13" s="393"/>
      <c r="E13" s="388" t="str">
        <f t="shared" ref="E13:F13" si="1">E6</f>
        <v>2 (1.67)</v>
      </c>
      <c r="F13" s="388" t="str">
        <f t="shared" si="1"/>
        <v>2 (5)</v>
      </c>
    </row>
    <row r="14" spans="1:10" ht="13.15" customHeight="1">
      <c r="B14" s="392"/>
      <c r="C14" s="388" t="s">
        <v>56</v>
      </c>
      <c r="D14" s="388" t="s">
        <v>57</v>
      </c>
      <c r="E14" s="388" t="s">
        <v>58</v>
      </c>
      <c r="F14" s="388" t="s">
        <v>59</v>
      </c>
    </row>
    <row r="15" spans="1:10">
      <c r="B15" s="392" t="s">
        <v>53</v>
      </c>
      <c r="C15" s="388" t="str">
        <f t="shared" ref="C15:F15" si="2">C7</f>
        <v>12 (3)</v>
      </c>
      <c r="D15" s="388" t="str">
        <f t="shared" si="2"/>
        <v>12 (3)</v>
      </c>
      <c r="E15" s="388" t="str">
        <f t="shared" si="2"/>
        <v>12 (3)</v>
      </c>
      <c r="F15" s="388" t="str">
        <f t="shared" si="2"/>
        <v>12 (3)</v>
      </c>
    </row>
    <row r="16" spans="1:10">
      <c r="B16" s="392" t="s">
        <v>54</v>
      </c>
      <c r="C16" s="388" t="str">
        <f>C8</f>
        <v>1 (8)</v>
      </c>
      <c r="D16" s="393"/>
      <c r="E16" s="393"/>
      <c r="F16" s="393"/>
    </row>
    <row r="17" spans="2:6">
      <c r="B17" s="392" t="s">
        <v>55</v>
      </c>
      <c r="C17" s="388" t="str">
        <f>C9</f>
        <v>3 (5)</v>
      </c>
      <c r="D17" s="393"/>
      <c r="E17" s="393"/>
      <c r="F17" s="393"/>
    </row>
    <row r="18" spans="2:6">
      <c r="C18" s="388"/>
    </row>
    <row r="20" spans="2:6">
      <c r="B20" s="383" t="s">
        <v>60</v>
      </c>
      <c r="C20" s="383" t="s">
        <v>61</v>
      </c>
      <c r="D20" s="383" t="s">
        <v>62</v>
      </c>
      <c r="F20" s="380" t="s">
        <v>63</v>
      </c>
    </row>
    <row r="21" spans="2:6">
      <c r="B21" s="380" t="s">
        <v>52</v>
      </c>
      <c r="C21" s="420">
        <f>'Routine Uganda Surveillance'!D6</f>
        <v>2</v>
      </c>
      <c r="D21" s="420">
        <f>'Routine Uganda Surveillance'!E6</f>
        <v>5</v>
      </c>
    </row>
    <row r="22" spans="2:6">
      <c r="B22" s="380" t="s">
        <v>53</v>
      </c>
      <c r="C22" s="420">
        <f>'Routine Uganda Surveillance'!D7</f>
        <v>12</v>
      </c>
      <c r="D22" s="420">
        <f>'Routine Uganda Surveillance'!E7</f>
        <v>3</v>
      </c>
    </row>
    <row r="23" spans="2:6">
      <c r="B23" s="380" t="s">
        <v>54</v>
      </c>
      <c r="C23" s="420">
        <f>'Routine Uganda Surveillance'!D8</f>
        <v>1</v>
      </c>
      <c r="D23" s="420">
        <f>'Routine Uganda Surveillance'!E8</f>
        <v>8</v>
      </c>
    </row>
    <row r="24" spans="2:6">
      <c r="B24" s="380" t="s">
        <v>55</v>
      </c>
      <c r="C24" s="420">
        <f>'Routine Uganda Surveillance'!D9</f>
        <v>3</v>
      </c>
      <c r="D24" s="420">
        <f>'Routine Uganda Surveillance'!E9</f>
        <v>5</v>
      </c>
    </row>
    <row r="25" spans="2:6">
      <c r="B25" s="383" t="s">
        <v>64</v>
      </c>
      <c r="C25" s="421"/>
      <c r="D25" s="421"/>
    </row>
    <row r="26" spans="2:6">
      <c r="B26" s="380" t="s">
        <v>53</v>
      </c>
      <c r="C26" s="420">
        <f>'Model 1'!D6</f>
        <v>12</v>
      </c>
      <c r="D26" s="420">
        <f>'Model 1'!E6</f>
        <v>3</v>
      </c>
    </row>
    <row r="27" spans="2:6">
      <c r="B27" s="383" t="s">
        <v>65</v>
      </c>
      <c r="C27" s="421"/>
      <c r="D27" s="421"/>
    </row>
    <row r="28" spans="2:6">
      <c r="B28" s="380" t="s">
        <v>66</v>
      </c>
      <c r="C28" s="420">
        <f>'Model 2'!D7</f>
        <v>2</v>
      </c>
      <c r="D28" s="420">
        <f>'Model 2'!E7*4/12</f>
        <v>1.6666666666666667</v>
      </c>
    </row>
    <row r="29" spans="2:6">
      <c r="B29" s="380" t="s">
        <v>53</v>
      </c>
      <c r="C29" s="420">
        <f>'Model 2'!D6</f>
        <v>12</v>
      </c>
      <c r="D29" s="420">
        <f>'Model 2'!E6</f>
        <v>3</v>
      </c>
    </row>
    <row r="30" spans="2:6">
      <c r="B30" s="383" t="s">
        <v>67</v>
      </c>
      <c r="C30" s="421"/>
      <c r="D30" s="421"/>
    </row>
    <row r="31" spans="2:6">
      <c r="B31" s="380" t="s">
        <v>68</v>
      </c>
      <c r="C31" s="420">
        <f>'Model 3'!D7</f>
        <v>2</v>
      </c>
      <c r="D31" s="420">
        <f>'Model 3'!E7</f>
        <v>5</v>
      </c>
    </row>
    <row r="32" spans="2:6">
      <c r="B32" s="380" t="s">
        <v>53</v>
      </c>
      <c r="C32" s="420">
        <f>'Model 3'!D6</f>
        <v>12</v>
      </c>
      <c r="D32" s="420">
        <f>'Model 3'!E6</f>
        <v>3</v>
      </c>
    </row>
    <row r="37" spans="1:6">
      <c r="A37" s="380" t="s">
        <v>69</v>
      </c>
    </row>
    <row r="40" spans="1:6">
      <c r="A40" s="383" t="s">
        <v>70</v>
      </c>
      <c r="B40" s="433" t="s">
        <v>30</v>
      </c>
      <c r="C40" s="433" t="s">
        <v>33</v>
      </c>
      <c r="D40" s="433" t="s">
        <v>34</v>
      </c>
      <c r="E40" s="433" t="s">
        <v>35</v>
      </c>
    </row>
    <row r="41" spans="1:6">
      <c r="A41" s="380" t="s">
        <v>41</v>
      </c>
      <c r="B41" s="434">
        <f>'Comparative Analysis'!C4</f>
        <v>2700</v>
      </c>
      <c r="C41" s="434">
        <f>'Comparative Analysis'!G4</f>
        <v>1408.695652173913</v>
      </c>
      <c r="D41" s="434">
        <f>'Comparative Analysis'!K4</f>
        <v>1539.1304347826087</v>
      </c>
      <c r="E41" s="434">
        <f>'Comparative Analysis'!O4</f>
        <v>1800</v>
      </c>
    </row>
    <row r="42" spans="1:6">
      <c r="A42" s="380" t="s">
        <v>12</v>
      </c>
      <c r="B42" s="434">
        <f>'Comparative Analysis'!C6</f>
        <v>6675.924347826086</v>
      </c>
      <c r="C42" s="434">
        <f>'Comparative Analysis'!G6</f>
        <v>7443.703577075099</v>
      </c>
      <c r="D42" s="434">
        <f>'Comparative Analysis'!K6</f>
        <v>7443.703577075099</v>
      </c>
      <c r="E42" s="434">
        <f>'Comparative Analysis'!O6</f>
        <v>7443.703577075099</v>
      </c>
    </row>
    <row r="43" spans="1:6">
      <c r="A43" s="380" t="s">
        <v>10</v>
      </c>
      <c r="B43" s="434">
        <f>'Comparative Analysis'!C5</f>
        <v>1239.1304347826087</v>
      </c>
      <c r="C43" s="434">
        <f>'Comparative Analysis'!F5</f>
        <v>0</v>
      </c>
      <c r="D43" s="434">
        <f>'Comparative Analysis'!K5</f>
        <v>217.39130434782609</v>
      </c>
      <c r="E43" s="434">
        <f>'Comparative Analysis'!O5</f>
        <v>652.17391304347825</v>
      </c>
    </row>
    <row r="44" spans="1:6">
      <c r="A44" s="423" t="s">
        <v>43</v>
      </c>
      <c r="B44" s="435">
        <f>'Comparative Analysis'!C7</f>
        <v>10615.054782608695</v>
      </c>
      <c r="C44" s="435">
        <f>'Comparative Analysis'!G7</f>
        <v>8852.3992292490111</v>
      </c>
      <c r="D44" s="435">
        <f>'Comparative Analysis'!K7</f>
        <v>9200.2253162055331</v>
      </c>
      <c r="E44" s="435">
        <f>'Comparative Analysis'!O7</f>
        <v>9895.877490118577</v>
      </c>
    </row>
    <row r="45" spans="1:6">
      <c r="B45" s="432">
        <f>1-(B44/B44)</f>
        <v>0</v>
      </c>
      <c r="C45" s="432">
        <f>1-(C44/B44)</f>
        <v>0.16605242172160539</v>
      </c>
      <c r="D45" s="432">
        <f>1-(D44/B44)</f>
        <v>0.13328517802104656</v>
      </c>
      <c r="E45" s="432">
        <f>1-(E44/B44)</f>
        <v>6.7750690619928888E-2</v>
      </c>
    </row>
    <row r="47" spans="1:6">
      <c r="A47" s="380" t="s">
        <v>71</v>
      </c>
      <c r="C47" s="380" t="s">
        <v>30</v>
      </c>
      <c r="D47" s="380" t="s">
        <v>33</v>
      </c>
      <c r="E47" s="380" t="s">
        <v>34</v>
      </c>
      <c r="F47" s="380" t="s">
        <v>35</v>
      </c>
    </row>
    <row r="48" spans="1:6">
      <c r="B48" s="380" t="s">
        <v>41</v>
      </c>
      <c r="C48" s="422">
        <f>B41</f>
        <v>2700</v>
      </c>
      <c r="D48" s="422">
        <f t="shared" ref="D48:F48" si="3">C41</f>
        <v>1408.695652173913</v>
      </c>
      <c r="E48" s="422">
        <f t="shared" si="3"/>
        <v>1539.1304347826087</v>
      </c>
      <c r="F48" s="422">
        <f t="shared" si="3"/>
        <v>1800</v>
      </c>
    </row>
    <row r="49" spans="1:6">
      <c r="B49" s="380" t="s">
        <v>12</v>
      </c>
      <c r="C49" s="422">
        <f t="shared" ref="C49:F49" si="4">B42</f>
        <v>6675.924347826086</v>
      </c>
      <c r="D49" s="422">
        <f t="shared" si="4"/>
        <v>7443.703577075099</v>
      </c>
      <c r="E49" s="422">
        <f t="shared" si="4"/>
        <v>7443.703577075099</v>
      </c>
      <c r="F49" s="422">
        <f t="shared" si="4"/>
        <v>7443.703577075099</v>
      </c>
    </row>
    <row r="50" spans="1:6">
      <c r="B50" s="380" t="s">
        <v>10</v>
      </c>
      <c r="C50" s="422">
        <f t="shared" ref="C50:F50" si="5">B43</f>
        <v>1239.1304347826087</v>
      </c>
      <c r="D50" s="422">
        <f t="shared" si="5"/>
        <v>0</v>
      </c>
      <c r="E50" s="422">
        <f t="shared" si="5"/>
        <v>217.39130434782609</v>
      </c>
      <c r="F50" s="422">
        <f t="shared" si="5"/>
        <v>652.17391304347825</v>
      </c>
    </row>
    <row r="51" spans="1:6">
      <c r="B51" s="380" t="s">
        <v>43</v>
      </c>
      <c r="C51" s="422">
        <f>SUM(C48:C50)</f>
        <v>10615.054782608695</v>
      </c>
      <c r="D51" s="422">
        <f t="shared" ref="D51:F51" si="6">SUM(D48:D50)</f>
        <v>8852.3992292490111</v>
      </c>
      <c r="E51" s="422">
        <f t="shared" si="6"/>
        <v>9200.2253162055331</v>
      </c>
      <c r="F51" s="422">
        <f t="shared" si="6"/>
        <v>9895.877490118577</v>
      </c>
    </row>
    <row r="53" spans="1:6">
      <c r="C53" s="424">
        <f>C48/C51</f>
        <v>0.25435572922558797</v>
      </c>
      <c r="D53" s="424">
        <f t="shared" ref="D53:F53" si="7">D48/D51</f>
        <v>0.159131509514333</v>
      </c>
      <c r="E53" s="424">
        <f t="shared" si="7"/>
        <v>0.16729268924224514</v>
      </c>
      <c r="F53" s="424">
        <f t="shared" si="7"/>
        <v>0.18189392520242603</v>
      </c>
    </row>
    <row r="54" spans="1:6">
      <c r="C54" s="424">
        <f>C49/C51</f>
        <v>0.62891096509117117</v>
      </c>
      <c r="D54" s="424">
        <f t="shared" ref="D54:F54" si="8">D49/D51</f>
        <v>0.84086849048566714</v>
      </c>
      <c r="E54" s="424">
        <f t="shared" si="8"/>
        <v>0.80907839984783336</v>
      </c>
      <c r="F54" s="424">
        <f t="shared" si="8"/>
        <v>0.75220247870973844</v>
      </c>
    </row>
    <row r="55" spans="1:6">
      <c r="C55" s="424">
        <f>C50/C51</f>
        <v>0.11673330568324088</v>
      </c>
      <c r="D55" s="424">
        <v>0</v>
      </c>
      <c r="E55" s="424">
        <f t="shared" ref="E55:F55" si="9">E50/E51</f>
        <v>2.3628910909921631E-2</v>
      </c>
      <c r="F55" s="424">
        <f t="shared" si="9"/>
        <v>6.5903596087835525E-2</v>
      </c>
    </row>
    <row r="58" spans="1:6">
      <c r="A58" s="380" t="s">
        <v>72</v>
      </c>
      <c r="D58" s="380" t="s">
        <v>73</v>
      </c>
    </row>
    <row r="59" spans="1:6">
      <c r="B59" s="380" t="s">
        <v>74</v>
      </c>
      <c r="D59" s="380" t="s">
        <v>75</v>
      </c>
      <c r="E59" s="380" t="s">
        <v>42</v>
      </c>
    </row>
    <row r="60" spans="1:6">
      <c r="A60" s="380" t="s">
        <v>76</v>
      </c>
      <c r="B60" s="381">
        <f>'VectorCam Cost-Depreciation'!H18/6</f>
        <v>22.253333333333334</v>
      </c>
      <c r="C60" s="380" t="s">
        <v>52</v>
      </c>
      <c r="D60" s="381">
        <f>'Routine Uganda Surveillance'!I6/6</f>
        <v>65.217391304347828</v>
      </c>
      <c r="E60" s="381">
        <f>'Routine Uganda Surveillance'!I13/6</f>
        <v>108.69565217391305</v>
      </c>
    </row>
    <row r="61" spans="1:6">
      <c r="A61" s="385" t="s">
        <v>77</v>
      </c>
      <c r="B61" s="381">
        <f>'VectorCam Cost-Depreciation'!H19/6</f>
        <v>7.5999999999999988</v>
      </c>
      <c r="C61" s="380" t="s">
        <v>54</v>
      </c>
      <c r="D61" s="381">
        <f>'Routine Uganda Surveillance'!I8/6</f>
        <v>52.173913043478258</v>
      </c>
      <c r="E61" s="381">
        <v>0</v>
      </c>
    </row>
    <row r="62" spans="1:6">
      <c r="A62" s="380" t="s">
        <v>78</v>
      </c>
      <c r="B62" s="381">
        <f>'VectorCam Cost-Depreciation'!H20/6</f>
        <v>1.2279347826086957</v>
      </c>
      <c r="C62" s="380" t="s">
        <v>79</v>
      </c>
      <c r="D62" s="381">
        <f>'Routine Uganda Surveillance'!I9/6</f>
        <v>97.826086956521749</v>
      </c>
      <c r="E62" s="381">
        <f>'Routine Uganda Surveillance'!I14/6</f>
        <v>97.826086956521749</v>
      </c>
    </row>
    <row r="63" spans="1:6">
      <c r="A63" s="380" t="s">
        <v>80</v>
      </c>
      <c r="B63" s="381">
        <f>'VectorCam Cost-Depreciation'!H21/6</f>
        <v>32.608695652173914</v>
      </c>
      <c r="C63" s="380" t="s">
        <v>53</v>
      </c>
      <c r="D63" s="381">
        <f>('Model 1'!I6/6)/2</f>
        <v>117.39130434782608</v>
      </c>
    </row>
    <row r="64" spans="1:6">
      <c r="A64" s="385" t="s">
        <v>81</v>
      </c>
      <c r="B64" s="381">
        <f>'VectorCam Cost-Depreciation'!H23/6</f>
        <v>26.25</v>
      </c>
      <c r="C64" s="380" t="s">
        <v>43</v>
      </c>
      <c r="D64" s="381">
        <f>SUM(D60:D62)</f>
        <v>215.21739130434784</v>
      </c>
      <c r="E64" s="381">
        <f>SUM(E60:E62)</f>
        <v>206.52173913043481</v>
      </c>
      <c r="F64" s="381">
        <f>D64+E64</f>
        <v>421.73913043478262</v>
      </c>
    </row>
    <row r="65" spans="1:6">
      <c r="A65" s="385" t="s">
        <v>82</v>
      </c>
      <c r="B65" s="381">
        <f>'VectorCam Cost-Depreciation'!H22/6</f>
        <v>17.434545454545454</v>
      </c>
    </row>
    <row r="66" spans="1:6">
      <c r="A66" s="380" t="s">
        <v>83</v>
      </c>
      <c r="B66" s="381">
        <f>'VectorCam Cost-Depreciation'!H17/6</f>
        <v>37.137681159420289</v>
      </c>
    </row>
    <row r="67" spans="1:6">
      <c r="A67" s="423" t="s">
        <v>43</v>
      </c>
      <c r="B67" s="425">
        <f>SUM(B60:B66)</f>
        <v>144.51219038208168</v>
      </c>
      <c r="C67" s="381"/>
    </row>
    <row r="70" spans="1:6" ht="34.5" customHeight="1">
      <c r="A70" s="377" t="s">
        <v>84</v>
      </c>
      <c r="B70" s="377" t="s">
        <v>85</v>
      </c>
      <c r="C70" s="378" t="s">
        <v>86</v>
      </c>
      <c r="D70" s="378" t="s">
        <v>87</v>
      </c>
      <c r="E70" s="378" t="s">
        <v>88</v>
      </c>
      <c r="F70" s="378" t="s">
        <v>89</v>
      </c>
    </row>
    <row r="71" spans="1:6">
      <c r="A71" s="379" t="s">
        <v>90</v>
      </c>
      <c r="B71" s="380" t="s">
        <v>91</v>
      </c>
      <c r="C71" s="381">
        <f>D60</f>
        <v>65.217391304347828</v>
      </c>
      <c r="D71" s="381">
        <f>C71</f>
        <v>65.217391304347828</v>
      </c>
      <c r="E71" s="381">
        <f>D71</f>
        <v>65.217391304347828</v>
      </c>
      <c r="F71" s="381">
        <f>E71</f>
        <v>65.217391304347828</v>
      </c>
    </row>
    <row r="72" spans="1:6">
      <c r="B72" s="380" t="s">
        <v>92</v>
      </c>
      <c r="C72" s="381">
        <f>E60</f>
        <v>108.69565217391305</v>
      </c>
      <c r="D72" s="381">
        <f t="shared" ref="D72:E87" si="10">C72</f>
        <v>108.69565217391305</v>
      </c>
      <c r="E72" s="381">
        <f t="shared" si="10"/>
        <v>108.69565217391305</v>
      </c>
      <c r="F72" s="381">
        <f t="shared" ref="F72" si="11">E72</f>
        <v>108.69565217391305</v>
      </c>
    </row>
    <row r="73" spans="1:6">
      <c r="B73" s="380" t="s">
        <v>54</v>
      </c>
      <c r="C73" s="381">
        <f>D61</f>
        <v>52.173913043478258</v>
      </c>
      <c r="D73" s="381">
        <f t="shared" ref="D73:E73" si="12">C73</f>
        <v>52.173913043478258</v>
      </c>
      <c r="E73" s="381">
        <f t="shared" si="12"/>
        <v>52.173913043478258</v>
      </c>
      <c r="F73" s="381">
        <f t="shared" ref="F73" si="13">E73</f>
        <v>52.173913043478258</v>
      </c>
    </row>
    <row r="74" spans="1:6">
      <c r="B74" s="380" t="s">
        <v>93</v>
      </c>
      <c r="C74" s="381">
        <f>D62</f>
        <v>97.826086956521749</v>
      </c>
      <c r="D74" s="381">
        <f t="shared" ref="D74:E74" si="14">C74</f>
        <v>97.826086956521749</v>
      </c>
      <c r="E74" s="381">
        <f t="shared" si="14"/>
        <v>97.826086956521749</v>
      </c>
      <c r="F74" s="381">
        <f t="shared" ref="F74" si="15">E74</f>
        <v>97.826086956521749</v>
      </c>
    </row>
    <row r="75" spans="1:6">
      <c r="B75" s="380" t="s">
        <v>94</v>
      </c>
      <c r="C75" s="381">
        <f>E62</f>
        <v>97.826086956521749</v>
      </c>
      <c r="D75" s="381">
        <f t="shared" ref="D75:E75" si="16">C75</f>
        <v>97.826086956521749</v>
      </c>
      <c r="E75" s="381">
        <f t="shared" si="16"/>
        <v>97.826086956521749</v>
      </c>
      <c r="F75" s="381">
        <f t="shared" ref="F75" si="17">E75</f>
        <v>97.826086956521749</v>
      </c>
    </row>
    <row r="76" spans="1:6">
      <c r="B76" s="382" t="s">
        <v>95</v>
      </c>
      <c r="C76" s="381">
        <f>'Routine Uganda Surveillance'!I18/6</f>
        <v>3.2608695652173911</v>
      </c>
      <c r="D76" s="381">
        <f t="shared" ref="D76:E76" si="18">C76</f>
        <v>3.2608695652173911</v>
      </c>
      <c r="E76" s="381">
        <f t="shared" si="18"/>
        <v>3.2608695652173911</v>
      </c>
      <c r="F76" s="381">
        <f t="shared" ref="F76" si="19">E76</f>
        <v>3.2608695652173911</v>
      </c>
    </row>
    <row r="77" spans="1:6">
      <c r="B77" s="380" t="s">
        <v>96</v>
      </c>
      <c r="C77" s="381">
        <f>'Routine Uganda Surveillance'!I19/6</f>
        <v>7.8533333333333326</v>
      </c>
      <c r="D77" s="381">
        <f t="shared" ref="D77:E77" si="20">C77</f>
        <v>7.8533333333333326</v>
      </c>
      <c r="E77" s="381">
        <f t="shared" si="20"/>
        <v>7.8533333333333326</v>
      </c>
      <c r="F77" s="381">
        <f t="shared" ref="F77" si="21">E77</f>
        <v>7.8533333333333326</v>
      </c>
    </row>
    <row r="78" spans="1:6">
      <c r="B78" s="380" t="s">
        <v>97</v>
      </c>
      <c r="C78" s="381">
        <f>'Routine Uganda Surveillance'!I20/6</f>
        <v>5.4347826086956523</v>
      </c>
      <c r="D78" s="381">
        <f t="shared" ref="D78:E78" si="22">C78</f>
        <v>5.4347826086956523</v>
      </c>
      <c r="E78" s="381">
        <f t="shared" si="22"/>
        <v>5.4347826086956523</v>
      </c>
      <c r="F78" s="381">
        <f t="shared" ref="F78" si="23">E78</f>
        <v>5.4347826086956523</v>
      </c>
    </row>
    <row r="79" spans="1:6">
      <c r="B79" s="380" t="s">
        <v>98</v>
      </c>
      <c r="C79" s="381" t="s">
        <v>99</v>
      </c>
      <c r="D79" s="381" t="str">
        <f t="shared" ref="D79" si="24">C79</f>
        <v>-</v>
      </c>
      <c r="E79" s="381">
        <f>D63</f>
        <v>117.39130434782608</v>
      </c>
      <c r="F79" s="381">
        <f>E79</f>
        <v>117.39130434782608</v>
      </c>
    </row>
    <row r="80" spans="1:6">
      <c r="B80" s="383" t="s">
        <v>100</v>
      </c>
      <c r="C80" s="384">
        <f>SUM(C71:C78)</f>
        <v>438.28811594202898</v>
      </c>
      <c r="D80" s="384">
        <f>SUM(D71:D78)</f>
        <v>438.28811594202898</v>
      </c>
      <c r="E80" s="384">
        <f>SUM(E71:E79)</f>
        <v>555.6794202898551</v>
      </c>
      <c r="F80" s="384">
        <f>SUM(F71:F79)</f>
        <v>555.6794202898551</v>
      </c>
    </row>
    <row r="81" spans="1:6">
      <c r="A81" s="379" t="s">
        <v>101</v>
      </c>
      <c r="B81" s="380" t="s">
        <v>76</v>
      </c>
      <c r="C81" s="381">
        <f t="shared" ref="C81:C87" si="25">B60</f>
        <v>22.253333333333334</v>
      </c>
      <c r="D81" s="381" t="s">
        <v>99</v>
      </c>
      <c r="E81" s="381">
        <f>C81</f>
        <v>22.253333333333334</v>
      </c>
      <c r="F81" s="381" t="str">
        <f>D81</f>
        <v>-</v>
      </c>
    </row>
    <row r="82" spans="1:6">
      <c r="A82" s="385"/>
      <c r="B82" s="385" t="s">
        <v>102</v>
      </c>
      <c r="C82" s="381">
        <f t="shared" si="25"/>
        <v>7.5999999999999988</v>
      </c>
      <c r="D82" s="381">
        <f t="shared" si="10"/>
        <v>7.5999999999999988</v>
      </c>
      <c r="E82" s="381">
        <f t="shared" ref="E82:F87" si="26">C82</f>
        <v>7.5999999999999988</v>
      </c>
      <c r="F82" s="381">
        <f t="shared" si="26"/>
        <v>7.5999999999999988</v>
      </c>
    </row>
    <row r="83" spans="1:6">
      <c r="B83" s="380" t="s">
        <v>78</v>
      </c>
      <c r="C83" s="381">
        <f t="shared" si="25"/>
        <v>1.2279347826086957</v>
      </c>
      <c r="D83" s="381" t="s">
        <v>99</v>
      </c>
      <c r="E83" s="381">
        <f t="shared" si="26"/>
        <v>1.2279347826086957</v>
      </c>
      <c r="F83" s="381" t="str">
        <f t="shared" si="26"/>
        <v>-</v>
      </c>
    </row>
    <row r="84" spans="1:6">
      <c r="B84" s="380" t="s">
        <v>80</v>
      </c>
      <c r="C84" s="381">
        <f t="shared" si="25"/>
        <v>32.608695652173914</v>
      </c>
      <c r="D84" s="381">
        <f t="shared" si="10"/>
        <v>32.608695652173914</v>
      </c>
      <c r="E84" s="381">
        <f t="shared" si="26"/>
        <v>32.608695652173914</v>
      </c>
      <c r="F84" s="381">
        <f t="shared" si="26"/>
        <v>32.608695652173914</v>
      </c>
    </row>
    <row r="85" spans="1:6">
      <c r="A85" s="385"/>
      <c r="B85" s="385" t="s">
        <v>81</v>
      </c>
      <c r="C85" s="381">
        <f t="shared" si="25"/>
        <v>26.25</v>
      </c>
      <c r="D85" s="381">
        <f t="shared" si="10"/>
        <v>26.25</v>
      </c>
      <c r="E85" s="381">
        <f t="shared" si="26"/>
        <v>26.25</v>
      </c>
      <c r="F85" s="381">
        <f t="shared" si="26"/>
        <v>26.25</v>
      </c>
    </row>
    <row r="86" spans="1:6" ht="26.25">
      <c r="A86" s="385"/>
      <c r="B86" s="385" t="s">
        <v>82</v>
      </c>
      <c r="C86" s="381">
        <f t="shared" si="25"/>
        <v>17.434545454545454</v>
      </c>
      <c r="D86" s="381">
        <f t="shared" si="10"/>
        <v>17.434545454545454</v>
      </c>
      <c r="E86" s="381">
        <f t="shared" si="26"/>
        <v>17.434545454545454</v>
      </c>
      <c r="F86" s="381">
        <f t="shared" si="26"/>
        <v>17.434545454545454</v>
      </c>
    </row>
    <row r="87" spans="1:6">
      <c r="B87" s="380" t="s">
        <v>83</v>
      </c>
      <c r="C87" s="381">
        <f t="shared" si="25"/>
        <v>37.137681159420289</v>
      </c>
      <c r="D87" s="381">
        <f t="shared" si="10"/>
        <v>37.137681159420289</v>
      </c>
      <c r="E87" s="381">
        <f t="shared" si="26"/>
        <v>37.137681159420289</v>
      </c>
      <c r="F87" s="381">
        <f t="shared" si="26"/>
        <v>37.137681159420289</v>
      </c>
    </row>
    <row r="88" spans="1:6">
      <c r="B88" s="383" t="s">
        <v>103</v>
      </c>
      <c r="C88" s="384">
        <f>SUM(C81:C87)</f>
        <v>144.51219038208168</v>
      </c>
      <c r="D88" s="384">
        <f>SUM(D81:D87)</f>
        <v>121.03092226613967</v>
      </c>
      <c r="E88" s="384">
        <f>SUM(E81:E87)</f>
        <v>144.51219038208168</v>
      </c>
      <c r="F88" s="384">
        <f>SUM(F81:F87)</f>
        <v>121.03092226613967</v>
      </c>
    </row>
    <row r="89" spans="1:6" ht="18.75" customHeight="1">
      <c r="A89" s="386" t="s">
        <v>104</v>
      </c>
      <c r="B89" s="386"/>
      <c r="C89" s="387">
        <f>C80-C88</f>
        <v>293.77592555994727</v>
      </c>
      <c r="D89" s="387">
        <f>D80-D88</f>
        <v>317.25719367588931</v>
      </c>
      <c r="E89" s="387">
        <f>E80-E88</f>
        <v>411.16722990777339</v>
      </c>
      <c r="F89" s="387">
        <f>F80-F88</f>
        <v>434.64849802371543</v>
      </c>
    </row>
    <row r="90" spans="1:6">
      <c r="A90" s="380" t="s">
        <v>105</v>
      </c>
    </row>
    <row r="93" spans="1:6">
      <c r="A93" s="383" t="s">
        <v>70</v>
      </c>
      <c r="B93" s="433" t="s">
        <v>30</v>
      </c>
      <c r="C93" s="433" t="s">
        <v>33</v>
      </c>
      <c r="D93" s="433" t="s">
        <v>34</v>
      </c>
      <c r="E93" s="433" t="s">
        <v>35</v>
      </c>
    </row>
    <row r="94" spans="1:6">
      <c r="A94" s="380" t="s">
        <v>41</v>
      </c>
      <c r="B94" s="434">
        <f>B41</f>
        <v>2700</v>
      </c>
      <c r="C94" s="434">
        <f>C41</f>
        <v>1408.695652173913</v>
      </c>
      <c r="D94" s="434">
        <f>D41</f>
        <v>1539.1304347826087</v>
      </c>
      <c r="E94" s="434">
        <f>E41</f>
        <v>1800</v>
      </c>
    </row>
    <row r="95" spans="1:6">
      <c r="A95" s="380" t="s">
        <v>12</v>
      </c>
      <c r="B95" s="434">
        <f>C171+D141</f>
        <v>4254.4026086956519</v>
      </c>
      <c r="C95" s="434">
        <f>C171+D145</f>
        <v>5022.181837944664</v>
      </c>
      <c r="D95" s="434">
        <f>D160</f>
        <v>5022.181837944664</v>
      </c>
      <c r="E95" s="434">
        <f>D95</f>
        <v>5022.181837944664</v>
      </c>
    </row>
    <row r="96" spans="1:6">
      <c r="A96" s="380" t="s">
        <v>10</v>
      </c>
      <c r="B96" s="434">
        <f>B43</f>
        <v>1239.1304347826087</v>
      </c>
      <c r="C96" s="434">
        <f>C43</f>
        <v>0</v>
      </c>
      <c r="D96" s="434">
        <f>D43</f>
        <v>217.39130434782609</v>
      </c>
      <c r="E96" s="434">
        <f>E43</f>
        <v>652.17391304347825</v>
      </c>
    </row>
    <row r="97" spans="1:6">
      <c r="A97" s="446" t="s">
        <v>43</v>
      </c>
      <c r="B97" s="447">
        <f>SUM(B94:B96)</f>
        <v>8193.5330434782609</v>
      </c>
      <c r="C97" s="447">
        <f>SUM(C94:C96)</f>
        <v>6430.877490118577</v>
      </c>
      <c r="D97" s="447">
        <f>SUM(D94:D96)</f>
        <v>6778.703577075099</v>
      </c>
      <c r="E97" s="447">
        <f>SUM(E94:E96)</f>
        <v>7474.3557509881421</v>
      </c>
    </row>
    <row r="99" spans="1:6" ht="13.5" thickBot="1"/>
    <row r="100" spans="1:6" ht="38.65" thickBot="1">
      <c r="B100" s="465" t="s">
        <v>106</v>
      </c>
      <c r="C100" s="466" t="s">
        <v>107</v>
      </c>
      <c r="D100" s="467" t="s">
        <v>108</v>
      </c>
      <c r="E100" s="468" t="s">
        <v>109</v>
      </c>
      <c r="F100" s="468" t="s">
        <v>108</v>
      </c>
    </row>
    <row r="101" spans="1:6">
      <c r="B101" s="448" t="s">
        <v>51</v>
      </c>
      <c r="C101" s="449">
        <f>B44</f>
        <v>10615.054782608695</v>
      </c>
      <c r="D101" s="450"/>
      <c r="E101" s="451">
        <f>B97</f>
        <v>8193.5330434782609</v>
      </c>
      <c r="F101" s="452"/>
    </row>
    <row r="102" spans="1:6">
      <c r="B102" s="446" t="s">
        <v>33</v>
      </c>
      <c r="C102" s="457">
        <f>C44</f>
        <v>8852.3992292490111</v>
      </c>
      <c r="D102" s="458">
        <f>($C$101-C102)/$C$101</f>
        <v>0.16605242172160545</v>
      </c>
      <c r="E102" s="459">
        <f>C97</f>
        <v>6430.877490118577</v>
      </c>
      <c r="F102" s="458">
        <f>($E$101-E102)/$E$101</f>
        <v>0.21512765543341408</v>
      </c>
    </row>
    <row r="103" spans="1:6">
      <c r="B103" s="446" t="s">
        <v>34</v>
      </c>
      <c r="C103" s="457">
        <f>D44</f>
        <v>9200.2253162055331</v>
      </c>
      <c r="D103" s="458">
        <f>($C$101-C103)/$C$101</f>
        <v>0.13328517802104659</v>
      </c>
      <c r="E103" s="459">
        <f>D97</f>
        <v>6778.703577075099</v>
      </c>
      <c r="F103" s="458">
        <f t="shared" ref="F103:F104" si="27">($E$101-E103)/$E$101</f>
        <v>0.17267636059993827</v>
      </c>
    </row>
    <row r="104" spans="1:6">
      <c r="B104" s="453" t="s">
        <v>35</v>
      </c>
      <c r="C104" s="454">
        <f>E44</f>
        <v>9895.877490118577</v>
      </c>
      <c r="D104" s="455">
        <f>($C$101-C104)/$C$101</f>
        <v>6.7750690619928861E-2</v>
      </c>
      <c r="E104" s="456">
        <f>E97</f>
        <v>7474.3557509881421</v>
      </c>
      <c r="F104" s="455">
        <f t="shared" si="27"/>
        <v>8.7773770932986772E-2</v>
      </c>
    </row>
    <row r="107" spans="1:6">
      <c r="A107" s="380" t="s">
        <v>110</v>
      </c>
      <c r="B107" s="411">
        <f>Supplies!J20</f>
        <v>867.07314229249016</v>
      </c>
      <c r="D107" s="411">
        <f>B107-B108</f>
        <v>767.77922924901191</v>
      </c>
      <c r="E107" s="381">
        <f>C101-C102</f>
        <v>1762.6555533596838</v>
      </c>
    </row>
    <row r="108" spans="1:6">
      <c r="A108" s="380" t="s">
        <v>111</v>
      </c>
      <c r="B108" s="411">
        <f>Supplies!J8</f>
        <v>99.29391304347827</v>
      </c>
    </row>
    <row r="109" spans="1:6">
      <c r="A109" s="380" t="s">
        <v>112</v>
      </c>
      <c r="B109" s="381">
        <f>Supplies!J33</f>
        <v>6576.6304347826081</v>
      </c>
      <c r="C109" s="424">
        <f>B109/$B$109</f>
        <v>1</v>
      </c>
    </row>
    <row r="110" spans="1:6">
      <c r="A110" s="426" t="s">
        <v>113</v>
      </c>
      <c r="B110" s="381">
        <f>Supplies!J30</f>
        <v>495</v>
      </c>
      <c r="C110" s="424">
        <f>B110/$B$109</f>
        <v>7.5266506900256186E-2</v>
      </c>
    </row>
    <row r="111" spans="1:6">
      <c r="A111" s="426" t="s">
        <v>114</v>
      </c>
      <c r="B111" s="381">
        <f>Supplies!J31</f>
        <v>2101.304347826087</v>
      </c>
      <c r="C111" s="424">
        <f>B111/$B$109</f>
        <v>0.31951078423270807</v>
      </c>
    </row>
    <row r="112" spans="1:6">
      <c r="A112" s="426" t="s">
        <v>115</v>
      </c>
      <c r="B112" s="411">
        <f>Supplies!J29</f>
        <v>3980.3260869565215</v>
      </c>
      <c r="C112" s="424">
        <f>B112/$B$109</f>
        <v>0.60522270886703577</v>
      </c>
    </row>
    <row r="113" spans="1:5">
      <c r="A113" s="426"/>
      <c r="B113" s="381"/>
      <c r="C113" s="424"/>
    </row>
    <row r="114" spans="1:5" ht="13.5" thickBot="1"/>
    <row r="115" spans="1:5" ht="13.5" thickBot="1">
      <c r="A115" s="395"/>
      <c r="B115" s="396" t="s">
        <v>116</v>
      </c>
      <c r="C115" s="396" t="s">
        <v>117</v>
      </c>
      <c r="D115" s="396" t="s">
        <v>118</v>
      </c>
      <c r="E115" s="410"/>
    </row>
    <row r="116" spans="1:5">
      <c r="A116" s="397" t="s">
        <v>51</v>
      </c>
      <c r="B116" s="398"/>
      <c r="C116" s="398"/>
      <c r="D116" s="405">
        <f>Supplies!J8</f>
        <v>99.29391304347827</v>
      </c>
    </row>
    <row r="117" spans="1:5" ht="26.25">
      <c r="A117" s="399" t="s">
        <v>119</v>
      </c>
      <c r="B117" s="400">
        <v>12</v>
      </c>
      <c r="C117" s="400" t="s">
        <v>120</v>
      </c>
      <c r="D117" s="404">
        <f>Supplies!J5</f>
        <v>19.565217391304348</v>
      </c>
    </row>
    <row r="118" spans="1:5">
      <c r="A118" s="399" t="s">
        <v>121</v>
      </c>
      <c r="B118" s="400">
        <v>2</v>
      </c>
      <c r="C118" s="400" t="s">
        <v>122</v>
      </c>
      <c r="D118" s="404">
        <f>Supplies!J6</f>
        <v>32.608695652173914</v>
      </c>
    </row>
    <row r="119" spans="1:5" ht="13.5" thickBot="1">
      <c r="A119" s="399" t="s">
        <v>96</v>
      </c>
      <c r="B119" s="400">
        <v>2</v>
      </c>
      <c r="C119" s="400" t="s">
        <v>123</v>
      </c>
      <c r="D119" s="404">
        <f>Supplies!J7</f>
        <v>47.120000000000005</v>
      </c>
    </row>
    <row r="120" spans="1:5" ht="13.5" thickBot="1">
      <c r="A120" s="395" t="s">
        <v>124</v>
      </c>
      <c r="B120" s="396"/>
      <c r="C120" s="401"/>
      <c r="D120" s="406">
        <f>Supplies!J20</f>
        <v>867.07314229249016</v>
      </c>
    </row>
    <row r="121" spans="1:5">
      <c r="A121" s="399" t="s">
        <v>125</v>
      </c>
      <c r="B121" s="400">
        <v>1</v>
      </c>
      <c r="C121" s="400" t="s">
        <v>122</v>
      </c>
      <c r="D121" s="404">
        <f>Supplies!J13</f>
        <v>222.82608695652175</v>
      </c>
    </row>
    <row r="122" spans="1:5">
      <c r="A122" s="399" t="s">
        <v>76</v>
      </c>
      <c r="B122" s="400">
        <v>6</v>
      </c>
      <c r="C122" s="400" t="s">
        <v>126</v>
      </c>
      <c r="D122" s="404">
        <f>Supplies!J14</f>
        <v>133.51999999999998</v>
      </c>
    </row>
    <row r="123" spans="1:5">
      <c r="A123" s="399" t="s">
        <v>127</v>
      </c>
      <c r="B123" s="400">
        <v>6</v>
      </c>
      <c r="C123" s="400" t="s">
        <v>128</v>
      </c>
      <c r="D123" s="404">
        <f>Supplies!J15</f>
        <v>45.6</v>
      </c>
      <c r="E123" s="419"/>
    </row>
    <row r="124" spans="1:5">
      <c r="A124" s="399" t="s">
        <v>129</v>
      </c>
      <c r="B124" s="400">
        <v>6</v>
      </c>
      <c r="C124" s="400" t="s">
        <v>128</v>
      </c>
      <c r="D124" s="404">
        <f>Supplies!J16</f>
        <v>7.3676086956521747</v>
      </c>
      <c r="E124" s="419"/>
    </row>
    <row r="125" spans="1:5">
      <c r="A125" s="399" t="s">
        <v>130</v>
      </c>
      <c r="B125" s="400">
        <v>6</v>
      </c>
      <c r="C125" s="400" t="s">
        <v>120</v>
      </c>
      <c r="D125" s="404">
        <f>Supplies!J17</f>
        <v>195.65217391304347</v>
      </c>
      <c r="E125" s="419"/>
    </row>
    <row r="126" spans="1:5">
      <c r="A126" s="399" t="s">
        <v>82</v>
      </c>
      <c r="B126" s="400">
        <v>1</v>
      </c>
      <c r="D126" s="411">
        <f>Supplies!J18</f>
        <v>104.60727272727273</v>
      </c>
      <c r="E126" s="419"/>
    </row>
    <row r="127" spans="1:5" ht="13.5" thickBot="1">
      <c r="A127" s="402" t="s">
        <v>131</v>
      </c>
      <c r="B127" s="403">
        <v>1</v>
      </c>
      <c r="C127" s="403" t="s">
        <v>120</v>
      </c>
      <c r="D127" s="407">
        <f>Supplies!J19</f>
        <v>157.5</v>
      </c>
      <c r="E127" s="419"/>
    </row>
    <row r="128" spans="1:5" ht="13.5" thickBot="1">
      <c r="A128" s="397" t="s">
        <v>132</v>
      </c>
      <c r="B128" s="398"/>
      <c r="C128" s="403"/>
      <c r="D128" s="405">
        <f>Supplies!J33</f>
        <v>6576.6304347826081</v>
      </c>
    </row>
    <row r="129" spans="1:5" ht="33.75" customHeight="1">
      <c r="A129" s="399" t="s">
        <v>133</v>
      </c>
      <c r="B129" s="400" t="s">
        <v>134</v>
      </c>
      <c r="C129" s="400" t="s">
        <v>135</v>
      </c>
      <c r="D129" s="404">
        <f>Supplies!J26</f>
        <v>2038.0434782608695</v>
      </c>
      <c r="E129" s="436">
        <f>D129/$D$128</f>
        <v>0.30989174448392698</v>
      </c>
    </row>
    <row r="130" spans="1:5" ht="52.5">
      <c r="A130" s="399" t="s">
        <v>136</v>
      </c>
      <c r="B130" s="400" t="s">
        <v>134</v>
      </c>
      <c r="C130" s="400" t="s">
        <v>122</v>
      </c>
      <c r="D130" s="404">
        <f>Supplies!J27</f>
        <v>1045.5434782608695</v>
      </c>
      <c r="E130" s="436">
        <f>D130/$D$128</f>
        <v>0.15897859681018098</v>
      </c>
    </row>
    <row r="131" spans="1:5" ht="39.4">
      <c r="A131" s="399" t="s">
        <v>137</v>
      </c>
      <c r="B131" s="400" t="s">
        <v>134</v>
      </c>
      <c r="C131" s="400" t="s">
        <v>138</v>
      </c>
      <c r="D131" s="404">
        <f>Supplies!J28</f>
        <v>896.73913043478251</v>
      </c>
      <c r="E131" s="436">
        <f>D131/$D$128</f>
        <v>0.13635236757292785</v>
      </c>
    </row>
    <row r="132" spans="1:5">
      <c r="A132" s="409" t="s">
        <v>139</v>
      </c>
      <c r="B132" s="400">
        <v>15</v>
      </c>
      <c r="C132" s="400" t="s">
        <v>128</v>
      </c>
      <c r="D132" s="404">
        <f>Supplies!J30</f>
        <v>495</v>
      </c>
      <c r="E132" s="436">
        <f>D132/$D$128</f>
        <v>7.5266506900256186E-2</v>
      </c>
    </row>
    <row r="133" spans="1:5">
      <c r="A133" s="409" t="s">
        <v>114</v>
      </c>
      <c r="B133" s="400">
        <v>36</v>
      </c>
      <c r="C133" s="400" t="s">
        <v>120</v>
      </c>
      <c r="D133" s="404">
        <f>Supplies!J31</f>
        <v>2101.304347826087</v>
      </c>
      <c r="E133" s="436">
        <f>D133/$D$128</f>
        <v>0.31951078423270807</v>
      </c>
    </row>
    <row r="134" spans="1:5" ht="18" customHeight="1">
      <c r="A134" s="412" t="s">
        <v>140</v>
      </c>
      <c r="B134" s="413"/>
      <c r="C134" s="413"/>
      <c r="D134" s="414">
        <f>D128+D116</f>
        <v>6675.924347826086</v>
      </c>
    </row>
    <row r="135" spans="1:5" ht="18" customHeight="1">
      <c r="A135" s="408" t="s">
        <v>141</v>
      </c>
      <c r="B135" s="379"/>
      <c r="C135" s="379"/>
      <c r="D135" s="417">
        <f>D128+D120</f>
        <v>7443.7035770750981</v>
      </c>
    </row>
    <row r="136" spans="1:5" ht="18" customHeight="1" thickBot="1">
      <c r="A136" s="418" t="s">
        <v>142</v>
      </c>
      <c r="B136" s="415"/>
      <c r="C136" s="415"/>
      <c r="D136" s="416">
        <f>D135-D134</f>
        <v>767.77922924901213</v>
      </c>
    </row>
    <row r="139" spans="1:5" ht="13.5" thickBot="1">
      <c r="A139" s="380" t="s">
        <v>143</v>
      </c>
    </row>
    <row r="140" spans="1:5" ht="13.5" thickBot="1">
      <c r="A140" s="395"/>
      <c r="B140" s="396" t="s">
        <v>116</v>
      </c>
      <c r="C140" s="396" t="s">
        <v>117</v>
      </c>
      <c r="D140" s="396" t="s">
        <v>118</v>
      </c>
    </row>
    <row r="141" spans="1:5" ht="13.5" thickBot="1">
      <c r="A141" s="397" t="s">
        <v>51</v>
      </c>
      <c r="B141" s="398"/>
      <c r="C141" s="398"/>
      <c r="D141" s="405">
        <f>'Sensitivity analysis CDC light '!J8</f>
        <v>99.29391304347827</v>
      </c>
    </row>
    <row r="142" spans="1:5" ht="26.25">
      <c r="A142" s="399" t="s">
        <v>119</v>
      </c>
      <c r="B142" s="400">
        <v>12</v>
      </c>
      <c r="C142" s="400" t="s">
        <v>120</v>
      </c>
      <c r="D142" s="404">
        <f t="shared" ref="D142:D152" si="28">D117</f>
        <v>19.565217391304348</v>
      </c>
    </row>
    <row r="143" spans="1:5">
      <c r="A143" s="399" t="s">
        <v>121</v>
      </c>
      <c r="B143" s="400">
        <v>2</v>
      </c>
      <c r="C143" s="400" t="s">
        <v>122</v>
      </c>
      <c r="D143" s="404">
        <f t="shared" si="28"/>
        <v>32.608695652173914</v>
      </c>
    </row>
    <row r="144" spans="1:5" ht="13.5" thickBot="1">
      <c r="A144" s="399" t="s">
        <v>96</v>
      </c>
      <c r="B144" s="400">
        <v>2</v>
      </c>
      <c r="C144" s="400" t="s">
        <v>123</v>
      </c>
      <c r="D144" s="404">
        <f t="shared" si="28"/>
        <v>47.120000000000005</v>
      </c>
    </row>
    <row r="145" spans="1:5" ht="13.5" thickBot="1">
      <c r="A145" s="395" t="s">
        <v>124</v>
      </c>
      <c r="B145" s="396"/>
      <c r="C145" s="401"/>
      <c r="D145" s="406">
        <f>'Sensitivity analysis CDC light '!J20</f>
        <v>867.07314229249016</v>
      </c>
    </row>
    <row r="146" spans="1:5">
      <c r="A146" s="399" t="s">
        <v>125</v>
      </c>
      <c r="B146" s="400">
        <v>1</v>
      </c>
      <c r="C146" s="400" t="s">
        <v>122</v>
      </c>
      <c r="D146" s="404">
        <f t="shared" si="28"/>
        <v>222.82608695652175</v>
      </c>
    </row>
    <row r="147" spans="1:5">
      <c r="A147" s="399" t="s">
        <v>76</v>
      </c>
      <c r="B147" s="400">
        <v>6</v>
      </c>
      <c r="C147" s="400" t="s">
        <v>126</v>
      </c>
      <c r="D147" s="404">
        <f t="shared" si="28"/>
        <v>133.51999999999998</v>
      </c>
    </row>
    <row r="148" spans="1:5">
      <c r="A148" s="399" t="s">
        <v>127</v>
      </c>
      <c r="B148" s="400">
        <v>6</v>
      </c>
      <c r="C148" s="400" t="s">
        <v>128</v>
      </c>
      <c r="D148" s="404">
        <f t="shared" si="28"/>
        <v>45.6</v>
      </c>
    </row>
    <row r="149" spans="1:5">
      <c r="A149" s="399" t="s">
        <v>129</v>
      </c>
      <c r="B149" s="400">
        <v>6</v>
      </c>
      <c r="C149" s="400" t="s">
        <v>128</v>
      </c>
      <c r="D149" s="404">
        <f t="shared" si="28"/>
        <v>7.3676086956521747</v>
      </c>
    </row>
    <row r="150" spans="1:5">
      <c r="A150" s="399" t="s">
        <v>130</v>
      </c>
      <c r="B150" s="400">
        <v>6</v>
      </c>
      <c r="C150" s="400" t="s">
        <v>120</v>
      </c>
      <c r="D150" s="404">
        <f t="shared" si="28"/>
        <v>195.65217391304347</v>
      </c>
    </row>
    <row r="151" spans="1:5">
      <c r="A151" s="399" t="s">
        <v>82</v>
      </c>
      <c r="B151" s="400">
        <v>1</v>
      </c>
      <c r="D151" s="411">
        <f t="shared" si="28"/>
        <v>104.60727272727273</v>
      </c>
    </row>
    <row r="152" spans="1:5" ht="13.5" thickBot="1">
      <c r="A152" s="402" t="s">
        <v>131</v>
      </c>
      <c r="B152" s="403">
        <v>1</v>
      </c>
      <c r="C152" s="403" t="s">
        <v>120</v>
      </c>
      <c r="D152" s="407">
        <f t="shared" si="28"/>
        <v>157.5</v>
      </c>
    </row>
    <row r="153" spans="1:5" ht="13.5" thickBot="1">
      <c r="A153" s="397" t="s">
        <v>132</v>
      </c>
      <c r="B153" s="398"/>
      <c r="C153" s="403"/>
      <c r="D153" s="405">
        <f>'Sensitivity analysis CDC light '!J33</f>
        <v>4155.108695652174</v>
      </c>
      <c r="E153" s="380" t="s">
        <v>144</v>
      </c>
    </row>
    <row r="154" spans="1:5">
      <c r="A154" s="399" t="s">
        <v>145</v>
      </c>
      <c r="B154" s="400" t="s">
        <v>134</v>
      </c>
      <c r="C154" s="400" t="s">
        <v>135</v>
      </c>
      <c r="D154" s="404">
        <f>'Sensitivity analysis CDC light '!J26</f>
        <v>1956.5217391304348</v>
      </c>
      <c r="E154" s="380" t="s">
        <v>146</v>
      </c>
    </row>
    <row r="155" spans="1:5" ht="52.5">
      <c r="A155" s="399" t="s">
        <v>136</v>
      </c>
      <c r="B155" s="400" t="s">
        <v>134</v>
      </c>
      <c r="C155" s="400" t="s">
        <v>122</v>
      </c>
      <c r="D155" s="404">
        <f>'Sensitivity analysis CDC light '!J27</f>
        <v>1045.5434782608695</v>
      </c>
    </row>
    <row r="156" spans="1:5" ht="39.4">
      <c r="A156" s="399" t="s">
        <v>147</v>
      </c>
      <c r="B156" s="400" t="s">
        <v>134</v>
      </c>
      <c r="C156" s="400" t="s">
        <v>138</v>
      </c>
      <c r="D156" s="404">
        <f>'Sensitivity analysis CDC light '!J28</f>
        <v>163.04347826086959</v>
      </c>
      <c r="E156" s="380" t="s">
        <v>148</v>
      </c>
    </row>
    <row r="157" spans="1:5">
      <c r="A157" s="409" t="s">
        <v>139</v>
      </c>
      <c r="B157" s="400">
        <v>30</v>
      </c>
      <c r="C157" s="400" t="s">
        <v>128</v>
      </c>
      <c r="D157" s="404">
        <f>'Sensitivity analysis CDC light '!J30</f>
        <v>990</v>
      </c>
    </row>
    <row r="158" spans="1:5">
      <c r="A158" s="409" t="s">
        <v>114</v>
      </c>
      <c r="B158" s="400">
        <v>0</v>
      </c>
      <c r="C158" s="400" t="s">
        <v>120</v>
      </c>
      <c r="D158" s="404">
        <f>'Sensitivity analysis CDC light '!J31</f>
        <v>0</v>
      </c>
    </row>
    <row r="159" spans="1:5">
      <c r="A159" s="412" t="s">
        <v>140</v>
      </c>
      <c r="B159" s="413"/>
      <c r="C159" s="413"/>
      <c r="D159" s="414">
        <f>'Sensitivity analysis CDC light '!J9</f>
        <v>4254.4026086956519</v>
      </c>
    </row>
    <row r="160" spans="1:5" ht="24" customHeight="1" thickBot="1">
      <c r="A160" s="408" t="s">
        <v>141</v>
      </c>
      <c r="B160" s="379"/>
      <c r="C160" s="379"/>
      <c r="D160" s="417">
        <f>'Sensitivity analysis CDC light '!J21</f>
        <v>5022.181837944664</v>
      </c>
    </row>
    <row r="161" spans="1:4" ht="25.9" thickBot="1">
      <c r="A161" s="395" t="s">
        <v>142</v>
      </c>
      <c r="B161" s="396"/>
      <c r="C161" s="396"/>
      <c r="D161" s="406">
        <f>D160-D159</f>
        <v>767.77922924901213</v>
      </c>
    </row>
    <row r="165" spans="1:4" ht="38.25">
      <c r="A165" s="442" t="s">
        <v>149</v>
      </c>
      <c r="B165" s="443" t="s">
        <v>150</v>
      </c>
      <c r="C165" s="443" t="s">
        <v>151</v>
      </c>
    </row>
    <row r="166" spans="1:4" ht="26.25">
      <c r="A166" s="399" t="s">
        <v>152</v>
      </c>
      <c r="B166" s="404">
        <f>D129</f>
        <v>2038.0434782608695</v>
      </c>
      <c r="C166" s="404">
        <f>D154</f>
        <v>1956.5217391304348</v>
      </c>
    </row>
    <row r="167" spans="1:4" ht="52.5">
      <c r="A167" s="399" t="s">
        <v>136</v>
      </c>
      <c r="B167" s="404">
        <f>D130</f>
        <v>1045.5434782608695</v>
      </c>
      <c r="C167" s="404">
        <f>D155</f>
        <v>1045.5434782608695</v>
      </c>
    </row>
    <row r="168" spans="1:4" ht="39.4">
      <c r="A168" s="399" t="s">
        <v>153</v>
      </c>
      <c r="B168" s="404">
        <f>D131</f>
        <v>896.73913043478251</v>
      </c>
      <c r="C168" s="404">
        <f>D156</f>
        <v>163.04347826086959</v>
      </c>
    </row>
    <row r="169" spans="1:4">
      <c r="A169" s="409" t="s">
        <v>154</v>
      </c>
      <c r="B169" s="404">
        <f>D132</f>
        <v>495</v>
      </c>
      <c r="C169" s="404">
        <f>D157</f>
        <v>990</v>
      </c>
    </row>
    <row r="170" spans="1:4">
      <c r="A170" s="399" t="s">
        <v>155</v>
      </c>
      <c r="B170" s="404">
        <f>D133</f>
        <v>2101.304347826087</v>
      </c>
      <c r="C170" s="404">
        <f>D158</f>
        <v>0</v>
      </c>
    </row>
    <row r="171" spans="1:4" ht="19.149999999999999" customHeight="1" thickBot="1">
      <c r="A171" s="440" t="s">
        <v>156</v>
      </c>
      <c r="B171" s="444">
        <f>D128</f>
        <v>6576.6304347826081</v>
      </c>
      <c r="C171" s="445">
        <f>D153</f>
        <v>4155.108695652174</v>
      </c>
    </row>
    <row r="172" spans="1:4" ht="15.4" customHeight="1">
      <c r="A172" s="461" t="s">
        <v>140</v>
      </c>
      <c r="B172" s="462">
        <f>D134</f>
        <v>6675.924347826086</v>
      </c>
      <c r="C172" s="463">
        <f>D159</f>
        <v>4254.4026086956519</v>
      </c>
    </row>
    <row r="173" spans="1:4">
      <c r="A173" s="460" t="s">
        <v>141</v>
      </c>
      <c r="B173" s="464">
        <f>D135</f>
        <v>7443.7035770750981</v>
      </c>
      <c r="C173" s="464">
        <f>D160</f>
        <v>5022.181837944664</v>
      </c>
    </row>
    <row r="174" spans="1:4">
      <c r="A174" s="441" t="s">
        <v>157</v>
      </c>
    </row>
  </sheetData>
  <mergeCells count="3">
    <mergeCell ref="C4:F4"/>
    <mergeCell ref="G4:J4"/>
    <mergeCell ref="C11:F11"/>
  </mergeCells>
  <phoneticPr fontId="43" type="noConversion"/>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854A2-BF73-4164-8864-BD0B9C38C676}">
  <dimension ref="D5:H21"/>
  <sheetViews>
    <sheetView topLeftCell="R1" zoomScale="85" zoomScaleNormal="85" workbookViewId="0">
      <selection activeCell="N23" sqref="N23"/>
    </sheetView>
  </sheetViews>
  <sheetFormatPr defaultColWidth="11.7109375" defaultRowHeight="15.75"/>
  <cols>
    <col min="1" max="3" width="11.7109375" style="267"/>
    <col min="4" max="4" width="22.42578125" style="267" customWidth="1"/>
    <col min="5" max="8" width="13.5703125" style="267" bestFit="1" customWidth="1"/>
    <col min="9" max="16384" width="11.7109375" style="267"/>
  </cols>
  <sheetData>
    <row r="5" spans="4:8">
      <c r="D5" s="427"/>
      <c r="E5" s="428" t="s">
        <v>30</v>
      </c>
      <c r="F5" s="428" t="s">
        <v>33</v>
      </c>
      <c r="G5" s="428" t="s">
        <v>34</v>
      </c>
      <c r="H5" s="428" t="s">
        <v>35</v>
      </c>
    </row>
    <row r="6" spans="4:8">
      <c r="D6" s="428" t="s">
        <v>41</v>
      </c>
      <c r="E6" s="429">
        <f>'Routine Uganda Surveillance'!I32</f>
        <v>2700</v>
      </c>
      <c r="F6" s="429">
        <f>'Model 1'!I26</f>
        <v>1408.695652173913</v>
      </c>
      <c r="G6" s="429">
        <f>'Model 2'!I27</f>
        <v>1539.1304347826087</v>
      </c>
      <c r="H6" s="429">
        <f>'Model 3'!I27</f>
        <v>1800</v>
      </c>
    </row>
    <row r="7" spans="4:8">
      <c r="D7" s="428" t="s">
        <v>114</v>
      </c>
      <c r="E7" s="429">
        <f>'Routine Uganda Surveillance'!I38</f>
        <v>2101.304347826087</v>
      </c>
      <c r="F7" s="429">
        <f>'Model 1'!I32</f>
        <v>2101.304347826087</v>
      </c>
      <c r="G7" s="429">
        <f>'Model 2'!I33</f>
        <v>2101.304347826087</v>
      </c>
      <c r="H7" s="429">
        <f>'Model 3'!I33</f>
        <v>2101.304347826087</v>
      </c>
    </row>
    <row r="8" spans="4:8">
      <c r="D8" s="428" t="s">
        <v>158</v>
      </c>
      <c r="E8" s="429">
        <f>'Routine Uganda Surveillance'!I37</f>
        <v>495</v>
      </c>
      <c r="F8" s="429">
        <f>'Model 1'!I31</f>
        <v>495</v>
      </c>
      <c r="G8" s="429">
        <f>'Model 2'!I32</f>
        <v>495</v>
      </c>
      <c r="H8" s="429">
        <f>'Model 3'!I32</f>
        <v>495</v>
      </c>
    </row>
    <row r="9" spans="4:8">
      <c r="D9" s="428" t="s">
        <v>115</v>
      </c>
      <c r="E9" s="429">
        <f>'Routine Uganda Surveillance'!I35+'Routine Uganda Surveillance'!I36</f>
        <v>4079.62</v>
      </c>
      <c r="F9" s="429">
        <f>'Model 1'!I29+'Model 1'!I30</f>
        <v>4847.399229249012</v>
      </c>
      <c r="G9" s="429">
        <f>'Model 2'!I30+'Model 2'!I31</f>
        <v>4847.399229249012</v>
      </c>
      <c r="H9" s="429">
        <f>'Model 3'!I30+'Model 3'!I31</f>
        <v>4847.399229249012</v>
      </c>
    </row>
    <row r="10" spans="4:8">
      <c r="D10" s="428" t="s">
        <v>10</v>
      </c>
      <c r="E10" s="430">
        <f>'Routine Uganda Surveillance'!I33</f>
        <v>1239.1304347826087</v>
      </c>
      <c r="F10" s="431">
        <f>'Model 1'!I27</f>
        <v>0</v>
      </c>
      <c r="G10" s="430">
        <f>'Model 2'!I28</f>
        <v>217.39130434782609</v>
      </c>
      <c r="H10" s="430">
        <f>'Model 3'!I28</f>
        <v>652.17391304347825</v>
      </c>
    </row>
    <row r="11" spans="4:8">
      <c r="D11" s="428" t="s">
        <v>43</v>
      </c>
      <c r="E11" s="429">
        <f>SUM(E6:E10)</f>
        <v>10615.054782608695</v>
      </c>
      <c r="F11" s="429">
        <f>SUM(F6:F10)</f>
        <v>8852.3992292490111</v>
      </c>
      <c r="G11" s="429">
        <f>SUM(G6:G10)</f>
        <v>9200.2253162055331</v>
      </c>
      <c r="H11" s="429">
        <f>SUM(H6:H10)</f>
        <v>9895.877490118577</v>
      </c>
    </row>
    <row r="12" spans="4:8">
      <c r="D12" s="428" t="s">
        <v>159</v>
      </c>
      <c r="E12" s="429">
        <f>SUM(E7:E9)</f>
        <v>6675.9243478260869</v>
      </c>
      <c r="F12" s="429">
        <f>SUM(F7:F9)</f>
        <v>7443.703577075099</v>
      </c>
      <c r="G12" s="429">
        <f t="shared" ref="G12:H12" si="0">SUM(G7:G9)</f>
        <v>7443.703577075099</v>
      </c>
      <c r="H12" s="429">
        <f t="shared" si="0"/>
        <v>7443.703577075099</v>
      </c>
    </row>
    <row r="13" spans="4:8">
      <c r="D13" s="427"/>
      <c r="E13" s="427"/>
      <c r="F13" s="427"/>
      <c r="G13" s="427"/>
      <c r="H13" s="427"/>
    </row>
    <row r="14" spans="4:8">
      <c r="D14" s="437" t="s">
        <v>41</v>
      </c>
      <c r="E14" s="438">
        <f>E6/E11</f>
        <v>0.25435572922558797</v>
      </c>
      <c r="F14" s="438">
        <f>F6/F11</f>
        <v>0.159131509514333</v>
      </c>
      <c r="G14" s="438">
        <f t="shared" ref="G14:H14" si="1">G6/G11</f>
        <v>0.16729268924224514</v>
      </c>
      <c r="H14" s="438">
        <f t="shared" si="1"/>
        <v>0.18189392520242603</v>
      </c>
    </row>
    <row r="15" spans="4:8">
      <c r="D15" s="437" t="s">
        <v>160</v>
      </c>
      <c r="E15" s="438">
        <f>E7/E11</f>
        <v>0.19795511100600111</v>
      </c>
      <c r="F15" s="438">
        <f>F7/F11</f>
        <v>0.23737116835888006</v>
      </c>
      <c r="G15" s="438">
        <f t="shared" ref="G15" si="2">G7/G11</f>
        <v>0.22839705285530246</v>
      </c>
      <c r="H15" s="438">
        <f>H7/H11</f>
        <v>0.21234138659500607</v>
      </c>
    </row>
    <row r="16" spans="4:8">
      <c r="D16" s="437" t="s">
        <v>161</v>
      </c>
      <c r="E16" s="438">
        <f>E8/E11</f>
        <v>4.6631883691357796E-2</v>
      </c>
      <c r="F16" s="438">
        <f>F8/F11</f>
        <v>5.5917044315453121E-2</v>
      </c>
      <c r="G16" s="438">
        <f t="shared" ref="G16:H16" si="3">G8/G11</f>
        <v>5.3803030141891549E-2</v>
      </c>
      <c r="H16" s="438">
        <f t="shared" si="3"/>
        <v>5.0020829430667164E-2</v>
      </c>
    </row>
    <row r="17" spans="4:8">
      <c r="D17" s="437" t="s">
        <v>162</v>
      </c>
      <c r="E17" s="438">
        <f>E9/E11</f>
        <v>0.38432397039381233</v>
      </c>
      <c r="F17" s="438">
        <f t="shared" ref="F17:H17" si="4">F9/F11</f>
        <v>0.54758027781133389</v>
      </c>
      <c r="G17" s="438">
        <f t="shared" si="4"/>
        <v>0.52687831685063935</v>
      </c>
      <c r="H17" s="438">
        <f t="shared" si="4"/>
        <v>0.48984026268406522</v>
      </c>
    </row>
    <row r="18" spans="4:8">
      <c r="D18" s="437" t="s">
        <v>10</v>
      </c>
      <c r="E18" s="438">
        <f>E10/E11</f>
        <v>0.11673330568324088</v>
      </c>
      <c r="F18" s="438">
        <f t="shared" ref="F18:H18" si="5">F10/F11</f>
        <v>0</v>
      </c>
      <c r="G18" s="438">
        <f t="shared" si="5"/>
        <v>2.3628910909921631E-2</v>
      </c>
      <c r="H18" s="438">
        <f t="shared" si="5"/>
        <v>6.5903596087835525E-2</v>
      </c>
    </row>
    <row r="19" spans="4:8">
      <c r="D19" s="428"/>
      <c r="E19" s="424"/>
      <c r="F19" s="424"/>
      <c r="G19" s="424"/>
      <c r="H19" s="424"/>
    </row>
    <row r="20" spans="4:8">
      <c r="D20" s="427"/>
      <c r="E20" s="427"/>
      <c r="F20" s="427"/>
      <c r="G20" s="427"/>
      <c r="H20" s="427"/>
    </row>
    <row r="21" spans="4:8">
      <c r="D21" s="427"/>
      <c r="E21" s="427"/>
      <c r="F21" s="427"/>
      <c r="G21" s="427"/>
      <c r="H21" s="427"/>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BBF1D-5800-4AE6-92C0-8F047E1FA1B6}">
  <dimension ref="A1:V1005"/>
  <sheetViews>
    <sheetView zoomScale="85" zoomScaleNormal="85" workbookViewId="0">
      <selection activeCell="C53" sqref="C53"/>
    </sheetView>
  </sheetViews>
  <sheetFormatPr defaultColWidth="14.42578125" defaultRowHeight="15" customHeight="1"/>
  <cols>
    <col min="1" max="1" width="8.7109375" customWidth="1"/>
    <col min="2" max="2" width="36.42578125" customWidth="1"/>
    <col min="3" max="3" width="60.85546875" customWidth="1"/>
    <col min="4" max="4" width="10" customWidth="1"/>
    <col min="5" max="5" width="18.5703125" customWidth="1"/>
    <col min="6" max="6" width="17" customWidth="1"/>
    <col min="7" max="7" width="17.42578125" customWidth="1"/>
    <col min="8" max="8" width="1.7109375" customWidth="1"/>
    <col min="9" max="9" width="17" customWidth="1"/>
    <col min="10" max="10" width="13.85546875" customWidth="1"/>
    <col min="11" max="11" width="8.7109375" customWidth="1"/>
    <col min="12" max="12" width="32.140625" customWidth="1"/>
    <col min="13" max="22" width="8.7109375" customWidth="1"/>
  </cols>
  <sheetData>
    <row r="1" spans="1:22" ht="14.25" customHeight="1"/>
    <row r="2" spans="1:22" ht="42.75" customHeight="1">
      <c r="B2" s="47" t="s">
        <v>163</v>
      </c>
    </row>
    <row r="3" spans="1:22" ht="15.75" customHeight="1">
      <c r="F3" s="473" t="s">
        <v>164</v>
      </c>
      <c r="G3" s="477"/>
      <c r="H3" s="33"/>
      <c r="I3" s="472" t="s">
        <v>165</v>
      </c>
      <c r="J3" s="477"/>
    </row>
    <row r="4" spans="1:22" ht="33.75" customHeight="1">
      <c r="A4" s="48"/>
      <c r="B4" s="49" t="s">
        <v>166</v>
      </c>
      <c r="C4" s="50" t="s">
        <v>85</v>
      </c>
      <c r="D4" s="51" t="s">
        <v>167</v>
      </c>
      <c r="E4" s="51" t="s">
        <v>168</v>
      </c>
      <c r="F4" s="52" t="s">
        <v>169</v>
      </c>
      <c r="G4" s="52" t="s">
        <v>170</v>
      </c>
      <c r="H4" s="48"/>
      <c r="I4" s="52" t="s">
        <v>169</v>
      </c>
      <c r="J4" s="52" t="s">
        <v>171</v>
      </c>
      <c r="K4" s="48"/>
      <c r="L4" s="48"/>
      <c r="M4" s="48"/>
      <c r="N4" s="48"/>
      <c r="O4" s="48"/>
      <c r="P4" s="48"/>
      <c r="Q4" s="48"/>
      <c r="R4" s="48"/>
      <c r="S4" s="48"/>
      <c r="T4" s="48"/>
      <c r="U4" s="48"/>
      <c r="V4" s="48"/>
    </row>
    <row r="5" spans="1:22" ht="15.75" customHeight="1">
      <c r="B5" s="193" t="s">
        <v>172</v>
      </c>
      <c r="C5" s="27" t="s">
        <v>119</v>
      </c>
      <c r="D5" s="193">
        <v>12</v>
      </c>
      <c r="E5" s="34">
        <v>500</v>
      </c>
      <c r="F5" s="34">
        <f>D5*E5</f>
        <v>6000</v>
      </c>
      <c r="G5" s="34">
        <f>F5*$M$8</f>
        <v>72000</v>
      </c>
      <c r="I5" s="37">
        <f t="shared" ref="I5:J7" si="0">F5/$M$6</f>
        <v>1.6304347826086956</v>
      </c>
      <c r="J5" s="37">
        <f>G5/$M$6</f>
        <v>19.565217391304348</v>
      </c>
      <c r="L5" s="33" t="s">
        <v>173</v>
      </c>
      <c r="M5" s="33">
        <v>2</v>
      </c>
    </row>
    <row r="6" spans="1:22" ht="15.75" customHeight="1">
      <c r="B6" s="193" t="s">
        <v>174</v>
      </c>
      <c r="C6" s="193" t="s">
        <v>175</v>
      </c>
      <c r="D6" s="193">
        <v>2</v>
      </c>
      <c r="E6" s="34">
        <v>15000</v>
      </c>
      <c r="F6" s="34">
        <f>G6/M8</f>
        <v>10000</v>
      </c>
      <c r="G6" s="34">
        <f>D6*M7*E6</f>
        <v>120000</v>
      </c>
      <c r="I6" s="37">
        <f t="shared" si="0"/>
        <v>2.7173913043478262</v>
      </c>
      <c r="J6" s="37">
        <f t="shared" si="0"/>
        <v>32.608695652173914</v>
      </c>
      <c r="L6" s="33" t="s">
        <v>176</v>
      </c>
      <c r="M6" s="33">
        <v>3680</v>
      </c>
    </row>
    <row r="7" spans="1:22" ht="15.75" customHeight="1">
      <c r="B7" s="193" t="s">
        <v>177</v>
      </c>
      <c r="C7" s="193" t="s">
        <v>96</v>
      </c>
      <c r="D7" s="193">
        <v>2</v>
      </c>
      <c r="E7" s="34">
        <f>'VectorCam Cost-Depreciation'!E5</f>
        <v>867008</v>
      </c>
      <c r="F7" s="34">
        <f>D7*'VectorCam Cost-Depreciation'!H5</f>
        <v>14450.133333333333</v>
      </c>
      <c r="G7" s="34">
        <f>'VectorCam Cost-Depreciation'!I5*'Sensitivity analysis CDC light '!D7</f>
        <v>173401.60000000001</v>
      </c>
      <c r="I7" s="37">
        <f t="shared" si="0"/>
        <v>3.9266666666666667</v>
      </c>
      <c r="J7" s="37">
        <f>G7/$M$6</f>
        <v>47.120000000000005</v>
      </c>
      <c r="L7" s="33" t="s">
        <v>178</v>
      </c>
      <c r="M7" s="33">
        <v>4</v>
      </c>
    </row>
    <row r="8" spans="1:22" ht="15.75" customHeight="1">
      <c r="B8" s="53" t="s">
        <v>43</v>
      </c>
      <c r="C8" s="54"/>
      <c r="D8" s="53"/>
      <c r="E8" s="53"/>
      <c r="F8" s="55">
        <f t="shared" ref="F8:G8" si="1">SUM(F5:F7)</f>
        <v>30450.133333333331</v>
      </c>
      <c r="G8" s="55">
        <f t="shared" si="1"/>
        <v>365401.59999999998</v>
      </c>
      <c r="H8" s="53"/>
      <c r="I8" s="56">
        <f>SUM(I5:I7)</f>
        <v>8.2744927536231891</v>
      </c>
      <c r="J8" s="56">
        <f>SUM(J5:J7)</f>
        <v>99.29391304347827</v>
      </c>
      <c r="L8" s="33" t="s">
        <v>179</v>
      </c>
      <c r="M8" s="33">
        <v>12</v>
      </c>
    </row>
    <row r="9" spans="1:22" ht="15.75" customHeight="1">
      <c r="B9" s="57" t="s">
        <v>180</v>
      </c>
      <c r="C9" s="58"/>
      <c r="D9" s="58"/>
      <c r="E9" s="58"/>
      <c r="F9" s="59">
        <f>F8+F$33</f>
        <v>1304683.4666666666</v>
      </c>
      <c r="G9" s="59">
        <f>G8+G$33</f>
        <v>15656201.6</v>
      </c>
      <c r="H9" s="60">
        <f>H8+H32</f>
        <v>0</v>
      </c>
      <c r="I9" s="61">
        <f>I8+I$33</f>
        <v>354.53355072463768</v>
      </c>
      <c r="J9" s="61">
        <f>J8+J$33</f>
        <v>4254.4026086956519</v>
      </c>
      <c r="L9" s="33" t="s">
        <v>181</v>
      </c>
      <c r="M9" s="33">
        <v>24</v>
      </c>
    </row>
    <row r="10" spans="1:22" ht="15.75" customHeight="1">
      <c r="B10" s="193" t="s">
        <v>182</v>
      </c>
      <c r="C10" s="193" t="s">
        <v>183</v>
      </c>
      <c r="L10" s="33" t="s">
        <v>184</v>
      </c>
      <c r="M10" s="33">
        <v>60</v>
      </c>
    </row>
    <row r="11" spans="1:22" ht="15.75" customHeight="1">
      <c r="L11" s="33" t="s">
        <v>185</v>
      </c>
      <c r="M11" s="33">
        <v>5</v>
      </c>
    </row>
    <row r="12" spans="1:22" ht="35.25" customHeight="1">
      <c r="B12" s="49" t="s">
        <v>186</v>
      </c>
      <c r="C12" s="50" t="s">
        <v>85</v>
      </c>
      <c r="D12" s="51" t="s">
        <v>167</v>
      </c>
      <c r="E12" s="51" t="s">
        <v>168</v>
      </c>
      <c r="F12" s="62" t="s">
        <v>169</v>
      </c>
      <c r="G12" s="52" t="s">
        <v>170</v>
      </c>
      <c r="H12" s="48"/>
      <c r="I12" s="52" t="s">
        <v>169</v>
      </c>
      <c r="J12" s="52" t="s">
        <v>171</v>
      </c>
      <c r="L12" t="s">
        <v>187</v>
      </c>
    </row>
    <row r="13" spans="1:22" ht="15.75" customHeight="1">
      <c r="B13" s="193" t="s">
        <v>188</v>
      </c>
      <c r="C13" s="193" t="s">
        <v>189</v>
      </c>
      <c r="D13" s="193">
        <v>1</v>
      </c>
      <c r="E13" s="34">
        <v>205000</v>
      </c>
      <c r="F13" s="38">
        <f>G13/M8</f>
        <v>68333.333333333328</v>
      </c>
      <c r="G13" s="34">
        <f>D13*E13*M7</f>
        <v>820000</v>
      </c>
      <c r="I13" s="234">
        <f t="shared" ref="I13:J17" si="2">F13/$M$6</f>
        <v>18.568840579710145</v>
      </c>
      <c r="J13" s="37">
        <f t="shared" si="2"/>
        <v>222.82608695652175</v>
      </c>
      <c r="K13" t="s">
        <v>190</v>
      </c>
    </row>
    <row r="14" spans="1:22" ht="15.75" customHeight="1">
      <c r="B14" s="193" t="s">
        <v>191</v>
      </c>
      <c r="C14" s="193" t="s">
        <v>76</v>
      </c>
      <c r="D14" s="193">
        <v>6</v>
      </c>
      <c r="E14" s="34">
        <f>'VectorCam Cost-Depreciation'!D6*'Sensitivity analysis CDC light '!M6</f>
        <v>245676.80000000002</v>
      </c>
      <c r="F14" s="34">
        <f>'VectorCam Cost-Depreciation'!H6*'Sensitivity analysis CDC light '!D14</f>
        <v>40946.133333333331</v>
      </c>
      <c r="G14" s="34">
        <f>'VectorCam Cost-Depreciation'!I6*'Sensitivity analysis CDC light '!D14</f>
        <v>491353.59999999998</v>
      </c>
      <c r="I14" s="37">
        <f t="shared" si="2"/>
        <v>11.126666666666667</v>
      </c>
      <c r="J14" s="37">
        <f t="shared" si="2"/>
        <v>133.51999999999998</v>
      </c>
    </row>
    <row r="15" spans="1:22" ht="15.75" customHeight="1">
      <c r="B15" s="193" t="s">
        <v>192</v>
      </c>
      <c r="C15" s="193" t="s">
        <v>193</v>
      </c>
      <c r="D15" s="193">
        <v>6</v>
      </c>
      <c r="E15" s="34">
        <f>'VectorCam Cost-Depreciation'!F34*'VectorCam Cost-Depreciation'!L5</f>
        <v>139840</v>
      </c>
      <c r="F15" s="34">
        <f>'VectorCam Cost-Depreciation'!I19</f>
        <v>13984</v>
      </c>
      <c r="G15" s="34">
        <f>'VectorCam Cost-Depreciation'!J19</f>
        <v>167808</v>
      </c>
      <c r="I15" s="234">
        <f>F15/$M$6</f>
        <v>3.8</v>
      </c>
      <c r="J15" s="37">
        <f t="shared" si="2"/>
        <v>45.6</v>
      </c>
      <c r="K15" t="s">
        <v>194</v>
      </c>
    </row>
    <row r="16" spans="1:22" ht="15.75" customHeight="1">
      <c r="B16" s="193" t="s">
        <v>192</v>
      </c>
      <c r="C16" s="193" t="s">
        <v>195</v>
      </c>
      <c r="D16" s="193">
        <v>6</v>
      </c>
      <c r="E16" s="34">
        <f>'VectorCam Cost-Depreciation'!E7</f>
        <v>22594</v>
      </c>
      <c r="F16" s="34">
        <f>'VectorCam Cost-Depreciation'!I20</f>
        <v>2259.4</v>
      </c>
      <c r="G16" s="34">
        <f>'VectorCam Cost-Depreciation'!J20</f>
        <v>27112.800000000003</v>
      </c>
      <c r="I16" s="37">
        <f t="shared" si="2"/>
        <v>0.61396739130434785</v>
      </c>
      <c r="J16" s="37">
        <f t="shared" si="2"/>
        <v>7.3676086956521747</v>
      </c>
    </row>
    <row r="17" spans="2:12" ht="15.75" customHeight="1">
      <c r="B17" s="193" t="s">
        <v>120</v>
      </c>
      <c r="C17" s="193" t="s">
        <v>196</v>
      </c>
      <c r="D17" s="193">
        <v>6</v>
      </c>
      <c r="E17" s="34">
        <v>10000</v>
      </c>
      <c r="F17" s="34">
        <f t="shared" ref="F17" si="3">D17*E17</f>
        <v>60000</v>
      </c>
      <c r="G17" s="34">
        <f>F17*M8</f>
        <v>720000</v>
      </c>
      <c r="I17" s="37">
        <f t="shared" si="2"/>
        <v>16.304347826086957</v>
      </c>
      <c r="J17" s="37">
        <f t="shared" si="2"/>
        <v>195.65217391304347</v>
      </c>
    </row>
    <row r="18" spans="2:12" ht="15.75" customHeight="1">
      <c r="B18" s="193" t="s">
        <v>120</v>
      </c>
      <c r="C18" s="193" t="s">
        <v>82</v>
      </c>
      <c r="D18" s="193">
        <v>1</v>
      </c>
      <c r="E18" s="34">
        <f>'VectorCam Cost-Depreciation'!F22</f>
        <v>32079.563636363633</v>
      </c>
      <c r="F18" s="89">
        <f>E18*D18</f>
        <v>32079.563636363633</v>
      </c>
      <c r="G18" s="34">
        <f>'VectorCam Cost-Depreciation'!J22</f>
        <v>384954.76363636367</v>
      </c>
      <c r="I18" s="234">
        <f>'VectorCam Service Fee&amp;Cloud'!I15</f>
        <v>8.7172727272727268</v>
      </c>
      <c r="J18" s="37">
        <f>'VectorCam Service Fee&amp;Cloud'!J15</f>
        <v>104.60727272727273</v>
      </c>
      <c r="K18" t="s">
        <v>197</v>
      </c>
    </row>
    <row r="19" spans="2:12" ht="15.75" customHeight="1">
      <c r="B19" t="s">
        <v>198</v>
      </c>
      <c r="C19" t="s">
        <v>199</v>
      </c>
      <c r="D19">
        <v>1</v>
      </c>
      <c r="E19" s="34">
        <f>'VectorCam Cost-Depreciation'!F23</f>
        <v>48300</v>
      </c>
      <c r="F19" s="89">
        <f>'VectorCam Service Fee&amp;Cloud'!F17</f>
        <v>48300</v>
      </c>
      <c r="G19" s="34">
        <f>'VectorCam Service Fee&amp;Cloud'!G17</f>
        <v>579600</v>
      </c>
      <c r="I19" s="234">
        <f>'VectorCam Service Fee&amp;Cloud'!I17</f>
        <v>13.125</v>
      </c>
      <c r="J19" s="37">
        <f>'VectorCam Service Fee&amp;Cloud'!J17</f>
        <v>157.5</v>
      </c>
      <c r="K19" t="s">
        <v>200</v>
      </c>
    </row>
    <row r="20" spans="2:12" ht="15.75" customHeight="1">
      <c r="B20" s="53" t="s">
        <v>43</v>
      </c>
      <c r="C20" s="54"/>
      <c r="D20" s="53"/>
      <c r="E20" s="53"/>
      <c r="F20" s="55">
        <f>SUM(F13:F19)</f>
        <v>265902.4303030303</v>
      </c>
      <c r="G20" s="55">
        <f>SUM(G13:G19)</f>
        <v>3190829.163636364</v>
      </c>
      <c r="H20" s="53"/>
      <c r="I20" s="56">
        <f>SUM(I13:I19)</f>
        <v>72.256095191040842</v>
      </c>
      <c r="J20" s="56">
        <f>SUM(J13:J19)</f>
        <v>867.07314229249016</v>
      </c>
      <c r="L20" s="37"/>
    </row>
    <row r="21" spans="2:12" ht="15.75" customHeight="1">
      <c r="B21" s="57" t="s">
        <v>180</v>
      </c>
      <c r="C21" s="58"/>
      <c r="D21" s="58"/>
      <c r="E21" s="58"/>
      <c r="F21" s="59">
        <f>F20+F33</f>
        <v>1540135.7636363637</v>
      </c>
      <c r="G21" s="59">
        <f>G20+G33</f>
        <v>18481629.163636364</v>
      </c>
      <c r="H21" s="60">
        <f>H20+H32</f>
        <v>0</v>
      </c>
      <c r="I21" s="61">
        <f>I20+I33</f>
        <v>418.51515316205536</v>
      </c>
      <c r="J21" s="61">
        <f>J20+J33</f>
        <v>5022.181837944664</v>
      </c>
      <c r="K21" s="129">
        <f>J21-J9</f>
        <v>767.77922924901213</v>
      </c>
    </row>
    <row r="22" spans="2:12" ht="15.75" customHeight="1">
      <c r="B22" s="193" t="s">
        <v>182</v>
      </c>
      <c r="C22" s="193" t="s">
        <v>201</v>
      </c>
    </row>
    <row r="23" spans="2:12" ht="15.75" customHeight="1"/>
    <row r="24" spans="2:12" ht="15.75" customHeight="1">
      <c r="F24" s="473" t="s">
        <v>164</v>
      </c>
      <c r="G24" s="477"/>
      <c r="H24" s="33"/>
      <c r="I24" s="472" t="s">
        <v>165</v>
      </c>
      <c r="J24" s="477"/>
    </row>
    <row r="25" spans="2:12" ht="36.75" customHeight="1">
      <c r="B25" s="471" t="s">
        <v>202</v>
      </c>
      <c r="C25" s="478"/>
      <c r="D25" s="33"/>
      <c r="E25" s="144"/>
      <c r="F25" s="202" t="s">
        <v>169</v>
      </c>
      <c r="G25" s="202" t="s">
        <v>170</v>
      </c>
      <c r="I25" s="62" t="s">
        <v>169</v>
      </c>
      <c r="J25" s="62" t="s">
        <v>171</v>
      </c>
    </row>
    <row r="26" spans="2:12" ht="15.75" customHeight="1">
      <c r="B26" s="33" t="str">
        <f>B42</f>
        <v xml:space="preserve">Monthly Subtotal </v>
      </c>
      <c r="C26" s="33"/>
      <c r="D26" s="201"/>
      <c r="E26" s="63"/>
      <c r="F26" s="42">
        <f>F42</f>
        <v>600000</v>
      </c>
      <c r="G26" s="42">
        <f>G42</f>
        <v>7200000</v>
      </c>
      <c r="I26" s="41">
        <f t="shared" ref="I26" si="4">I42</f>
        <v>163.04347826086956</v>
      </c>
      <c r="J26" s="41">
        <f>J42</f>
        <v>1956.5217391304348</v>
      </c>
      <c r="K26" s="394"/>
    </row>
    <row r="27" spans="2:12" ht="15.75" customHeight="1">
      <c r="B27" s="33" t="str">
        <f>B54</f>
        <v xml:space="preserve">Quarter Subtotal </v>
      </c>
      <c r="C27" s="33"/>
      <c r="D27" s="201"/>
      <c r="E27" s="42"/>
      <c r="F27" s="206">
        <f>G55</f>
        <v>320633.33333333331</v>
      </c>
      <c r="G27" s="206">
        <f t="shared" ref="G27" si="5">G54</f>
        <v>3847600</v>
      </c>
      <c r="I27" s="207">
        <f>J55</f>
        <v>87.128623188405797</v>
      </c>
      <c r="J27" s="207">
        <f>J54</f>
        <v>1045.5434782608695</v>
      </c>
      <c r="K27" s="394"/>
    </row>
    <row r="28" spans="2:12" ht="15.75" customHeight="1">
      <c r="B28" s="33" t="str">
        <f>B64</f>
        <v xml:space="preserve">Bi-Annual Subtotal </v>
      </c>
      <c r="C28" s="33"/>
      <c r="D28" s="201"/>
      <c r="E28" s="205"/>
      <c r="F28" s="42">
        <f>G65</f>
        <v>50000</v>
      </c>
      <c r="G28" s="64">
        <f>G64</f>
        <v>600000</v>
      </c>
      <c r="I28" s="41">
        <f>J65</f>
        <v>13.586956521739133</v>
      </c>
      <c r="J28" s="41">
        <f>J64</f>
        <v>163.04347826086959</v>
      </c>
      <c r="K28" s="394"/>
    </row>
    <row r="29" spans="2:12" ht="15.75" customHeight="1">
      <c r="B29" s="296" t="s">
        <v>203</v>
      </c>
      <c r="C29" s="297"/>
      <c r="D29" s="296"/>
      <c r="E29" s="298"/>
      <c r="F29" s="299">
        <f>SUM(F26:F28)</f>
        <v>970633.33333333326</v>
      </c>
      <c r="G29" s="299">
        <f>SUM(G26:G28)</f>
        <v>11647600</v>
      </c>
      <c r="H29" s="296"/>
      <c r="I29" s="300">
        <f>SUM(I26:I28)</f>
        <v>263.7590579710145</v>
      </c>
      <c r="J29" s="300">
        <f>SUM(J26:J28)</f>
        <v>3165.1086956521735</v>
      </c>
      <c r="K29" s="394"/>
    </row>
    <row r="30" spans="2:12" ht="15.75" customHeight="1">
      <c r="B30" s="33" t="s">
        <v>204</v>
      </c>
      <c r="C30" s="33"/>
      <c r="D30" s="201"/>
      <c r="E30" s="205"/>
      <c r="F30" s="42">
        <f>G70</f>
        <v>303600</v>
      </c>
      <c r="G30" s="64">
        <f>G69</f>
        <v>3643200</v>
      </c>
      <c r="I30" s="41">
        <f>J70</f>
        <v>82.5</v>
      </c>
      <c r="J30" s="41">
        <f>J69</f>
        <v>990</v>
      </c>
      <c r="K30" s="394"/>
    </row>
    <row r="31" spans="2:12" ht="15.75" customHeight="1">
      <c r="B31" s="285" t="s">
        <v>205</v>
      </c>
      <c r="C31" s="33"/>
      <c r="D31" s="201"/>
      <c r="E31" s="291"/>
      <c r="F31" s="292">
        <f>F76</f>
        <v>0</v>
      </c>
      <c r="G31" s="293">
        <f>G76</f>
        <v>0</v>
      </c>
      <c r="I31" s="294">
        <f>I76</f>
        <v>0</v>
      </c>
      <c r="J31" s="294">
        <f>J76</f>
        <v>0</v>
      </c>
      <c r="K31" s="394"/>
    </row>
    <row r="32" spans="2:12" ht="15.75" customHeight="1">
      <c r="B32" s="295" t="s">
        <v>206</v>
      </c>
      <c r="C32" s="54"/>
      <c r="D32" s="53"/>
      <c r="E32" s="203"/>
      <c r="F32" s="204">
        <f>SUM(F30:F31)</f>
        <v>303600</v>
      </c>
      <c r="G32" s="204">
        <f>SUM(G30:G31)</f>
        <v>3643200</v>
      </c>
      <c r="H32" s="53"/>
      <c r="I32" s="208">
        <f>SUM(I30:I31)</f>
        <v>82.5</v>
      </c>
      <c r="J32" s="208">
        <f>SUM(J30:J31)</f>
        <v>990</v>
      </c>
      <c r="K32" s="394"/>
    </row>
    <row r="33" spans="2:12" ht="15.75" customHeight="1">
      <c r="B33" s="57" t="s">
        <v>207</v>
      </c>
      <c r="C33" s="58"/>
      <c r="D33" s="58"/>
      <c r="E33" s="58"/>
      <c r="F33" s="59">
        <f>SUM(F29+F32)</f>
        <v>1274233.3333333333</v>
      </c>
      <c r="G33" s="59">
        <f>SUM(G29+G32)</f>
        <v>15290800</v>
      </c>
      <c r="H33" s="60"/>
      <c r="I33" s="61">
        <f>SUM(I29+I32)</f>
        <v>346.2590579710145</v>
      </c>
      <c r="J33" s="61">
        <f>SUM(J29+J32)</f>
        <v>4155.108695652174</v>
      </c>
      <c r="K33" s="394"/>
      <c r="L33" s="89"/>
    </row>
    <row r="34" spans="2:12" ht="15.75" customHeight="1"/>
    <row r="35" spans="2:12" ht="15.75" customHeight="1"/>
    <row r="36" spans="2:12" ht="15.75" customHeight="1">
      <c r="B36" s="65" t="s">
        <v>208</v>
      </c>
      <c r="C36" s="66"/>
      <c r="D36" s="66"/>
      <c r="E36" s="66"/>
      <c r="F36" s="72" t="s">
        <v>164</v>
      </c>
      <c r="G36" s="71"/>
      <c r="H36" s="66"/>
      <c r="I36" s="472" t="s">
        <v>165</v>
      </c>
      <c r="J36" s="477"/>
    </row>
    <row r="37" spans="2:12" ht="33.75" customHeight="1">
      <c r="B37" s="50" t="s">
        <v>209</v>
      </c>
      <c r="C37" s="50" t="s">
        <v>85</v>
      </c>
      <c r="D37" s="73" t="s">
        <v>167</v>
      </c>
      <c r="E37" s="51" t="s">
        <v>168</v>
      </c>
      <c r="F37" s="52" t="s">
        <v>169</v>
      </c>
      <c r="G37" s="52" t="s">
        <v>170</v>
      </c>
      <c r="H37" s="66"/>
      <c r="I37" s="52" t="s">
        <v>169</v>
      </c>
      <c r="J37" s="52" t="s">
        <v>171</v>
      </c>
    </row>
    <row r="38" spans="2:12" ht="14.25" customHeight="1">
      <c r="B38" s="439" t="s">
        <v>210</v>
      </c>
      <c r="C38" s="439" t="s">
        <v>211</v>
      </c>
      <c r="D38" s="439">
        <v>36</v>
      </c>
      <c r="E38" s="32"/>
      <c r="F38" s="34">
        <f>D38*E38</f>
        <v>0</v>
      </c>
      <c r="G38" s="34">
        <f>F38*$M$8</f>
        <v>0</v>
      </c>
      <c r="I38" s="37">
        <f t="shared" ref="I38:J41" si="6">F38/$M$6</f>
        <v>0</v>
      </c>
      <c r="J38" s="37">
        <f t="shared" si="6"/>
        <v>0</v>
      </c>
    </row>
    <row r="39" spans="2:12" ht="14.25" customHeight="1">
      <c r="B39" s="439" t="s">
        <v>212</v>
      </c>
      <c r="C39" s="439" t="s">
        <v>213</v>
      </c>
      <c r="D39" s="439">
        <v>0</v>
      </c>
      <c r="E39" s="32">
        <v>25000</v>
      </c>
      <c r="F39" s="34">
        <f t="shared" ref="F39:F41" si="7">D39*E39</f>
        <v>0</v>
      </c>
      <c r="G39" s="34">
        <f>F39*$M$8</f>
        <v>0</v>
      </c>
      <c r="I39" s="37">
        <f t="shared" si="6"/>
        <v>0</v>
      </c>
      <c r="J39" s="37">
        <f t="shared" si="6"/>
        <v>0</v>
      </c>
    </row>
    <row r="40" spans="2:12" ht="14.25" customHeight="1">
      <c r="B40" s="193" t="s">
        <v>214</v>
      </c>
      <c r="C40" s="193" t="s">
        <v>215</v>
      </c>
      <c r="D40" s="193">
        <f>2</f>
        <v>2</v>
      </c>
      <c r="E40" s="32">
        <v>75000</v>
      </c>
      <c r="F40" s="34">
        <f t="shared" si="7"/>
        <v>150000</v>
      </c>
      <c r="G40" s="34">
        <f>F40*$M$8</f>
        <v>1800000</v>
      </c>
      <c r="I40" s="37">
        <f t="shared" si="6"/>
        <v>40.760869565217391</v>
      </c>
      <c r="J40" s="37">
        <f t="shared" si="6"/>
        <v>489.13043478260869</v>
      </c>
    </row>
    <row r="41" spans="2:12" ht="14.25" customHeight="1">
      <c r="B41" s="193" t="s">
        <v>216</v>
      </c>
      <c r="C41" s="193" t="s">
        <v>217</v>
      </c>
      <c r="D41" s="193">
        <v>3</v>
      </c>
      <c r="E41" s="32">
        <v>150000</v>
      </c>
      <c r="F41" s="34">
        <f t="shared" si="7"/>
        <v>450000</v>
      </c>
      <c r="G41" s="34">
        <f>F41*$M$8</f>
        <v>5400000</v>
      </c>
      <c r="I41" s="37">
        <f t="shared" si="6"/>
        <v>122.28260869565217</v>
      </c>
      <c r="J41" s="37">
        <f t="shared" si="6"/>
        <v>1467.391304347826</v>
      </c>
    </row>
    <row r="42" spans="2:12" ht="14.25" customHeight="1">
      <c r="B42" s="67" t="s">
        <v>218</v>
      </c>
      <c r="C42" s="68"/>
      <c r="D42" s="68"/>
      <c r="E42" s="69">
        <f t="shared" ref="E42:F42" si="8">SUM(E38:E41)</f>
        <v>250000</v>
      </c>
      <c r="F42" s="69">
        <f t="shared" si="8"/>
        <v>600000</v>
      </c>
      <c r="G42" s="69">
        <f>SUM(G38:G41)</f>
        <v>7200000</v>
      </c>
      <c r="I42" s="70">
        <f t="shared" ref="I42" si="9">SUM(I38:I41)</f>
        <v>163.04347826086956</v>
      </c>
      <c r="J42" s="70">
        <f>SUM(J38:J41)</f>
        <v>1956.5217391304348</v>
      </c>
    </row>
    <row r="43" spans="2:12" ht="14.25" customHeight="1"/>
    <row r="44" spans="2:12" ht="33" customHeight="1">
      <c r="B44" s="50" t="s">
        <v>219</v>
      </c>
      <c r="C44" s="50" t="s">
        <v>85</v>
      </c>
      <c r="D44" s="51" t="s">
        <v>167</v>
      </c>
      <c r="E44" s="51" t="s">
        <v>168</v>
      </c>
      <c r="F44" s="52" t="s">
        <v>220</v>
      </c>
      <c r="G44" s="52" t="s">
        <v>170</v>
      </c>
      <c r="H44" s="48"/>
      <c r="I44" s="52" t="s">
        <v>221</v>
      </c>
      <c r="J44" s="52" t="s">
        <v>170</v>
      </c>
    </row>
    <row r="45" spans="2:12" ht="14.25" customHeight="1">
      <c r="B45" s="195" t="s">
        <v>222</v>
      </c>
      <c r="C45" s="193" t="s">
        <v>223</v>
      </c>
      <c r="D45" s="193">
        <v>6</v>
      </c>
      <c r="E45" s="32">
        <v>14400</v>
      </c>
      <c r="F45" s="34">
        <f>D45*E45</f>
        <v>86400</v>
      </c>
      <c r="G45" s="34">
        <f t="shared" ref="G45:G53" si="10">F45*$M$7</f>
        <v>345600</v>
      </c>
      <c r="I45" s="37">
        <f>F45/$M$6</f>
        <v>23.478260869565219</v>
      </c>
      <c r="J45" s="37">
        <f>G45/$M$6</f>
        <v>93.913043478260875</v>
      </c>
    </row>
    <row r="46" spans="2:12" ht="14.25" customHeight="1">
      <c r="B46" s="193" t="s">
        <v>224</v>
      </c>
      <c r="C46" s="193" t="s">
        <v>225</v>
      </c>
      <c r="D46" s="193">
        <v>3</v>
      </c>
      <c r="E46" s="32">
        <v>10000</v>
      </c>
      <c r="F46" s="34">
        <f t="shared" ref="F46:F53" si="11">D46*E46</f>
        <v>30000</v>
      </c>
      <c r="G46" s="34">
        <f t="shared" si="10"/>
        <v>120000</v>
      </c>
      <c r="I46" s="37">
        <f t="shared" ref="I46:J53" si="12">F46/$M$6</f>
        <v>8.1521739130434785</v>
      </c>
      <c r="J46" s="37">
        <f t="shared" si="12"/>
        <v>32.608695652173914</v>
      </c>
    </row>
    <row r="47" spans="2:12" ht="14.25" customHeight="1">
      <c r="B47" s="193" t="s">
        <v>224</v>
      </c>
      <c r="C47" s="193" t="s">
        <v>226</v>
      </c>
      <c r="D47" s="193">
        <v>3</v>
      </c>
      <c r="E47" s="32">
        <v>3500</v>
      </c>
      <c r="F47" s="34">
        <f t="shared" si="11"/>
        <v>10500</v>
      </c>
      <c r="G47" s="34">
        <f t="shared" si="10"/>
        <v>42000</v>
      </c>
      <c r="I47" s="37">
        <f t="shared" si="12"/>
        <v>2.8532608695652173</v>
      </c>
      <c r="J47" s="37">
        <f t="shared" si="12"/>
        <v>11.413043478260869</v>
      </c>
    </row>
    <row r="48" spans="2:12" ht="14.25" customHeight="1">
      <c r="B48" s="193" t="s">
        <v>224</v>
      </c>
      <c r="C48" s="193" t="s">
        <v>227</v>
      </c>
      <c r="D48" s="193">
        <v>2</v>
      </c>
      <c r="E48" s="32">
        <v>25000</v>
      </c>
      <c r="F48" s="34">
        <f t="shared" si="11"/>
        <v>50000</v>
      </c>
      <c r="G48" s="34">
        <f t="shared" si="10"/>
        <v>200000</v>
      </c>
      <c r="I48" s="37">
        <f t="shared" si="12"/>
        <v>13.586956521739131</v>
      </c>
      <c r="J48" s="37">
        <f t="shared" si="12"/>
        <v>54.347826086956523</v>
      </c>
    </row>
    <row r="49" spans="2:10" ht="14.25" customHeight="1">
      <c r="B49" s="193" t="s">
        <v>228</v>
      </c>
      <c r="C49" s="193" t="s">
        <v>229</v>
      </c>
      <c r="D49" s="193">
        <v>3</v>
      </c>
      <c r="E49" s="32">
        <v>30000</v>
      </c>
      <c r="F49" s="34">
        <f t="shared" si="11"/>
        <v>90000</v>
      </c>
      <c r="G49" s="34">
        <f t="shared" si="10"/>
        <v>360000</v>
      </c>
      <c r="I49" s="37">
        <f t="shared" si="12"/>
        <v>24.456521739130434</v>
      </c>
      <c r="J49" s="37">
        <f t="shared" si="12"/>
        <v>97.826086956521735</v>
      </c>
    </row>
    <row r="50" spans="2:10" ht="14.25" customHeight="1">
      <c r="B50" s="193" t="s">
        <v>228</v>
      </c>
      <c r="C50" s="193" t="s">
        <v>230</v>
      </c>
      <c r="D50" s="193">
        <v>3</v>
      </c>
      <c r="E50" s="32">
        <v>45000</v>
      </c>
      <c r="F50" s="34">
        <f t="shared" si="11"/>
        <v>135000</v>
      </c>
      <c r="G50" s="34">
        <f t="shared" si="10"/>
        <v>540000</v>
      </c>
      <c r="I50" s="37">
        <f t="shared" si="12"/>
        <v>36.684782608695649</v>
      </c>
      <c r="J50" s="37">
        <f t="shared" si="12"/>
        <v>146.7391304347826</v>
      </c>
    </row>
    <row r="51" spans="2:10" ht="14.25" customHeight="1">
      <c r="B51" s="193" t="s">
        <v>228</v>
      </c>
      <c r="C51" s="193" t="s">
        <v>231</v>
      </c>
      <c r="D51" s="193">
        <v>4</v>
      </c>
      <c r="E51" s="32">
        <v>85000</v>
      </c>
      <c r="F51" s="34">
        <f t="shared" si="11"/>
        <v>340000</v>
      </c>
      <c r="G51" s="34">
        <f t="shared" si="10"/>
        <v>1360000</v>
      </c>
      <c r="I51" s="37">
        <f t="shared" si="12"/>
        <v>92.391304347826093</v>
      </c>
      <c r="J51" s="37">
        <f t="shared" si="12"/>
        <v>369.56521739130437</v>
      </c>
    </row>
    <row r="52" spans="2:10" ht="14.25" customHeight="1">
      <c r="B52" s="193" t="s">
        <v>232</v>
      </c>
      <c r="C52" s="193" t="s">
        <v>233</v>
      </c>
      <c r="D52" s="193">
        <v>6</v>
      </c>
      <c r="E52" s="32">
        <v>20000</v>
      </c>
      <c r="F52" s="34">
        <f t="shared" si="11"/>
        <v>120000</v>
      </c>
      <c r="G52" s="34">
        <f t="shared" si="10"/>
        <v>480000</v>
      </c>
      <c r="I52" s="37">
        <f t="shared" si="12"/>
        <v>32.608695652173914</v>
      </c>
      <c r="J52" s="37">
        <f t="shared" si="12"/>
        <v>130.43478260869566</v>
      </c>
    </row>
    <row r="53" spans="2:10" ht="14.25" customHeight="1">
      <c r="C53" s="193" t="s">
        <v>234</v>
      </c>
      <c r="D53" s="193">
        <v>4</v>
      </c>
      <c r="E53" s="32">
        <v>25000</v>
      </c>
      <c r="F53" s="34">
        <f t="shared" si="11"/>
        <v>100000</v>
      </c>
      <c r="G53" s="34">
        <f t="shared" si="10"/>
        <v>400000</v>
      </c>
      <c r="I53" s="37">
        <f t="shared" si="12"/>
        <v>27.173913043478262</v>
      </c>
      <c r="J53" s="37">
        <f t="shared" si="12"/>
        <v>108.69565217391305</v>
      </c>
    </row>
    <row r="54" spans="2:10" ht="14.25" customHeight="1">
      <c r="B54" s="67" t="s">
        <v>235</v>
      </c>
      <c r="C54" s="68"/>
      <c r="D54" s="68"/>
      <c r="E54" s="69">
        <f t="shared" ref="E54:F54" si="13">SUM(E45:E53)</f>
        <v>257900</v>
      </c>
      <c r="F54" s="69">
        <f t="shared" si="13"/>
        <v>961900</v>
      </c>
      <c r="G54" s="69">
        <f>SUM(G45:G53)</f>
        <v>3847600</v>
      </c>
      <c r="I54" s="70">
        <f>SUM(I45:I53)</f>
        <v>261.38586956521738</v>
      </c>
      <c r="J54" s="70">
        <f>SUM(J45:J53)</f>
        <v>1045.5434782608695</v>
      </c>
    </row>
    <row r="55" spans="2:10" ht="14.25" customHeight="1">
      <c r="E55" s="32"/>
      <c r="F55" s="197" t="s">
        <v>236</v>
      </c>
      <c r="G55" s="198">
        <f>G54/$M$8</f>
        <v>320633.33333333331</v>
      </c>
      <c r="H55" s="191"/>
      <c r="I55" s="191"/>
      <c r="J55" s="199">
        <f>J54/$M$8</f>
        <v>87.128623188405797</v>
      </c>
    </row>
    <row r="56" spans="2:10" ht="14.25" customHeight="1">
      <c r="E56" s="32"/>
      <c r="F56" s="34"/>
    </row>
    <row r="57" spans="2:10" ht="36" customHeight="1">
      <c r="B57" s="50" t="s">
        <v>237</v>
      </c>
      <c r="C57" s="50" t="s">
        <v>85</v>
      </c>
      <c r="D57" s="51" t="s">
        <v>167</v>
      </c>
      <c r="E57" s="51" t="s">
        <v>168</v>
      </c>
      <c r="F57" s="52" t="s">
        <v>238</v>
      </c>
      <c r="G57" s="52" t="s">
        <v>239</v>
      </c>
      <c r="H57" s="48"/>
      <c r="I57" s="52" t="s">
        <v>238</v>
      </c>
      <c r="J57" s="52" t="s">
        <v>239</v>
      </c>
    </row>
    <row r="58" spans="2:10" ht="14.25" customHeight="1">
      <c r="B58" s="193" t="s">
        <v>240</v>
      </c>
      <c r="C58" s="193" t="s">
        <v>241</v>
      </c>
      <c r="D58" s="193">
        <f>24</f>
        <v>24</v>
      </c>
      <c r="E58" s="32">
        <v>6800</v>
      </c>
      <c r="F58" s="34">
        <f>D58*E58</f>
        <v>163200</v>
      </c>
      <c r="G58" s="34">
        <f>F58/$M$5</f>
        <v>81600</v>
      </c>
      <c r="I58" s="37">
        <f>F58/$M$6</f>
        <v>44.347826086956523</v>
      </c>
      <c r="J58" s="37">
        <f>G58/$M$6</f>
        <v>22.173913043478262</v>
      </c>
    </row>
    <row r="59" spans="2:10" ht="14.25" customHeight="1">
      <c r="B59" s="439" t="s">
        <v>242</v>
      </c>
      <c r="C59" s="439" t="s">
        <v>243</v>
      </c>
      <c r="D59" s="439">
        <v>0</v>
      </c>
      <c r="E59" s="32">
        <v>90000</v>
      </c>
      <c r="F59" s="34">
        <f t="shared" ref="F59:F63" si="14">D59*E59</f>
        <v>0</v>
      </c>
      <c r="G59" s="34">
        <f>F59/$M$5</f>
        <v>0</v>
      </c>
      <c r="I59" s="37">
        <f t="shared" ref="I59:J63" si="15">F59/$M$6</f>
        <v>0</v>
      </c>
      <c r="J59" s="37">
        <f t="shared" si="15"/>
        <v>0</v>
      </c>
    </row>
    <row r="60" spans="2:10" ht="14.25" customHeight="1">
      <c r="B60" s="193" t="s">
        <v>244</v>
      </c>
      <c r="C60" s="193" t="s">
        <v>245</v>
      </c>
      <c r="D60" s="193">
        <v>30</v>
      </c>
      <c r="E60" s="32">
        <v>23000</v>
      </c>
      <c r="F60" s="34">
        <f t="shared" si="14"/>
        <v>690000</v>
      </c>
      <c r="G60" s="34">
        <f>F60/$M$5</f>
        <v>345000</v>
      </c>
      <c r="I60" s="37">
        <f t="shared" si="15"/>
        <v>187.5</v>
      </c>
      <c r="J60" s="37">
        <f t="shared" si="15"/>
        <v>93.75</v>
      </c>
    </row>
    <row r="61" spans="2:10" ht="14.25" customHeight="1">
      <c r="B61" s="193" t="s">
        <v>246</v>
      </c>
      <c r="C61" s="193" t="s">
        <v>247</v>
      </c>
      <c r="D61" s="193">
        <v>6</v>
      </c>
      <c r="E61" s="32">
        <v>12000</v>
      </c>
      <c r="F61" s="34">
        <f t="shared" si="14"/>
        <v>72000</v>
      </c>
      <c r="G61" s="34">
        <f t="shared" ref="G61:G63" si="16">F61/$M$5</f>
        <v>36000</v>
      </c>
      <c r="I61" s="37">
        <f t="shared" si="15"/>
        <v>19.565217391304348</v>
      </c>
      <c r="J61" s="37">
        <f t="shared" si="15"/>
        <v>9.7826086956521738</v>
      </c>
    </row>
    <row r="62" spans="2:10" ht="14.25" customHeight="1">
      <c r="B62" s="193" t="s">
        <v>246</v>
      </c>
      <c r="C62" s="193" t="s">
        <v>248</v>
      </c>
      <c r="D62" s="193">
        <v>6</v>
      </c>
      <c r="E62" s="32">
        <v>35000</v>
      </c>
      <c r="F62" s="34">
        <f t="shared" si="14"/>
        <v>210000</v>
      </c>
      <c r="G62" s="34">
        <f t="shared" si="16"/>
        <v>105000</v>
      </c>
      <c r="I62" s="37">
        <f t="shared" si="15"/>
        <v>57.065217391304351</v>
      </c>
      <c r="J62" s="37">
        <f t="shared" si="15"/>
        <v>28.532608695652176</v>
      </c>
    </row>
    <row r="63" spans="2:10" ht="14.25" customHeight="1">
      <c r="B63" s="193" t="s">
        <v>249</v>
      </c>
      <c r="C63" s="193" t="s">
        <v>250</v>
      </c>
      <c r="D63" s="193">
        <v>6</v>
      </c>
      <c r="E63" s="32">
        <v>10800</v>
      </c>
      <c r="F63" s="34">
        <f t="shared" si="14"/>
        <v>64800</v>
      </c>
      <c r="G63" s="34">
        <f t="shared" si="16"/>
        <v>32400</v>
      </c>
      <c r="I63" s="37">
        <f t="shared" si="15"/>
        <v>17.608695652173914</v>
      </c>
      <c r="J63" s="37">
        <f t="shared" si="15"/>
        <v>8.804347826086957</v>
      </c>
    </row>
    <row r="64" spans="2:10" ht="14.25" customHeight="1">
      <c r="B64" s="67" t="s">
        <v>251</v>
      </c>
      <c r="C64" s="68"/>
      <c r="D64" s="68"/>
      <c r="E64" s="69">
        <f>SUM(E59:E63)</f>
        <v>170800</v>
      </c>
      <c r="F64" s="69">
        <f t="shared" ref="F64" si="17">SUM(F58:F63)</f>
        <v>1200000</v>
      </c>
      <c r="G64" s="69">
        <f>SUM(G58:G63)</f>
        <v>600000</v>
      </c>
      <c r="I64" s="70">
        <f>SUM(I58:I63)</f>
        <v>326.08695652173918</v>
      </c>
      <c r="J64" s="70">
        <f>SUM(J58:J63)</f>
        <v>163.04347826086959</v>
      </c>
    </row>
    <row r="65" spans="2:12" ht="14.25" customHeight="1">
      <c r="D65" s="193" t="s">
        <v>252</v>
      </c>
      <c r="F65" s="191"/>
      <c r="G65" s="200">
        <f>G64/$M$8</f>
        <v>50000</v>
      </c>
      <c r="H65" s="191"/>
      <c r="I65" s="191" t="s">
        <v>253</v>
      </c>
      <c r="J65" s="199">
        <f>J64/$M$8</f>
        <v>13.586956521739133</v>
      </c>
    </row>
    <row r="66" spans="2:12" ht="14.25" customHeight="1">
      <c r="G66" s="38"/>
    </row>
    <row r="67" spans="2:12" ht="38.25" customHeight="1">
      <c r="B67" s="50" t="s">
        <v>204</v>
      </c>
      <c r="C67" s="50" t="s">
        <v>85</v>
      </c>
      <c r="D67" s="51" t="s">
        <v>167</v>
      </c>
      <c r="E67" s="51" t="s">
        <v>168</v>
      </c>
      <c r="F67" s="52" t="s">
        <v>254</v>
      </c>
      <c r="G67" s="52" t="s">
        <v>239</v>
      </c>
      <c r="H67" s="48"/>
      <c r="I67" s="52" t="s">
        <v>254</v>
      </c>
      <c r="J67" s="52" t="s">
        <v>239</v>
      </c>
    </row>
    <row r="68" spans="2:12" ht="14.25" customHeight="1">
      <c r="B68" t="s">
        <v>255</v>
      </c>
      <c r="C68" t="s">
        <v>256</v>
      </c>
      <c r="D68">
        <v>30</v>
      </c>
      <c r="E68" s="32">
        <f>'VectorCam Cost-Depreciation'!D4*M6</f>
        <v>607200</v>
      </c>
      <c r="F68" s="89">
        <f>D68*E68</f>
        <v>18216000</v>
      </c>
      <c r="G68" s="89">
        <f>F68/M11</f>
        <v>3643200</v>
      </c>
      <c r="I68" s="37">
        <f>F68/$M$6</f>
        <v>4950</v>
      </c>
      <c r="J68" s="37">
        <f>G68/$M$6</f>
        <v>990</v>
      </c>
    </row>
    <row r="69" spans="2:12" ht="14.25" customHeight="1">
      <c r="B69" s="67" t="s">
        <v>257</v>
      </c>
      <c r="C69" s="68"/>
      <c r="D69" s="68"/>
      <c r="E69" s="69">
        <f>SUM(E68)</f>
        <v>607200</v>
      </c>
      <c r="F69" s="69">
        <f>SUM(F68)</f>
        <v>18216000</v>
      </c>
      <c r="G69" s="69">
        <f>SUM(G68)</f>
        <v>3643200</v>
      </c>
      <c r="I69" s="70">
        <f>SUM(I68)</f>
        <v>4950</v>
      </c>
      <c r="J69" s="70">
        <f>SUM(J68)</f>
        <v>990</v>
      </c>
    </row>
    <row r="70" spans="2:12" ht="14.25" customHeight="1">
      <c r="F70" s="191" t="s">
        <v>258</v>
      </c>
      <c r="G70" s="200">
        <f>G68/M8</f>
        <v>303600</v>
      </c>
      <c r="H70" s="191"/>
      <c r="I70" s="191" t="s">
        <v>253</v>
      </c>
      <c r="J70" s="199">
        <f>J68/$M$8</f>
        <v>82.5</v>
      </c>
    </row>
    <row r="71" spans="2:12" ht="14.25" customHeight="1"/>
    <row r="72" spans="2:12" ht="14.25" customHeight="1">
      <c r="G72" s="89"/>
    </row>
    <row r="73" spans="2:12" ht="14.25" customHeight="1">
      <c r="B73" s="65" t="s">
        <v>208</v>
      </c>
      <c r="C73" s="66"/>
      <c r="D73" s="66"/>
      <c r="E73" s="66"/>
      <c r="F73" s="72" t="s">
        <v>164</v>
      </c>
      <c r="G73" s="71"/>
      <c r="H73" s="66"/>
      <c r="I73" s="472" t="s">
        <v>165</v>
      </c>
      <c r="J73" s="477"/>
    </row>
    <row r="74" spans="2:12" ht="14.25" customHeight="1">
      <c r="B74" s="50" t="s">
        <v>209</v>
      </c>
      <c r="C74" s="50" t="s">
        <v>85</v>
      </c>
      <c r="D74" s="73" t="s">
        <v>167</v>
      </c>
      <c r="E74" s="51" t="s">
        <v>168</v>
      </c>
      <c r="F74" s="52" t="s">
        <v>169</v>
      </c>
      <c r="G74" s="52" t="s">
        <v>170</v>
      </c>
      <c r="H74" s="66"/>
      <c r="I74" s="52" t="s">
        <v>169</v>
      </c>
      <c r="J74" s="52" t="s">
        <v>171</v>
      </c>
    </row>
    <row r="75" spans="2:12" ht="14.25" customHeight="1">
      <c r="B75" t="s">
        <v>259</v>
      </c>
      <c r="C75" t="s">
        <v>260</v>
      </c>
      <c r="D75" s="193">
        <v>0</v>
      </c>
      <c r="E75" s="34">
        <f>17900</f>
        <v>17900</v>
      </c>
      <c r="F75" s="34">
        <f>D75*E75</f>
        <v>0</v>
      </c>
      <c r="G75" s="34">
        <f>F75*$M$8</f>
        <v>0</v>
      </c>
      <c r="I75" s="37">
        <f t="shared" ref="I75:J75" si="18">F75/$M$6</f>
        <v>0</v>
      </c>
      <c r="J75" s="37">
        <f t="shared" si="18"/>
        <v>0</v>
      </c>
      <c r="L75" t="s">
        <v>261</v>
      </c>
    </row>
    <row r="76" spans="2:12" ht="14.25" customHeight="1">
      <c r="E76" s="191" t="s">
        <v>258</v>
      </c>
      <c r="F76" s="198">
        <f>F75</f>
        <v>0</v>
      </c>
      <c r="G76" s="198">
        <f>G75</f>
        <v>0</v>
      </c>
      <c r="H76" s="191"/>
      <c r="I76" s="199">
        <f>I75</f>
        <v>0</v>
      </c>
      <c r="J76" s="199">
        <f>J75</f>
        <v>0</v>
      </c>
      <c r="L76" t="s">
        <v>262</v>
      </c>
    </row>
    <row r="77" spans="2:12" ht="14.25" customHeight="1"/>
    <row r="78" spans="2:12" ht="14.25" customHeight="1"/>
    <row r="79" spans="2:12" ht="14.25" customHeight="1">
      <c r="B79" s="193" t="s">
        <v>182</v>
      </c>
      <c r="C79" s="193" t="s">
        <v>263</v>
      </c>
    </row>
    <row r="80" spans="2:12"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sheetData>
  <mergeCells count="7">
    <mergeCell ref="B25:C25"/>
    <mergeCell ref="I36:J36"/>
    <mergeCell ref="I73:J73"/>
    <mergeCell ref="F3:G3"/>
    <mergeCell ref="I3:J3"/>
    <mergeCell ref="F24:G24"/>
    <mergeCell ref="I24:J24"/>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A03A8-3FF0-4261-A8E0-3CDFDA242CA7}">
  <sheetPr>
    <tabColor theme="9" tint="0.79998168889431442"/>
  </sheetPr>
  <dimension ref="B2:J81"/>
  <sheetViews>
    <sheetView topLeftCell="B1" workbookViewId="0">
      <selection activeCell="C10" sqref="C10"/>
    </sheetView>
  </sheetViews>
  <sheetFormatPr defaultRowHeight="15" customHeight="1"/>
  <cols>
    <col min="2" max="2" width="32.5703125" customWidth="1"/>
    <col min="3" max="3" width="23.5703125" customWidth="1"/>
    <col min="4" max="4" width="16.85546875" customWidth="1"/>
    <col min="5" max="5" width="23.42578125" customWidth="1"/>
    <col min="7" max="7" width="29.42578125" customWidth="1"/>
    <col min="8" max="8" width="20.140625" customWidth="1"/>
    <col min="9" max="9" width="12.7109375" customWidth="1"/>
  </cols>
  <sheetData>
    <row r="2" spans="2:10" ht="15" customHeight="1">
      <c r="B2" s="75" t="s">
        <v>264</v>
      </c>
      <c r="C2" s="76"/>
      <c r="D2" s="81"/>
      <c r="E2" s="75" t="s">
        <v>265</v>
      </c>
    </row>
    <row r="3" spans="2:10" ht="15" customHeight="1">
      <c r="B3" s="150" t="s">
        <v>10</v>
      </c>
      <c r="C3" s="150" t="s">
        <v>266</v>
      </c>
      <c r="D3" s="210" t="s">
        <v>267</v>
      </c>
      <c r="E3" s="85">
        <v>3680</v>
      </c>
      <c r="G3" s="29" t="s">
        <v>182</v>
      </c>
    </row>
    <row r="4" spans="2:10" ht="15" customHeight="1">
      <c r="B4" s="3" t="s">
        <v>268</v>
      </c>
      <c r="C4" s="87">
        <f>D4/$E$3</f>
        <v>5.4347826086956523</v>
      </c>
      <c r="D4" s="79">
        <v>20000</v>
      </c>
      <c r="E4" s="4"/>
      <c r="G4" s="31" t="s">
        <v>269</v>
      </c>
      <c r="H4" s="30" t="s">
        <v>270</v>
      </c>
    </row>
    <row r="5" spans="2:10" ht="15" customHeight="1">
      <c r="B5" s="3" t="s">
        <v>271</v>
      </c>
      <c r="C5" s="87">
        <f>D5/$E$3</f>
        <v>5.4347826086956523</v>
      </c>
      <c r="D5" s="79">
        <v>20000</v>
      </c>
      <c r="E5" s="4"/>
      <c r="H5" s="40" t="s">
        <v>272</v>
      </c>
    </row>
    <row r="6" spans="2:10" ht="15" customHeight="1">
      <c r="B6" s="150" t="s">
        <v>41</v>
      </c>
      <c r="C6" s="150" t="s">
        <v>266</v>
      </c>
      <c r="D6" s="210"/>
      <c r="E6" s="85"/>
      <c r="H6" t="s">
        <v>273</v>
      </c>
    </row>
    <row r="7" spans="2:10" ht="15" customHeight="1">
      <c r="B7" s="3" t="s">
        <v>53</v>
      </c>
      <c r="C7" s="87">
        <f>D7/$E$3</f>
        <v>3.2608695652173911</v>
      </c>
      <c r="D7" s="79">
        <v>12000</v>
      </c>
      <c r="E7" s="4"/>
    </row>
    <row r="8" spans="2:10" ht="15" customHeight="1">
      <c r="B8" s="3" t="s">
        <v>52</v>
      </c>
      <c r="C8" s="87">
        <f>D8/$E$3</f>
        <v>3.2608695652173911</v>
      </c>
      <c r="D8" s="79">
        <v>12000</v>
      </c>
      <c r="E8" s="4"/>
    </row>
    <row r="9" spans="2:10" ht="15" customHeight="1">
      <c r="B9" s="3" t="s">
        <v>54</v>
      </c>
      <c r="C9" s="87">
        <f>D9/$E$3</f>
        <v>3.2608695652173911</v>
      </c>
      <c r="D9" s="79">
        <v>12000</v>
      </c>
      <c r="E9" s="4"/>
    </row>
    <row r="10" spans="2:10" ht="15" customHeight="1">
      <c r="B10" s="3" t="s">
        <v>55</v>
      </c>
      <c r="C10" s="87">
        <f>D10/$E$3</f>
        <v>3.2608695652173911</v>
      </c>
      <c r="D10" s="79">
        <v>12000</v>
      </c>
      <c r="E10" s="4"/>
    </row>
    <row r="11" spans="2:10" ht="15" customHeight="1">
      <c r="B11" s="77" t="s">
        <v>274</v>
      </c>
      <c r="C11" s="88">
        <f>D11/$E$3</f>
        <v>3.2608695652173911</v>
      </c>
      <c r="D11" s="80">
        <v>12000</v>
      </c>
      <c r="E11" s="5"/>
    </row>
    <row r="13" spans="2:10" ht="15" customHeight="1">
      <c r="B13" s="2"/>
      <c r="J13" s="34"/>
    </row>
    <row r="14" spans="2:10" ht="15" customHeight="1">
      <c r="B14" s="193"/>
      <c r="J14" s="34"/>
    </row>
    <row r="15" spans="2:10" ht="15" customHeight="1">
      <c r="B15" s="1"/>
      <c r="J15" s="34"/>
    </row>
    <row r="16" spans="2:10" ht="15" customHeight="1">
      <c r="B16" s="27"/>
    </row>
    <row r="17" spans="2:4" ht="15" customHeight="1">
      <c r="B17" s="193"/>
    </row>
    <row r="18" spans="2:4" ht="15" customHeight="1">
      <c r="B18" s="193"/>
    </row>
    <row r="19" spans="2:4" ht="15" customHeight="1">
      <c r="B19" s="1"/>
    </row>
    <row r="20" spans="2:4" ht="15" customHeight="1">
      <c r="B20" s="194"/>
    </row>
    <row r="21" spans="2:4" ht="15" customHeight="1">
      <c r="B21" s="194"/>
    </row>
    <row r="22" spans="2:4" ht="15" customHeight="1">
      <c r="B22" s="194"/>
    </row>
    <row r="23" spans="2:4" ht="14.25">
      <c r="B23" s="193"/>
    </row>
    <row r="24" spans="2:4" ht="14.25">
      <c r="B24" s="30"/>
      <c r="C24" s="34"/>
      <c r="D24" s="34"/>
    </row>
    <row r="25" spans="2:4" ht="14.25">
      <c r="B25" s="30"/>
      <c r="C25" s="34"/>
      <c r="D25" s="34"/>
    </row>
    <row r="26" spans="2:4" ht="14.25">
      <c r="B26" s="30"/>
      <c r="C26" s="34"/>
      <c r="D26" s="34"/>
    </row>
    <row r="27" spans="2:4" ht="14.25">
      <c r="B27" s="30"/>
      <c r="C27" s="34"/>
      <c r="D27" s="34"/>
    </row>
    <row r="28" spans="2:4" ht="14.25">
      <c r="B28" s="30"/>
      <c r="C28" s="34"/>
      <c r="D28" s="34"/>
    </row>
    <row r="29" spans="2:4" ht="14.25">
      <c r="B29" s="30"/>
      <c r="C29" s="34"/>
      <c r="D29" s="34"/>
    </row>
    <row r="30" spans="2:4" ht="14.25">
      <c r="B30" s="30"/>
      <c r="C30" s="34"/>
      <c r="D30" s="34"/>
    </row>
    <row r="31" spans="2:4" ht="14.25">
      <c r="B31" s="30"/>
      <c r="C31" s="34"/>
      <c r="D31" s="34"/>
    </row>
    <row r="32" spans="2:4" ht="14.25">
      <c r="B32" s="30"/>
      <c r="C32" s="34"/>
      <c r="D32" s="34"/>
    </row>
    <row r="33" spans="2:2" ht="14.25">
      <c r="B33" s="30"/>
    </row>
    <row r="34" spans="2:2" ht="14.25">
      <c r="B34" s="30"/>
    </row>
    <row r="35" spans="2:2" ht="14.25">
      <c r="B35" s="30"/>
    </row>
    <row r="36" spans="2:2" ht="14.25">
      <c r="B36" s="30"/>
    </row>
    <row r="37" spans="2:2" ht="14.25">
      <c r="B37" s="30"/>
    </row>
    <row r="38" spans="2:2" ht="14.25">
      <c r="B38" s="30"/>
    </row>
    <row r="39" spans="2:2" ht="14.25">
      <c r="B39" s="30"/>
    </row>
    <row r="40" spans="2:2" ht="14.25">
      <c r="B40" s="30"/>
    </row>
    <row r="41" spans="2:2" ht="14.25">
      <c r="B41" s="30"/>
    </row>
    <row r="42" spans="2:2" ht="14.25">
      <c r="B42" s="30"/>
    </row>
    <row r="43" spans="2:2" ht="14.25">
      <c r="B43" s="30"/>
    </row>
    <row r="65" spans="7:9" ht="14.25">
      <c r="G65" t="s">
        <v>275</v>
      </c>
    </row>
    <row r="67" spans="7:9" ht="14.25">
      <c r="G67" s="33" t="s">
        <v>276</v>
      </c>
      <c r="H67" s="33">
        <v>12</v>
      </c>
    </row>
    <row r="68" spans="7:9" ht="14.25">
      <c r="G68" s="33" t="s">
        <v>277</v>
      </c>
      <c r="H68" s="33">
        <v>2</v>
      </c>
    </row>
    <row r="69" spans="7:9" ht="14.25">
      <c r="G69" s="33" t="s">
        <v>278</v>
      </c>
      <c r="H69" s="33">
        <f>E3</f>
        <v>3680</v>
      </c>
    </row>
    <row r="70" spans="7:9" ht="14.25">
      <c r="G70" s="33" t="s">
        <v>279</v>
      </c>
      <c r="H70" s="33">
        <v>2080</v>
      </c>
    </row>
    <row r="71" spans="7:9" ht="14.25">
      <c r="G71" s="33" t="s">
        <v>280</v>
      </c>
      <c r="H71" s="33">
        <v>52</v>
      </c>
    </row>
    <row r="72" spans="7:9" ht="14.25">
      <c r="G72" s="33" t="s">
        <v>281</v>
      </c>
      <c r="H72" s="33">
        <v>40</v>
      </c>
    </row>
    <row r="73" spans="7:9" ht="14.25">
      <c r="G73" s="33" t="s">
        <v>282</v>
      </c>
      <c r="H73" s="33">
        <v>5</v>
      </c>
    </row>
    <row r="74" spans="7:9" ht="14.25">
      <c r="G74" s="33" t="s">
        <v>283</v>
      </c>
      <c r="H74" s="35">
        <v>12000</v>
      </c>
    </row>
    <row r="76" spans="7:9" ht="14.25">
      <c r="G76" s="36" t="s">
        <v>284</v>
      </c>
    </row>
    <row r="77" spans="7:9" ht="14.25">
      <c r="G77" s="193" t="s">
        <v>285</v>
      </c>
      <c r="H77" s="34">
        <f>H74</f>
        <v>12000</v>
      </c>
      <c r="I77" s="37">
        <f>H77/$E$3</f>
        <v>3.2608695652173911</v>
      </c>
    </row>
    <row r="78" spans="7:9" ht="14.25">
      <c r="G78" s="193" t="s">
        <v>286</v>
      </c>
      <c r="H78" s="38">
        <f>H77*H70</f>
        <v>24960000</v>
      </c>
      <c r="I78" s="37">
        <f t="shared" ref="I78:I80" si="0">H78/$E$3</f>
        <v>6782.608695652174</v>
      </c>
    </row>
    <row r="79" spans="7:9" ht="14.25">
      <c r="G79" s="193" t="s">
        <v>287</v>
      </c>
      <c r="H79" s="38">
        <f>H78/H71</f>
        <v>480000</v>
      </c>
      <c r="I79" s="37">
        <f t="shared" si="0"/>
        <v>130.43478260869566</v>
      </c>
    </row>
    <row r="80" spans="7:9" ht="14.25">
      <c r="G80" s="193" t="s">
        <v>288</v>
      </c>
      <c r="H80" s="38">
        <f>H78/H67</f>
        <v>2080000</v>
      </c>
      <c r="I80" s="37">
        <f t="shared" si="0"/>
        <v>565.21739130434787</v>
      </c>
    </row>
    <row r="81" spans="7:8" ht="14.25">
      <c r="G81" s="39" t="s">
        <v>289</v>
      </c>
      <c r="H81" s="39">
        <f>H72/H73</f>
        <v>8</v>
      </c>
    </row>
  </sheetData>
  <hyperlinks>
    <hyperlink ref="G76" r:id="rId1" xr:uid="{402C1430-845C-4B5C-A499-191022E8F6F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033D-B219-4031-9E2F-82993355244F}">
  <sheetPr>
    <tabColor theme="9" tint="0.79998168889431442"/>
  </sheetPr>
  <dimension ref="A1:L1002"/>
  <sheetViews>
    <sheetView workbookViewId="0"/>
  </sheetViews>
  <sheetFormatPr defaultColWidth="14.42578125" defaultRowHeight="15" customHeight="1"/>
  <cols>
    <col min="1" max="1" width="8.7109375" customWidth="1"/>
    <col min="2" max="2" width="50.42578125" customWidth="1"/>
    <col min="3" max="3" width="23.28515625" customWidth="1"/>
    <col min="4" max="4" width="15" customWidth="1"/>
    <col min="5" max="5" width="21.85546875" customWidth="1"/>
    <col min="6" max="6" width="21.28515625" customWidth="1"/>
    <col min="7" max="7" width="14.85546875" customWidth="1"/>
    <col min="8" max="8" width="20.140625" customWidth="1"/>
    <col min="9" max="9" width="27.28515625" customWidth="1"/>
    <col min="10" max="10" width="21.28515625" customWidth="1"/>
    <col min="11" max="11" width="18.140625" customWidth="1"/>
    <col min="12" max="12" width="15.140625" customWidth="1"/>
    <col min="13" max="34" width="8.7109375" customWidth="1"/>
  </cols>
  <sheetData>
    <row r="1" spans="2:12" ht="14.25" customHeight="1"/>
    <row r="2" spans="2:12" ht="14.25" customHeight="1">
      <c r="F2" t="s">
        <v>290</v>
      </c>
    </row>
    <row r="3" spans="2:12" ht="14.25" customHeight="1">
      <c r="B3" s="144" t="s">
        <v>291</v>
      </c>
      <c r="C3" s="33" t="s">
        <v>292</v>
      </c>
      <c r="D3" s="33" t="s">
        <v>293</v>
      </c>
      <c r="E3" s="243" t="s">
        <v>294</v>
      </c>
      <c r="F3" s="244" t="s">
        <v>295</v>
      </c>
      <c r="G3" s="244" t="s">
        <v>296</v>
      </c>
      <c r="H3" s="245" t="s">
        <v>297</v>
      </c>
      <c r="I3" s="144" t="s">
        <v>298</v>
      </c>
      <c r="K3" s="33" t="s">
        <v>299</v>
      </c>
      <c r="L3" s="33">
        <v>2</v>
      </c>
    </row>
    <row r="4" spans="2:12" ht="14.25" customHeight="1">
      <c r="B4" s="144" t="s">
        <v>300</v>
      </c>
      <c r="C4" s="143">
        <v>5</v>
      </c>
      <c r="D4" s="241">
        <f>(34+131)</f>
        <v>165</v>
      </c>
      <c r="E4" s="246">
        <f>D4*$L$5</f>
        <v>607200</v>
      </c>
      <c r="F4" s="236">
        <f>H4/$L$5</f>
        <v>2.75</v>
      </c>
      <c r="G4" s="236">
        <f>I4/$L$5</f>
        <v>33</v>
      </c>
      <c r="H4" s="247">
        <f>I4/$L$6</f>
        <v>10120</v>
      </c>
      <c r="I4" s="247">
        <f>E4/C4</f>
        <v>121440</v>
      </c>
      <c r="K4" s="33"/>
      <c r="L4" s="33"/>
    </row>
    <row r="5" spans="2:12" ht="14.25" customHeight="1">
      <c r="B5" s="117" t="s">
        <v>96</v>
      </c>
      <c r="C5" s="143">
        <v>10</v>
      </c>
      <c r="D5" s="241">
        <v>235.6</v>
      </c>
      <c r="E5" s="246">
        <f>D5*$L$5</f>
        <v>867008</v>
      </c>
      <c r="F5" s="236">
        <f t="shared" ref="F5:G7" si="0">H5/$L$5</f>
        <v>1.9633333333333334</v>
      </c>
      <c r="G5" s="236">
        <f t="shared" si="0"/>
        <v>23.560000000000002</v>
      </c>
      <c r="H5" s="247">
        <f>I5/$L$6</f>
        <v>7225.0666666666666</v>
      </c>
      <c r="I5" s="247">
        <f>E5/C5</f>
        <v>86700.800000000003</v>
      </c>
      <c r="K5" s="33" t="s">
        <v>176</v>
      </c>
      <c r="L5" s="33">
        <v>3680</v>
      </c>
    </row>
    <row r="6" spans="2:12" ht="14.25" customHeight="1">
      <c r="B6" s="142" t="s">
        <v>301</v>
      </c>
      <c r="C6" s="143">
        <v>3</v>
      </c>
      <c r="D6" s="263">
        <v>66.760000000000005</v>
      </c>
      <c r="E6" s="246">
        <f>D6*L5</f>
        <v>245676.80000000002</v>
      </c>
      <c r="F6" s="236">
        <f>G6/L6</f>
        <v>1.8544444444444446</v>
      </c>
      <c r="G6" s="236">
        <f>D6/C6</f>
        <v>22.253333333333334</v>
      </c>
      <c r="H6" s="247">
        <f>F6*L5</f>
        <v>6824.3555555555558</v>
      </c>
      <c r="I6" s="247">
        <f>H6*L6</f>
        <v>81892.266666666663</v>
      </c>
      <c r="J6" s="238" t="s">
        <v>302</v>
      </c>
      <c r="K6" s="33" t="s">
        <v>179</v>
      </c>
      <c r="L6" s="33">
        <v>12</v>
      </c>
    </row>
    <row r="7" spans="2:12" ht="14.25" customHeight="1">
      <c r="B7" s="145" t="s">
        <v>195</v>
      </c>
      <c r="C7" s="104">
        <v>5</v>
      </c>
      <c r="D7" s="90">
        <f>E7/L5</f>
        <v>6.1396739130434783</v>
      </c>
      <c r="E7" s="246">
        <v>22594</v>
      </c>
      <c r="F7" s="236">
        <f t="shared" si="0"/>
        <v>0.10232789855072463</v>
      </c>
      <c r="G7" s="236">
        <f t="shared" si="0"/>
        <v>1.2279347826086957</v>
      </c>
      <c r="H7" s="247">
        <f>I7/$L$6</f>
        <v>376.56666666666666</v>
      </c>
      <c r="I7" s="247">
        <f>E7/C7</f>
        <v>4518.8</v>
      </c>
    </row>
    <row r="8" spans="2:12" ht="14.25" customHeight="1">
      <c r="B8" s="233" t="s">
        <v>303</v>
      </c>
      <c r="C8" s="233">
        <v>5</v>
      </c>
      <c r="D8" s="242">
        <f>F34</f>
        <v>38</v>
      </c>
      <c r="E8" s="248">
        <f>D8*$L$5</f>
        <v>139840</v>
      </c>
      <c r="F8" s="236">
        <f>G8/L6</f>
        <v>0.6333333333333333</v>
      </c>
      <c r="G8" s="236">
        <f>D8/C8</f>
        <v>7.6</v>
      </c>
      <c r="H8" s="249">
        <f>I8/L6</f>
        <v>2330.6666666666665</v>
      </c>
      <c r="I8" s="249">
        <f>E8/C8</f>
        <v>27968</v>
      </c>
    </row>
    <row r="9" spans="2:12" ht="14.25" customHeight="1">
      <c r="B9" s="30"/>
      <c r="C9" s="30"/>
      <c r="D9" s="37"/>
      <c r="E9" s="34"/>
      <c r="F9" s="38"/>
      <c r="G9" s="30"/>
      <c r="H9" s="92"/>
      <c r="I9" s="92"/>
    </row>
    <row r="10" spans="2:12" ht="14.25" customHeight="1">
      <c r="B10" t="s">
        <v>304</v>
      </c>
      <c r="I10" s="92"/>
    </row>
    <row r="11" spans="2:12" ht="14.25" customHeight="1">
      <c r="B11" s="209" t="s">
        <v>305</v>
      </c>
    </row>
    <row r="12" spans="2:12" ht="14.25" customHeight="1">
      <c r="C12" s="37"/>
      <c r="D12" s="34"/>
      <c r="F12" s="43"/>
      <c r="G12" s="43"/>
    </row>
    <row r="13" spans="2:12" ht="14.25" customHeight="1">
      <c r="B13" s="193"/>
      <c r="C13" s="37"/>
      <c r="D13" s="34"/>
      <c r="F13" s="43"/>
      <c r="H13" s="90"/>
      <c r="I13" s="44"/>
      <c r="J13" s="256"/>
      <c r="K13" s="44"/>
    </row>
    <row r="14" spans="2:12" ht="14.25" customHeight="1">
      <c r="B14" s="140"/>
      <c r="C14" s="135"/>
      <c r="D14" s="34"/>
      <c r="F14" s="136"/>
      <c r="I14" s="193"/>
      <c r="J14" s="37"/>
      <c r="K14" s="34"/>
    </row>
    <row r="15" spans="2:12" ht="14.25" customHeight="1">
      <c r="B15" s="193"/>
      <c r="C15" s="135"/>
      <c r="D15" s="34"/>
      <c r="F15" s="136"/>
      <c r="I15" s="193"/>
      <c r="J15" s="37"/>
      <c r="K15" s="34"/>
    </row>
    <row r="16" spans="2:12" ht="14.25" customHeight="1">
      <c r="B16" s="281" t="s">
        <v>306</v>
      </c>
      <c r="C16" s="251" t="s">
        <v>307</v>
      </c>
      <c r="D16" s="251" t="s">
        <v>308</v>
      </c>
      <c r="E16" s="252" t="s">
        <v>309</v>
      </c>
      <c r="F16" s="252" t="s">
        <v>309</v>
      </c>
      <c r="G16" s="252" t="s">
        <v>310</v>
      </c>
      <c r="H16" s="252" t="s">
        <v>311</v>
      </c>
      <c r="I16" s="252" t="s">
        <v>312</v>
      </c>
      <c r="J16" s="253" t="s">
        <v>313</v>
      </c>
    </row>
    <row r="17" spans="1:12" ht="14.25" customHeight="1">
      <c r="B17" s="283" t="s">
        <v>314</v>
      </c>
      <c r="D17">
        <v>4</v>
      </c>
      <c r="E17" s="90">
        <f>F17/L5</f>
        <v>55.706521739130437</v>
      </c>
      <c r="F17" s="89">
        <f>Supplies!E13</f>
        <v>205000</v>
      </c>
      <c r="G17" s="90">
        <f>H17/L6</f>
        <v>18.568840579710145</v>
      </c>
      <c r="H17" s="90">
        <f>E17*D17</f>
        <v>222.82608695652175</v>
      </c>
      <c r="I17" s="89">
        <f>J17/L6</f>
        <v>68333.333333333328</v>
      </c>
      <c r="J17" s="254">
        <f>F17*D17</f>
        <v>820000</v>
      </c>
      <c r="L17" s="92"/>
    </row>
    <row r="18" spans="1:12" ht="14.25" customHeight="1">
      <c r="B18" s="276" t="s">
        <v>315</v>
      </c>
      <c r="C18" s="193">
        <v>3</v>
      </c>
      <c r="D18">
        <v>6</v>
      </c>
      <c r="E18" s="90">
        <f>D6</f>
        <v>66.760000000000005</v>
      </c>
      <c r="F18" s="89">
        <f>E18*L5</f>
        <v>245676.80000000002</v>
      </c>
      <c r="G18" s="90">
        <f>F6*D18</f>
        <v>11.126666666666667</v>
      </c>
      <c r="H18" s="90">
        <f>G6*D18</f>
        <v>133.52000000000001</v>
      </c>
      <c r="I18" s="89">
        <f>G18*L5</f>
        <v>40946.133333333331</v>
      </c>
      <c r="J18" s="254">
        <f>H18*L5</f>
        <v>491353.60000000003</v>
      </c>
    </row>
    <row r="19" spans="1:12" ht="14.25" customHeight="1">
      <c r="B19" s="284" t="s">
        <v>303</v>
      </c>
      <c r="C19" s="195">
        <v>5</v>
      </c>
      <c r="D19">
        <v>6</v>
      </c>
      <c r="E19" s="90">
        <f>F34</f>
        <v>38</v>
      </c>
      <c r="F19" s="89">
        <f>E19*L5</f>
        <v>139840</v>
      </c>
      <c r="G19" s="90">
        <f>F8*$D$19</f>
        <v>3.8</v>
      </c>
      <c r="H19" s="90">
        <f>G8*$D$19</f>
        <v>45.599999999999994</v>
      </c>
      <c r="I19" s="89">
        <f>G19*L5</f>
        <v>13984</v>
      </c>
      <c r="J19" s="254">
        <f>I8*$D$19</f>
        <v>167808</v>
      </c>
    </row>
    <row r="20" spans="1:12" ht="14.25" customHeight="1">
      <c r="B20" s="277" t="s">
        <v>195</v>
      </c>
      <c r="C20" s="193">
        <v>5</v>
      </c>
      <c r="D20">
        <v>6</v>
      </c>
      <c r="E20" s="90">
        <f>D7</f>
        <v>6.1396739130434783</v>
      </c>
      <c r="F20" s="89">
        <f>E20*L5</f>
        <v>22594</v>
      </c>
      <c r="G20" s="90">
        <f>H20/L6</f>
        <v>0.61396739130434785</v>
      </c>
      <c r="H20" s="90">
        <f>G7*D20</f>
        <v>7.3676086956521747</v>
      </c>
      <c r="I20" s="89">
        <f>G20*L5</f>
        <v>2259.4</v>
      </c>
      <c r="J20" s="254">
        <f>H20*L5</f>
        <v>27112.800000000003</v>
      </c>
    </row>
    <row r="21" spans="1:12" ht="14.25" customHeight="1">
      <c r="B21" s="278" t="s">
        <v>196</v>
      </c>
      <c r="C21" t="s">
        <v>316</v>
      </c>
      <c r="D21">
        <v>6</v>
      </c>
      <c r="E21" s="90">
        <f>F21/L5</f>
        <v>2.7173913043478262</v>
      </c>
      <c r="F21" s="34">
        <f>Supplies!E17</f>
        <v>10000</v>
      </c>
      <c r="G21" s="90">
        <f>E21*D21</f>
        <v>16.304347826086957</v>
      </c>
      <c r="H21" s="90">
        <f>G21*L6</f>
        <v>195.6521739130435</v>
      </c>
      <c r="I21" s="89">
        <f>F21*D21</f>
        <v>60000</v>
      </c>
      <c r="J21" s="254">
        <f>I21*L6</f>
        <v>720000</v>
      </c>
    </row>
    <row r="22" spans="1:12" ht="14.25" customHeight="1">
      <c r="B22" s="279" t="s">
        <v>82</v>
      </c>
      <c r="C22" s="193" t="s">
        <v>316</v>
      </c>
      <c r="D22">
        <v>1</v>
      </c>
      <c r="E22" s="90">
        <f>'VectorCam Service Fee&amp;Cloud'!I15</f>
        <v>8.7172727272727268</v>
      </c>
      <c r="F22" s="34">
        <f>E22*L5</f>
        <v>32079.563636363633</v>
      </c>
      <c r="G22" s="90">
        <f>'VectorCam Service Fee&amp;Cloud'!I15*D22</f>
        <v>8.7172727272727268</v>
      </c>
      <c r="H22" s="90">
        <f>'VectorCam Service Fee&amp;Cloud'!J15*D22</f>
        <v>104.60727272727273</v>
      </c>
      <c r="I22" s="89">
        <f>G22*$L$5</f>
        <v>32079.563636363633</v>
      </c>
      <c r="J22" s="254">
        <f>H22*$L$5</f>
        <v>384954.76363636367</v>
      </c>
    </row>
    <row r="23" spans="1:12" ht="14.25" customHeight="1">
      <c r="B23" s="280" t="s">
        <v>81</v>
      </c>
      <c r="C23" s="193" t="s">
        <v>316</v>
      </c>
      <c r="D23">
        <v>1</v>
      </c>
      <c r="E23" s="90">
        <f>'VectorCam Service Fee&amp;Cloud'!I17</f>
        <v>13.125</v>
      </c>
      <c r="F23" s="89">
        <f>E23*L5</f>
        <v>48300</v>
      </c>
      <c r="G23" s="90">
        <f>E23*D23</f>
        <v>13.125</v>
      </c>
      <c r="H23" s="90">
        <f>'VectorCam Service Fee&amp;Cloud'!J17*D23</f>
        <v>157.5</v>
      </c>
      <c r="I23" s="89">
        <f>G23*$L$5</f>
        <v>48300</v>
      </c>
      <c r="J23" s="254">
        <f>H23*$L$5</f>
        <v>579600</v>
      </c>
    </row>
    <row r="24" spans="1:12" ht="14.25" customHeight="1">
      <c r="B24" s="282" t="s">
        <v>43</v>
      </c>
      <c r="C24" s="257"/>
      <c r="D24" s="258"/>
      <c r="E24" s="259"/>
      <c r="F24" s="260"/>
      <c r="G24" s="259">
        <f>SUM(G17:G23)</f>
        <v>72.256095191040842</v>
      </c>
      <c r="H24" s="259">
        <f>SUM(H17:H23)</f>
        <v>867.07314229249016</v>
      </c>
      <c r="I24" s="261">
        <f>SUM(I17:I23)</f>
        <v>265902.4303030303</v>
      </c>
      <c r="J24" s="262">
        <f>SUM(J17:J23)</f>
        <v>3190829.163636364</v>
      </c>
    </row>
    <row r="25" spans="1:12" ht="14.25" customHeight="1"/>
    <row r="26" spans="1:12" ht="14.25" customHeight="1">
      <c r="B26" s="193" t="s">
        <v>317</v>
      </c>
      <c r="C26" s="37"/>
      <c r="I26" s="250"/>
      <c r="J26" s="137"/>
      <c r="K26" s="138"/>
    </row>
    <row r="27" spans="1:12" ht="14.25" customHeight="1">
      <c r="B27" s="44"/>
      <c r="C27" s="45"/>
      <c r="D27" s="138"/>
      <c r="I27" s="193"/>
      <c r="J27" s="193"/>
    </row>
    <row r="28" spans="1:12" ht="14.25" customHeight="1">
      <c r="B28" s="193"/>
      <c r="C28" s="37"/>
      <c r="D28" s="34"/>
      <c r="I28" s="44"/>
      <c r="J28" s="45"/>
    </row>
    <row r="29" spans="1:12" ht="14.25" customHeight="1">
      <c r="D29" s="139"/>
      <c r="I29" s="193"/>
      <c r="J29" s="37"/>
    </row>
    <row r="30" spans="1:12" ht="14.25" customHeight="1">
      <c r="C30" s="37"/>
      <c r="D30" s="139"/>
      <c r="J30" s="45"/>
    </row>
    <row r="31" spans="1:12" ht="14.25" customHeight="1">
      <c r="B31" s="30"/>
      <c r="C31" s="37"/>
      <c r="D31" s="139"/>
    </row>
    <row r="32" spans="1:12" ht="14.25" customHeight="1">
      <c r="A32" s="195"/>
      <c r="B32" s="193"/>
      <c r="D32" s="235" t="s">
        <v>318</v>
      </c>
      <c r="E32" s="236"/>
      <c r="F32" s="240">
        <v>7600</v>
      </c>
      <c r="G32" s="90"/>
      <c r="H32" s="90"/>
      <c r="I32" s="89"/>
      <c r="J32" s="89"/>
    </row>
    <row r="33" spans="2:11" ht="14.25" customHeight="1">
      <c r="D33" s="235" t="s">
        <v>319</v>
      </c>
      <c r="E33" s="237"/>
      <c r="F33" s="235">
        <v>200</v>
      </c>
    </row>
    <row r="34" spans="2:11" ht="14.25" customHeight="1">
      <c r="B34" s="193"/>
      <c r="C34" s="193"/>
      <c r="D34" s="237" t="s">
        <v>320</v>
      </c>
      <c r="E34" s="235"/>
      <c r="F34" s="239">
        <f>F32/F33</f>
        <v>38</v>
      </c>
    </row>
    <row r="35" spans="2:11" ht="14.25" customHeight="1">
      <c r="B35" s="193"/>
      <c r="C35" s="43"/>
      <c r="D35" s="43"/>
      <c r="E35" s="43"/>
    </row>
    <row r="36" spans="2:11" ht="14.25" customHeight="1">
      <c r="B36" s="193"/>
      <c r="C36" s="193"/>
      <c r="D36" s="193"/>
      <c r="E36" s="46"/>
    </row>
    <row r="37" spans="2:11" ht="14.25" customHeight="1">
      <c r="E37" s="46"/>
    </row>
    <row r="38" spans="2:11" ht="14.25" customHeight="1">
      <c r="C38" s="37"/>
      <c r="D38" s="34"/>
      <c r="E38" s="46"/>
    </row>
    <row r="39" spans="2:11" ht="14.25" customHeight="1">
      <c r="C39" s="37"/>
      <c r="D39" s="34"/>
      <c r="E39" s="46"/>
    </row>
    <row r="40" spans="2:11" ht="14.25" customHeight="1"/>
    <row r="41" spans="2:11" ht="14.25" customHeight="1">
      <c r="B41" s="44"/>
    </row>
    <row r="42" spans="2:11" ht="14.25" customHeight="1">
      <c r="B42" s="193"/>
      <c r="C42" s="193"/>
    </row>
    <row r="43" spans="2:11" ht="14.25" customHeight="1">
      <c r="B43" s="193"/>
      <c r="C43" s="30"/>
    </row>
    <row r="44" spans="2:11" ht="14.25" customHeight="1">
      <c r="B44" s="193"/>
      <c r="C44" s="30"/>
      <c r="I44" s="140"/>
      <c r="K44" s="1"/>
    </row>
    <row r="45" spans="2:11" ht="14.25" customHeight="1">
      <c r="B45" s="193"/>
      <c r="C45" s="128"/>
      <c r="I45" s="141"/>
    </row>
    <row r="46" spans="2:11" ht="14.25" customHeight="1">
      <c r="B46" s="193"/>
      <c r="C46" s="37"/>
      <c r="E46" s="129"/>
      <c r="I46" s="134"/>
    </row>
    <row r="47" spans="2:11" ht="14.25" customHeight="1">
      <c r="B47" s="193"/>
      <c r="C47" s="193"/>
    </row>
    <row r="48" spans="2:11" ht="14.25" customHeight="1">
      <c r="B48" s="193"/>
      <c r="C48" s="193"/>
    </row>
    <row r="49" spans="2:4" ht="14.25" customHeight="1">
      <c r="B49" s="193"/>
      <c r="C49" s="130"/>
    </row>
    <row r="50" spans="2:4" ht="14.25" customHeight="1">
      <c r="B50" s="44"/>
      <c r="C50" s="45"/>
    </row>
    <row r="51" spans="2:4" ht="14.25" customHeight="1"/>
    <row r="52" spans="2:4" ht="14.25" customHeight="1">
      <c r="B52" s="44"/>
      <c r="C52" s="131"/>
    </row>
    <row r="53" spans="2:4" ht="14.25" customHeight="1">
      <c r="B53" s="193"/>
      <c r="C53" s="193"/>
    </row>
    <row r="54" spans="2:4" ht="14.25" customHeight="1">
      <c r="B54" s="44"/>
      <c r="C54" s="45"/>
    </row>
    <row r="55" spans="2:4" ht="14.25" customHeight="1"/>
    <row r="56" spans="2:4" ht="14.25" customHeight="1">
      <c r="B56" s="193"/>
    </row>
    <row r="57" spans="2:4" ht="14.25" customHeight="1">
      <c r="B57" s="193"/>
    </row>
    <row r="58" spans="2:4" ht="14.25" customHeight="1">
      <c r="B58" s="193"/>
      <c r="C58" s="43"/>
    </row>
    <row r="59" spans="2:4" ht="14.25" customHeight="1">
      <c r="B59" s="193"/>
    </row>
    <row r="60" spans="2:4" ht="14.25" customHeight="1">
      <c r="B60" s="193"/>
    </row>
    <row r="61" spans="2:4" ht="14.25" customHeight="1">
      <c r="B61" s="193"/>
      <c r="C61" s="43"/>
    </row>
    <row r="62" spans="2:4" ht="14.25" customHeight="1">
      <c r="B62" s="193"/>
      <c r="C62" s="43"/>
    </row>
    <row r="63" spans="2:4" ht="14.25" customHeight="1">
      <c r="B63" s="193"/>
      <c r="C63" s="43"/>
    </row>
    <row r="64" spans="2:4" ht="14.25" customHeight="1">
      <c r="B64" s="44"/>
      <c r="C64" s="132"/>
      <c r="D64" s="34"/>
    </row>
    <row r="65" spans="2:4" ht="14.25" customHeight="1">
      <c r="B65" s="44"/>
      <c r="C65" s="132"/>
      <c r="D65" s="34"/>
    </row>
    <row r="66" spans="2:4" ht="14.25" customHeight="1">
      <c r="B66" s="193"/>
    </row>
    <row r="67" spans="2:4" ht="14.25" customHeight="1">
      <c r="B67" s="30"/>
      <c r="C67" s="30"/>
    </row>
    <row r="68" spans="2:4" ht="14.25" customHeight="1">
      <c r="B68" s="193"/>
      <c r="C68" s="37"/>
    </row>
    <row r="69" spans="2:4" ht="14.25" customHeight="1">
      <c r="B69" s="193"/>
      <c r="C69" s="37"/>
      <c r="D69" s="133"/>
    </row>
    <row r="70" spans="2:4" ht="14.25" customHeight="1">
      <c r="B70" s="193"/>
      <c r="C70" s="37"/>
    </row>
    <row r="71" spans="2:4" ht="14.25" customHeight="1">
      <c r="B71" s="193"/>
      <c r="C71" s="37"/>
    </row>
    <row r="72" spans="2:4" ht="14.25" customHeight="1">
      <c r="B72" s="193"/>
      <c r="C72" s="37"/>
    </row>
    <row r="73" spans="2:4" ht="14.25" customHeight="1">
      <c r="B73" s="44"/>
      <c r="C73" s="45"/>
    </row>
    <row r="74" spans="2:4" ht="14.25" customHeight="1">
      <c r="B74" s="44"/>
      <c r="C74" s="45"/>
    </row>
    <row r="75" spans="2:4" ht="14.25" customHeight="1"/>
    <row r="76" spans="2:4" ht="14.25" customHeight="1">
      <c r="B76" s="30"/>
      <c r="C76" s="30"/>
    </row>
    <row r="77" spans="2:4" ht="14.25" customHeight="1">
      <c r="B77" s="36"/>
      <c r="C77" s="37"/>
      <c r="D77" s="34"/>
    </row>
    <row r="78" spans="2:4" ht="14.25" customHeight="1">
      <c r="B78" s="193"/>
      <c r="C78" s="37"/>
      <c r="D78" s="34"/>
    </row>
    <row r="79" spans="2:4" ht="14.25" customHeight="1">
      <c r="B79" s="193"/>
      <c r="C79" s="37"/>
      <c r="D79" s="34"/>
    </row>
    <row r="80" spans="2:4" ht="14.25" customHeight="1">
      <c r="B80" s="193"/>
      <c r="C80" s="37"/>
      <c r="D80" s="34"/>
    </row>
    <row r="81" spans="2:4" ht="14.25" customHeight="1">
      <c r="B81" s="44"/>
      <c r="C81" s="45"/>
      <c r="D81" s="34"/>
    </row>
    <row r="82" spans="2:4" ht="14.25" customHeight="1">
      <c r="B82" s="44"/>
      <c r="C82" s="45"/>
      <c r="D82" s="34"/>
    </row>
    <row r="83" spans="2:4" ht="14.25" customHeight="1"/>
    <row r="84" spans="2:4" ht="14.25" customHeight="1">
      <c r="C84" s="193"/>
      <c r="D84" s="193"/>
    </row>
    <row r="85" spans="2:4" ht="14.25" customHeight="1">
      <c r="B85" s="36"/>
      <c r="C85" s="37"/>
    </row>
    <row r="86" spans="2:4" ht="14.25" customHeight="1"/>
    <row r="87" spans="2:4" ht="14.25" customHeight="1">
      <c r="B87" s="193"/>
      <c r="C87" s="193"/>
    </row>
    <row r="88" spans="2:4" ht="14.25" customHeight="1">
      <c r="B88" s="30"/>
      <c r="C88" s="37"/>
      <c r="D88" s="37"/>
    </row>
    <row r="89" spans="2:4" ht="14.25" customHeight="1">
      <c r="B89" s="30"/>
      <c r="C89" s="45"/>
      <c r="D89" s="37"/>
    </row>
    <row r="90" spans="2:4" ht="14.25" customHeight="1"/>
    <row r="91" spans="2:4" ht="14.25" customHeight="1"/>
    <row r="92" spans="2:4" ht="14.25" customHeight="1"/>
    <row r="93" spans="2:4" ht="14.25" customHeight="1"/>
    <row r="94" spans="2:4" ht="14.25" customHeight="1"/>
    <row r="95" spans="2:4" ht="14.25" customHeight="1"/>
    <row r="96" spans="2:4"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spans="9:9" ht="14.25" customHeight="1"/>
    <row r="130" spans="9:9" ht="14.25" customHeight="1"/>
    <row r="131" spans="9:9" ht="14.25" customHeight="1">
      <c r="I131" s="193"/>
    </row>
    <row r="132" spans="9:9" ht="14.25" customHeight="1"/>
    <row r="133" spans="9:9" ht="14.25" customHeight="1"/>
    <row r="134" spans="9:9" ht="14.25" customHeight="1"/>
    <row r="135" spans="9:9" ht="14.25" customHeight="1"/>
    <row r="136" spans="9:9" ht="14.25" customHeight="1"/>
    <row r="137" spans="9:9" ht="14.25" customHeight="1"/>
    <row r="138" spans="9:9" ht="14.25" customHeight="1"/>
    <row r="139" spans="9:9" ht="14.25" customHeight="1"/>
    <row r="140" spans="9:9" ht="14.25" customHeight="1"/>
    <row r="141" spans="9:9" ht="14.25" customHeight="1"/>
    <row r="142" spans="9:9" ht="14.25" customHeight="1"/>
    <row r="143" spans="9:9" ht="14.25" customHeight="1"/>
    <row r="144" spans="9:9"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hyperlinks>
    <hyperlink ref="B7" r:id="rId1" xr:uid="{30BF6763-BC7C-4F7E-974C-9A23E7815FFD}"/>
    <hyperlink ref="C6" r:id="rId2" display="3" xr:uid="{ABD367DB-7F28-4B2F-A866-4BDAD055F609}"/>
    <hyperlink ref="C7" r:id="rId3" display="5" xr:uid="{ABA569A4-BA81-4FD7-BE91-416E47D1160F}"/>
    <hyperlink ref="B6" r:id="rId4" xr:uid="{BA2FDC59-F77E-469B-8983-EB1E1ADE60C3}"/>
    <hyperlink ref="C5" r:id="rId5" display="10" xr:uid="{3E1F32D0-C2EC-40B1-9DDE-FA9CDAF72EBB}"/>
    <hyperlink ref="B20" r:id="rId6" xr:uid="{E0DAC35A-329A-4457-93C2-F8BFD15E14EF}"/>
    <hyperlink ref="C4" r:id="rId7" display="5" xr:uid="{96BF002A-F3F0-4C02-9645-3DD923844985}"/>
    <hyperlink ref="B11" r:id="rId8" location=":~:text=The%20Generalized%20CEA%20(GCEA)%20framework%2C,value%20estimates%20via%20price%20changes" display="https://www.ispor.org/heor-resources/presentations-database/presentation-cti/ispor-2025/poster-session-2/tailoring-generalized-cost-effectiveness-analysis-gcea-to-the-u-s-setting-the-importance-of-using-the-right-prices#:~:text=The%20Generalized%20CEA%20(GCEA)%20framework%2C,value%20estimates%20via%20price%20changes." xr:uid="{FCB874CD-220C-4649-8B59-6EAB7F27B421}"/>
  </hyperlinks>
  <pageMargins left="0.7" right="0.7" top="0.75" bottom="0.75" header="0" footer="0"/>
  <pageSetup orientation="portrait"/>
  <drawing r:id="rId9"/>
  <legacy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19BFF-9660-4D68-954F-BB764D8F167B}">
  <sheetPr>
    <tabColor theme="9" tint="0.79998168889431442"/>
  </sheetPr>
  <dimension ref="A1:V1005"/>
  <sheetViews>
    <sheetView topLeftCell="A59" zoomScale="85" zoomScaleNormal="85" workbookViewId="0">
      <selection activeCell="E74" sqref="E74"/>
    </sheetView>
  </sheetViews>
  <sheetFormatPr defaultColWidth="14.42578125" defaultRowHeight="15" customHeight="1"/>
  <cols>
    <col min="1" max="1" width="8.7109375" customWidth="1"/>
    <col min="2" max="2" width="36.42578125" customWidth="1"/>
    <col min="3" max="3" width="60.85546875" customWidth="1"/>
    <col min="4" max="4" width="10" customWidth="1"/>
    <col min="5" max="5" width="18.5703125" customWidth="1"/>
    <col min="6" max="6" width="17" customWidth="1"/>
    <col min="7" max="7" width="17.42578125" customWidth="1"/>
    <col min="8" max="8" width="1.7109375" customWidth="1"/>
    <col min="9" max="9" width="17" customWidth="1"/>
    <col min="10" max="10" width="13.85546875" customWidth="1"/>
    <col min="11" max="11" width="8.7109375" customWidth="1"/>
    <col min="12" max="12" width="32.140625" customWidth="1"/>
    <col min="13" max="22" width="8.7109375" customWidth="1"/>
  </cols>
  <sheetData>
    <row r="1" spans="1:22" ht="14.25" customHeight="1"/>
    <row r="2" spans="1:22" ht="42.75" customHeight="1">
      <c r="B2" s="47" t="s">
        <v>163</v>
      </c>
    </row>
    <row r="3" spans="1:22" ht="15.75" customHeight="1">
      <c r="F3" s="473" t="s">
        <v>164</v>
      </c>
      <c r="G3" s="477"/>
      <c r="H3" s="33"/>
      <c r="I3" s="472" t="s">
        <v>165</v>
      </c>
      <c r="J3" s="477"/>
    </row>
    <row r="4" spans="1:22" ht="33.75" customHeight="1">
      <c r="A4" s="48"/>
      <c r="B4" s="49" t="s">
        <v>166</v>
      </c>
      <c r="C4" s="50" t="s">
        <v>85</v>
      </c>
      <c r="D4" s="51" t="s">
        <v>167</v>
      </c>
      <c r="E4" s="51" t="s">
        <v>168</v>
      </c>
      <c r="F4" s="52" t="s">
        <v>169</v>
      </c>
      <c r="G4" s="52" t="s">
        <v>170</v>
      </c>
      <c r="H4" s="48"/>
      <c r="I4" s="52" t="s">
        <v>169</v>
      </c>
      <c r="J4" s="52" t="s">
        <v>171</v>
      </c>
      <c r="K4" s="48"/>
      <c r="L4" s="48"/>
      <c r="M4" s="48"/>
      <c r="N4" s="48"/>
      <c r="O4" s="48"/>
      <c r="P4" s="48"/>
      <c r="Q4" s="48"/>
      <c r="R4" s="48"/>
      <c r="S4" s="48"/>
      <c r="T4" s="48"/>
      <c r="U4" s="48"/>
      <c r="V4" s="48"/>
    </row>
    <row r="5" spans="1:22" ht="15.75" customHeight="1">
      <c r="B5" s="193" t="s">
        <v>172</v>
      </c>
      <c r="C5" s="27" t="s">
        <v>119</v>
      </c>
      <c r="D5" s="193">
        <v>12</v>
      </c>
      <c r="E5" s="34">
        <v>500</v>
      </c>
      <c r="F5" s="34">
        <f>D5*E5</f>
        <v>6000</v>
      </c>
      <c r="G5" s="34">
        <f>F5*$M$8</f>
        <v>72000</v>
      </c>
      <c r="I5" s="37">
        <f t="shared" ref="I5:J7" si="0">F5/$M$6</f>
        <v>1.6304347826086956</v>
      </c>
      <c r="J5" s="37">
        <f>G5/$M$6</f>
        <v>19.565217391304348</v>
      </c>
      <c r="L5" s="33" t="s">
        <v>173</v>
      </c>
      <c r="M5" s="33">
        <v>2</v>
      </c>
    </row>
    <row r="6" spans="1:22" ht="15.75" customHeight="1">
      <c r="B6" s="193" t="s">
        <v>174</v>
      </c>
      <c r="C6" s="193" t="s">
        <v>175</v>
      </c>
      <c r="D6" s="193">
        <v>2</v>
      </c>
      <c r="E6" s="34">
        <v>15000</v>
      </c>
      <c r="F6" s="34">
        <f>G6/M8</f>
        <v>10000</v>
      </c>
      <c r="G6" s="34">
        <f>D6*M7*E6</f>
        <v>120000</v>
      </c>
      <c r="I6" s="37">
        <f t="shared" si="0"/>
        <v>2.7173913043478262</v>
      </c>
      <c r="J6" s="37">
        <f t="shared" si="0"/>
        <v>32.608695652173914</v>
      </c>
      <c r="L6" s="33" t="s">
        <v>176</v>
      </c>
      <c r="M6" s="33">
        <v>3680</v>
      </c>
    </row>
    <row r="7" spans="1:22" ht="15.75" customHeight="1">
      <c r="B7" s="193" t="s">
        <v>177</v>
      </c>
      <c r="C7" s="193" t="s">
        <v>96</v>
      </c>
      <c r="D7" s="193">
        <v>2</v>
      </c>
      <c r="E7" s="34">
        <f>'VectorCam Cost-Depreciation'!E5</f>
        <v>867008</v>
      </c>
      <c r="F7" s="34">
        <f>D7*'VectorCam Cost-Depreciation'!H5</f>
        <v>14450.133333333333</v>
      </c>
      <c r="G7" s="34">
        <f>'VectorCam Cost-Depreciation'!I5*Supplies!D7</f>
        <v>173401.60000000001</v>
      </c>
      <c r="I7" s="37">
        <f t="shared" si="0"/>
        <v>3.9266666666666667</v>
      </c>
      <c r="J7" s="37">
        <f>G7/$M$6</f>
        <v>47.120000000000005</v>
      </c>
      <c r="L7" s="33" t="s">
        <v>178</v>
      </c>
      <c r="M7" s="33">
        <v>4</v>
      </c>
    </row>
    <row r="8" spans="1:22" ht="15.75" customHeight="1">
      <c r="B8" s="53" t="s">
        <v>43</v>
      </c>
      <c r="C8" s="54"/>
      <c r="D8" s="53"/>
      <c r="E8" s="53"/>
      <c r="F8" s="55">
        <f t="shared" ref="F8:G8" si="1">SUM(F5:F7)</f>
        <v>30450.133333333331</v>
      </c>
      <c r="G8" s="55">
        <f t="shared" si="1"/>
        <v>365401.59999999998</v>
      </c>
      <c r="H8" s="53"/>
      <c r="I8" s="56">
        <f>SUM(I5:I7)</f>
        <v>8.2744927536231891</v>
      </c>
      <c r="J8" s="56">
        <f>SUM(J5:J7)</f>
        <v>99.29391304347827</v>
      </c>
      <c r="L8" s="33" t="s">
        <v>179</v>
      </c>
      <c r="M8" s="33">
        <v>12</v>
      </c>
    </row>
    <row r="9" spans="1:22" ht="15.75" customHeight="1">
      <c r="B9" s="57" t="s">
        <v>180</v>
      </c>
      <c r="C9" s="58"/>
      <c r="D9" s="58"/>
      <c r="E9" s="58"/>
      <c r="F9" s="59">
        <f>F8+F$33</f>
        <v>2047283.4666666666</v>
      </c>
      <c r="G9" s="59">
        <f>G8+G$33</f>
        <v>24567401.600000001</v>
      </c>
      <c r="H9" s="60">
        <f>H8+H32</f>
        <v>0</v>
      </c>
      <c r="I9" s="61">
        <f>I8+I$33</f>
        <v>556.32702898550724</v>
      </c>
      <c r="J9" s="61">
        <f>J8+J$33</f>
        <v>6675.924347826086</v>
      </c>
      <c r="L9" s="33" t="s">
        <v>181</v>
      </c>
      <c r="M9" s="33">
        <v>24</v>
      </c>
    </row>
    <row r="10" spans="1:22" ht="15.75" customHeight="1">
      <c r="B10" s="193" t="s">
        <v>182</v>
      </c>
      <c r="C10" s="193" t="s">
        <v>183</v>
      </c>
      <c r="L10" s="33" t="s">
        <v>184</v>
      </c>
      <c r="M10" s="33">
        <v>60</v>
      </c>
    </row>
    <row r="11" spans="1:22" ht="15.75" customHeight="1">
      <c r="L11" s="33" t="s">
        <v>185</v>
      </c>
      <c r="M11" s="33">
        <v>5</v>
      </c>
    </row>
    <row r="12" spans="1:22" ht="35.25" customHeight="1">
      <c r="B12" s="49" t="s">
        <v>186</v>
      </c>
      <c r="C12" s="50" t="s">
        <v>85</v>
      </c>
      <c r="D12" s="51" t="s">
        <v>167</v>
      </c>
      <c r="E12" s="51" t="s">
        <v>168</v>
      </c>
      <c r="F12" s="62" t="s">
        <v>169</v>
      </c>
      <c r="G12" s="52" t="s">
        <v>170</v>
      </c>
      <c r="H12" s="48"/>
      <c r="I12" s="52" t="s">
        <v>169</v>
      </c>
      <c r="J12" s="52" t="s">
        <v>171</v>
      </c>
      <c r="L12" t="s">
        <v>187</v>
      </c>
    </row>
    <row r="13" spans="1:22" ht="15.75" customHeight="1">
      <c r="B13" s="193" t="s">
        <v>188</v>
      </c>
      <c r="C13" s="193" t="s">
        <v>189</v>
      </c>
      <c r="D13" s="193">
        <v>1</v>
      </c>
      <c r="E13" s="34">
        <v>205000</v>
      </c>
      <c r="F13" s="38">
        <f>G13/M8</f>
        <v>68333.333333333328</v>
      </c>
      <c r="G13" s="34">
        <f>D13*E13*M7</f>
        <v>820000</v>
      </c>
      <c r="I13" s="234">
        <f t="shared" ref="I13:J17" si="2">F13/$M$6</f>
        <v>18.568840579710145</v>
      </c>
      <c r="J13" s="37">
        <f t="shared" si="2"/>
        <v>222.82608695652175</v>
      </c>
      <c r="K13" t="s">
        <v>190</v>
      </c>
    </row>
    <row r="14" spans="1:22" ht="15.75" customHeight="1">
      <c r="B14" s="193" t="s">
        <v>191</v>
      </c>
      <c r="C14" s="193" t="s">
        <v>76</v>
      </c>
      <c r="D14" s="193">
        <v>6</v>
      </c>
      <c r="E14" s="34">
        <f>'VectorCam Cost-Depreciation'!D6*Supplies!M6</f>
        <v>245676.80000000002</v>
      </c>
      <c r="F14" s="34">
        <f>'VectorCam Cost-Depreciation'!H6*Supplies!D14</f>
        <v>40946.133333333331</v>
      </c>
      <c r="G14" s="34">
        <f>'VectorCam Cost-Depreciation'!I6*Supplies!D14</f>
        <v>491353.59999999998</v>
      </c>
      <c r="I14" s="37">
        <f t="shared" si="2"/>
        <v>11.126666666666667</v>
      </c>
      <c r="J14" s="37">
        <f t="shared" si="2"/>
        <v>133.51999999999998</v>
      </c>
    </row>
    <row r="15" spans="1:22" ht="15.75" customHeight="1">
      <c r="B15" s="193" t="s">
        <v>192</v>
      </c>
      <c r="C15" s="193" t="s">
        <v>193</v>
      </c>
      <c r="D15" s="193">
        <v>6</v>
      </c>
      <c r="E15" s="34">
        <f>'VectorCam Cost-Depreciation'!F34*'VectorCam Cost-Depreciation'!L5</f>
        <v>139840</v>
      </c>
      <c r="F15" s="34">
        <f>'VectorCam Cost-Depreciation'!I19</f>
        <v>13984</v>
      </c>
      <c r="G15" s="34">
        <f>'VectorCam Cost-Depreciation'!J19</f>
        <v>167808</v>
      </c>
      <c r="I15" s="234">
        <f>F15/$M$6</f>
        <v>3.8</v>
      </c>
      <c r="J15" s="37">
        <f t="shared" si="2"/>
        <v>45.6</v>
      </c>
      <c r="K15" t="s">
        <v>194</v>
      </c>
    </row>
    <row r="16" spans="1:22" ht="15.75" customHeight="1">
      <c r="B16" s="193" t="s">
        <v>192</v>
      </c>
      <c r="C16" s="193" t="s">
        <v>195</v>
      </c>
      <c r="D16" s="193">
        <v>6</v>
      </c>
      <c r="E16" s="34">
        <f>'VectorCam Cost-Depreciation'!E7</f>
        <v>22594</v>
      </c>
      <c r="F16" s="34">
        <f>'VectorCam Cost-Depreciation'!I20</f>
        <v>2259.4</v>
      </c>
      <c r="G16" s="34">
        <f>'VectorCam Cost-Depreciation'!J20</f>
        <v>27112.800000000003</v>
      </c>
      <c r="I16" s="37">
        <f t="shared" si="2"/>
        <v>0.61396739130434785</v>
      </c>
      <c r="J16" s="37">
        <f t="shared" si="2"/>
        <v>7.3676086956521747</v>
      </c>
    </row>
    <row r="17" spans="2:12" ht="15.75" customHeight="1">
      <c r="B17" s="193" t="s">
        <v>120</v>
      </c>
      <c r="C17" s="193" t="s">
        <v>196</v>
      </c>
      <c r="D17" s="193">
        <v>6</v>
      </c>
      <c r="E17" s="34">
        <v>10000</v>
      </c>
      <c r="F17" s="34">
        <f t="shared" ref="F17" si="3">D17*E17</f>
        <v>60000</v>
      </c>
      <c r="G17" s="34">
        <f>F17*M8</f>
        <v>720000</v>
      </c>
      <c r="I17" s="37">
        <f t="shared" si="2"/>
        <v>16.304347826086957</v>
      </c>
      <c r="J17" s="37">
        <f t="shared" si="2"/>
        <v>195.65217391304347</v>
      </c>
    </row>
    <row r="18" spans="2:12" ht="15.75" customHeight="1">
      <c r="B18" s="193" t="s">
        <v>120</v>
      </c>
      <c r="C18" s="193" t="s">
        <v>82</v>
      </c>
      <c r="D18" s="193">
        <v>1</v>
      </c>
      <c r="E18" s="34">
        <f>'VectorCam Cost-Depreciation'!F22</f>
        <v>32079.563636363633</v>
      </c>
      <c r="F18" s="89">
        <f>E18*D18</f>
        <v>32079.563636363633</v>
      </c>
      <c r="G18" s="34">
        <f>'VectorCam Cost-Depreciation'!J22</f>
        <v>384954.76363636367</v>
      </c>
      <c r="I18" s="234">
        <f>'VectorCam Service Fee&amp;Cloud'!I15</f>
        <v>8.7172727272727268</v>
      </c>
      <c r="J18" s="37">
        <f>'VectorCam Service Fee&amp;Cloud'!J15</f>
        <v>104.60727272727273</v>
      </c>
      <c r="K18" t="s">
        <v>197</v>
      </c>
    </row>
    <row r="19" spans="2:12" ht="15.75" customHeight="1">
      <c r="B19" t="s">
        <v>198</v>
      </c>
      <c r="C19" t="s">
        <v>199</v>
      </c>
      <c r="D19">
        <v>1</v>
      </c>
      <c r="E19" s="34">
        <f>'VectorCam Cost-Depreciation'!F23</f>
        <v>48300</v>
      </c>
      <c r="F19" s="89">
        <f>'VectorCam Service Fee&amp;Cloud'!F17</f>
        <v>48300</v>
      </c>
      <c r="G19" s="34">
        <f>'VectorCam Service Fee&amp;Cloud'!G17</f>
        <v>579600</v>
      </c>
      <c r="I19" s="234">
        <f>'VectorCam Service Fee&amp;Cloud'!I17</f>
        <v>13.125</v>
      </c>
      <c r="J19" s="37">
        <f>'VectorCam Service Fee&amp;Cloud'!J17</f>
        <v>157.5</v>
      </c>
      <c r="K19" t="s">
        <v>200</v>
      </c>
    </row>
    <row r="20" spans="2:12" ht="15.75" customHeight="1">
      <c r="B20" s="53" t="s">
        <v>43</v>
      </c>
      <c r="C20" s="54"/>
      <c r="D20" s="53"/>
      <c r="E20" s="53"/>
      <c r="F20" s="55">
        <f>SUM(F13:F19)</f>
        <v>265902.4303030303</v>
      </c>
      <c r="G20" s="55">
        <f>SUM(G13:G19)</f>
        <v>3190829.163636364</v>
      </c>
      <c r="H20" s="53"/>
      <c r="I20" s="56">
        <f>SUM(I13:I19)</f>
        <v>72.256095191040842</v>
      </c>
      <c r="J20" s="56">
        <f>SUM(J13:J19)</f>
        <v>867.07314229249016</v>
      </c>
      <c r="L20" s="37"/>
    </row>
    <row r="21" spans="2:12" ht="15.75" customHeight="1">
      <c r="B21" s="57" t="s">
        <v>180</v>
      </c>
      <c r="C21" s="58"/>
      <c r="D21" s="58"/>
      <c r="E21" s="58"/>
      <c r="F21" s="59">
        <f>F20+F33</f>
        <v>2282735.7636363637</v>
      </c>
      <c r="G21" s="59">
        <f>G20+G33</f>
        <v>27392829.163636364</v>
      </c>
      <c r="H21" s="60">
        <f>H20+H32</f>
        <v>0</v>
      </c>
      <c r="I21" s="61">
        <f>I20+I33</f>
        <v>620.3086314229248</v>
      </c>
      <c r="J21" s="61">
        <f>J20+J33</f>
        <v>7443.7035770750981</v>
      </c>
      <c r="K21" s="129">
        <f>J21-J9</f>
        <v>767.77922924901213</v>
      </c>
    </row>
    <row r="22" spans="2:12" ht="15.75" customHeight="1">
      <c r="B22" s="193" t="s">
        <v>182</v>
      </c>
      <c r="C22" s="193" t="s">
        <v>201</v>
      </c>
    </row>
    <row r="23" spans="2:12" ht="15.75" customHeight="1"/>
    <row r="24" spans="2:12" ht="15.75" customHeight="1">
      <c r="F24" s="473" t="s">
        <v>164</v>
      </c>
      <c r="G24" s="477"/>
      <c r="H24" s="33"/>
      <c r="I24" s="472" t="s">
        <v>165</v>
      </c>
      <c r="J24" s="477"/>
    </row>
    <row r="25" spans="2:12" ht="36.75" customHeight="1">
      <c r="B25" s="471" t="s">
        <v>202</v>
      </c>
      <c r="C25" s="478"/>
      <c r="D25" s="33"/>
      <c r="E25" s="144"/>
      <c r="F25" s="202" t="s">
        <v>169</v>
      </c>
      <c r="G25" s="202" t="s">
        <v>170</v>
      </c>
      <c r="I25" s="62" t="s">
        <v>169</v>
      </c>
      <c r="J25" s="62" t="s">
        <v>171</v>
      </c>
    </row>
    <row r="26" spans="2:12" ht="15.75" customHeight="1">
      <c r="B26" s="33" t="str">
        <f>B42</f>
        <v xml:space="preserve">Monthly Subtotal </v>
      </c>
      <c r="C26" s="33"/>
      <c r="D26" s="201"/>
      <c r="E26" s="63"/>
      <c r="F26" s="42">
        <f>F42</f>
        <v>625000</v>
      </c>
      <c r="G26" s="42">
        <f>G42</f>
        <v>7500000</v>
      </c>
      <c r="I26" s="41">
        <f t="shared" ref="I26" si="4">I42</f>
        <v>169.83695652173913</v>
      </c>
      <c r="J26" s="41">
        <f>J42</f>
        <v>2038.0434782608695</v>
      </c>
      <c r="K26" s="394"/>
    </row>
    <row r="27" spans="2:12" ht="15.75" customHeight="1">
      <c r="B27" s="33" t="str">
        <f>B54</f>
        <v xml:space="preserve">Quarter Subtotal </v>
      </c>
      <c r="C27" s="33"/>
      <c r="D27" s="201"/>
      <c r="E27" s="42"/>
      <c r="F27" s="206">
        <f>G55</f>
        <v>320633.33333333331</v>
      </c>
      <c r="G27" s="206">
        <f t="shared" ref="G27" si="5">G54</f>
        <v>3847600</v>
      </c>
      <c r="I27" s="207">
        <f>J55</f>
        <v>87.128623188405797</v>
      </c>
      <c r="J27" s="207">
        <f>J54</f>
        <v>1045.5434782608695</v>
      </c>
      <c r="K27" s="394"/>
    </row>
    <row r="28" spans="2:12" ht="15.75" customHeight="1">
      <c r="B28" s="33" t="str">
        <f>B64</f>
        <v xml:space="preserve">Bi-Annual Subtotal </v>
      </c>
      <c r="C28" s="33"/>
      <c r="D28" s="201"/>
      <c r="E28" s="205"/>
      <c r="F28" s="42">
        <f>G65</f>
        <v>275000</v>
      </c>
      <c r="G28" s="64">
        <f>G64</f>
        <v>3300000</v>
      </c>
      <c r="I28" s="41">
        <f>J65</f>
        <v>74.728260869565204</v>
      </c>
      <c r="J28" s="41">
        <f>J64</f>
        <v>896.73913043478251</v>
      </c>
      <c r="K28" s="394"/>
    </row>
    <row r="29" spans="2:12" ht="15.75" customHeight="1">
      <c r="B29" s="296" t="s">
        <v>203</v>
      </c>
      <c r="C29" s="297"/>
      <c r="D29" s="296"/>
      <c r="E29" s="298"/>
      <c r="F29" s="299">
        <f>SUM(F26:F28)</f>
        <v>1220633.3333333333</v>
      </c>
      <c r="G29" s="299">
        <f>SUM(G26:G28)</f>
        <v>14647600</v>
      </c>
      <c r="H29" s="296"/>
      <c r="I29" s="300">
        <f>SUM(I26:I28)</f>
        <v>331.69384057971013</v>
      </c>
      <c r="J29" s="300">
        <f>SUM(J26:J28)</f>
        <v>3980.3260869565215</v>
      </c>
      <c r="K29" s="394"/>
    </row>
    <row r="30" spans="2:12" ht="15.75" customHeight="1">
      <c r="B30" s="33" t="s">
        <v>204</v>
      </c>
      <c r="C30" s="33"/>
      <c r="D30" s="201"/>
      <c r="E30" s="205"/>
      <c r="F30" s="42">
        <f>G70</f>
        <v>151800</v>
      </c>
      <c r="G30" s="64">
        <f>G69</f>
        <v>1821600</v>
      </c>
      <c r="I30" s="41">
        <f>J70</f>
        <v>41.25</v>
      </c>
      <c r="J30" s="41">
        <f>J69</f>
        <v>495</v>
      </c>
      <c r="K30" s="394"/>
    </row>
    <row r="31" spans="2:12" ht="15.75" customHeight="1">
      <c r="B31" s="285" t="s">
        <v>205</v>
      </c>
      <c r="C31" s="33"/>
      <c r="D31" s="201"/>
      <c r="E31" s="291"/>
      <c r="F31" s="292">
        <f>F76</f>
        <v>644400</v>
      </c>
      <c r="G31" s="293">
        <f>G76</f>
        <v>7732800</v>
      </c>
      <c r="I31" s="294">
        <f>I76</f>
        <v>175.10869565217391</v>
      </c>
      <c r="J31" s="294">
        <f>J76</f>
        <v>2101.304347826087</v>
      </c>
      <c r="K31" s="394"/>
    </row>
    <row r="32" spans="2:12" ht="15.75" customHeight="1">
      <c r="B32" s="295" t="s">
        <v>206</v>
      </c>
      <c r="C32" s="54"/>
      <c r="D32" s="53"/>
      <c r="E32" s="203"/>
      <c r="F32" s="204">
        <f>SUM(F30:F31)</f>
        <v>796200</v>
      </c>
      <c r="G32" s="204">
        <f>SUM(G30:G31)</f>
        <v>9554400</v>
      </c>
      <c r="H32" s="53"/>
      <c r="I32" s="208">
        <f>SUM(I30:I31)</f>
        <v>216.35869565217391</v>
      </c>
      <c r="J32" s="208">
        <f>SUM(J30:J31)</f>
        <v>2596.304347826087</v>
      </c>
      <c r="K32" s="394"/>
    </row>
    <row r="33" spans="2:12" ht="15.75" customHeight="1">
      <c r="B33" s="57" t="s">
        <v>207</v>
      </c>
      <c r="C33" s="58"/>
      <c r="D33" s="58"/>
      <c r="E33" s="58"/>
      <c r="F33" s="59">
        <f>SUM(F29+F32)</f>
        <v>2016833.3333333333</v>
      </c>
      <c r="G33" s="59">
        <f>SUM(G29+G32)</f>
        <v>24202000</v>
      </c>
      <c r="H33" s="60"/>
      <c r="I33" s="61">
        <f>SUM(I29+I32)</f>
        <v>548.05253623188401</v>
      </c>
      <c r="J33" s="61">
        <f>SUM(J29+J32)</f>
        <v>6576.6304347826081</v>
      </c>
      <c r="K33" s="394"/>
      <c r="L33" s="89"/>
    </row>
    <row r="34" spans="2:12" ht="15.75" customHeight="1"/>
    <row r="35" spans="2:12" ht="15.75" customHeight="1"/>
    <row r="36" spans="2:12" ht="15.75" customHeight="1">
      <c r="B36" s="65" t="s">
        <v>208</v>
      </c>
      <c r="C36" s="66"/>
      <c r="D36" s="66"/>
      <c r="E36" s="66"/>
      <c r="F36" s="72" t="s">
        <v>164</v>
      </c>
      <c r="G36" s="71"/>
      <c r="H36" s="66"/>
      <c r="I36" s="472" t="s">
        <v>165</v>
      </c>
      <c r="J36" s="477"/>
    </row>
    <row r="37" spans="2:12" ht="33.75" customHeight="1">
      <c r="B37" s="50" t="s">
        <v>209</v>
      </c>
      <c r="C37" s="50" t="s">
        <v>85</v>
      </c>
      <c r="D37" s="73" t="s">
        <v>167</v>
      </c>
      <c r="E37" s="51" t="s">
        <v>168</v>
      </c>
      <c r="F37" s="52" t="s">
        <v>169</v>
      </c>
      <c r="G37" s="52" t="s">
        <v>170</v>
      </c>
      <c r="H37" s="66"/>
      <c r="I37" s="52" t="s">
        <v>169</v>
      </c>
      <c r="J37" s="52" t="s">
        <v>171</v>
      </c>
    </row>
    <row r="38" spans="2:12" ht="14.25" customHeight="1">
      <c r="B38" s="193" t="s">
        <v>210</v>
      </c>
      <c r="C38" s="193" t="s">
        <v>211</v>
      </c>
      <c r="D38" s="193">
        <v>36</v>
      </c>
      <c r="E38" s="32"/>
      <c r="F38" s="34">
        <f>D38*E38</f>
        <v>0</v>
      </c>
      <c r="G38" s="34">
        <f>F38*$M$8</f>
        <v>0</v>
      </c>
      <c r="I38" s="37">
        <f t="shared" ref="I38:J41" si="6">F38/$M$6</f>
        <v>0</v>
      </c>
      <c r="J38" s="37">
        <f t="shared" si="6"/>
        <v>0</v>
      </c>
    </row>
    <row r="39" spans="2:12" ht="14.25" customHeight="1">
      <c r="B39" s="193" t="s">
        <v>212</v>
      </c>
      <c r="C39" s="193" t="s">
        <v>213</v>
      </c>
      <c r="D39" s="193">
        <v>1</v>
      </c>
      <c r="E39" s="32">
        <v>25000</v>
      </c>
      <c r="F39" s="34">
        <f t="shared" ref="F39:F41" si="7">D39*E39</f>
        <v>25000</v>
      </c>
      <c r="G39" s="34">
        <f>F39*$M$8</f>
        <v>300000</v>
      </c>
      <c r="I39" s="37">
        <f t="shared" si="6"/>
        <v>6.7934782608695654</v>
      </c>
      <c r="J39" s="37">
        <f t="shared" si="6"/>
        <v>81.521739130434781</v>
      </c>
    </row>
    <row r="40" spans="2:12" ht="14.25" customHeight="1">
      <c r="B40" s="193" t="s">
        <v>214</v>
      </c>
      <c r="C40" s="193" t="s">
        <v>215</v>
      </c>
      <c r="D40" s="193">
        <f>2</f>
        <v>2</v>
      </c>
      <c r="E40" s="32">
        <v>75000</v>
      </c>
      <c r="F40" s="34">
        <f t="shared" si="7"/>
        <v>150000</v>
      </c>
      <c r="G40" s="34">
        <f>F40*$M$8</f>
        <v>1800000</v>
      </c>
      <c r="I40" s="37">
        <f t="shared" si="6"/>
        <v>40.760869565217391</v>
      </c>
      <c r="J40" s="37">
        <f t="shared" si="6"/>
        <v>489.13043478260869</v>
      </c>
    </row>
    <row r="41" spans="2:12" ht="14.25" customHeight="1">
      <c r="B41" s="193" t="s">
        <v>216</v>
      </c>
      <c r="C41" s="193" t="s">
        <v>217</v>
      </c>
      <c r="D41" s="193">
        <v>3</v>
      </c>
      <c r="E41" s="32">
        <v>150000</v>
      </c>
      <c r="F41" s="34">
        <f t="shared" si="7"/>
        <v>450000</v>
      </c>
      <c r="G41" s="34">
        <f>F41*$M$8</f>
        <v>5400000</v>
      </c>
      <c r="I41" s="37">
        <f t="shared" si="6"/>
        <v>122.28260869565217</v>
      </c>
      <c r="J41" s="37">
        <f t="shared" si="6"/>
        <v>1467.391304347826</v>
      </c>
    </row>
    <row r="42" spans="2:12" ht="14.25" customHeight="1">
      <c r="B42" s="67" t="s">
        <v>218</v>
      </c>
      <c r="C42" s="68"/>
      <c r="D42" s="68"/>
      <c r="E42" s="69">
        <f t="shared" ref="E42:F42" si="8">SUM(E38:E41)</f>
        <v>250000</v>
      </c>
      <c r="F42" s="69">
        <f t="shared" si="8"/>
        <v>625000</v>
      </c>
      <c r="G42" s="69">
        <f>SUM(G38:G41)</f>
        <v>7500000</v>
      </c>
      <c r="I42" s="70">
        <f t="shared" ref="I42" si="9">SUM(I38:I41)</f>
        <v>169.83695652173913</v>
      </c>
      <c r="J42" s="70">
        <f>SUM(J38:J41)</f>
        <v>2038.0434782608695</v>
      </c>
    </row>
    <row r="43" spans="2:12" ht="14.25" customHeight="1"/>
    <row r="44" spans="2:12" ht="33" customHeight="1">
      <c r="B44" s="50" t="s">
        <v>219</v>
      </c>
      <c r="C44" s="50" t="s">
        <v>85</v>
      </c>
      <c r="D44" s="51" t="s">
        <v>167</v>
      </c>
      <c r="E44" s="51" t="s">
        <v>168</v>
      </c>
      <c r="F44" s="52" t="s">
        <v>220</v>
      </c>
      <c r="G44" s="52" t="s">
        <v>170</v>
      </c>
      <c r="H44" s="48"/>
      <c r="I44" s="52" t="s">
        <v>221</v>
      </c>
      <c r="J44" s="52" t="s">
        <v>170</v>
      </c>
    </row>
    <row r="45" spans="2:12" ht="14.25" customHeight="1">
      <c r="B45" s="195" t="s">
        <v>222</v>
      </c>
      <c r="C45" s="193" t="s">
        <v>223</v>
      </c>
      <c r="D45" s="193">
        <v>6</v>
      </c>
      <c r="E45" s="32">
        <v>14400</v>
      </c>
      <c r="F45" s="34">
        <f>D45*E45</f>
        <v>86400</v>
      </c>
      <c r="G45" s="34">
        <f t="shared" ref="G45:G53" si="10">F45*$M$7</f>
        <v>345600</v>
      </c>
      <c r="I45" s="37">
        <f>F45/$M$6</f>
        <v>23.478260869565219</v>
      </c>
      <c r="J45" s="37">
        <f>G45/$M$6</f>
        <v>93.913043478260875</v>
      </c>
    </row>
    <row r="46" spans="2:12" ht="14.25" customHeight="1">
      <c r="B46" s="193" t="s">
        <v>224</v>
      </c>
      <c r="C46" s="193" t="s">
        <v>225</v>
      </c>
      <c r="D46" s="193">
        <v>3</v>
      </c>
      <c r="E46" s="32">
        <v>10000</v>
      </c>
      <c r="F46" s="34">
        <f t="shared" ref="F46:F53" si="11">D46*E46</f>
        <v>30000</v>
      </c>
      <c r="G46" s="34">
        <f t="shared" si="10"/>
        <v>120000</v>
      </c>
      <c r="I46" s="37">
        <f t="shared" ref="I46:I53" si="12">F46/$M$6</f>
        <v>8.1521739130434785</v>
      </c>
      <c r="J46" s="37">
        <f t="shared" ref="J46:J53" si="13">G46/$M$6</f>
        <v>32.608695652173914</v>
      </c>
    </row>
    <row r="47" spans="2:12" ht="14.25" customHeight="1">
      <c r="B47" s="193" t="s">
        <v>224</v>
      </c>
      <c r="C47" s="193" t="s">
        <v>226</v>
      </c>
      <c r="D47" s="193">
        <v>3</v>
      </c>
      <c r="E47" s="32">
        <v>3500</v>
      </c>
      <c r="F47" s="34">
        <f t="shared" si="11"/>
        <v>10500</v>
      </c>
      <c r="G47" s="34">
        <f t="shared" si="10"/>
        <v>42000</v>
      </c>
      <c r="I47" s="37">
        <f t="shared" si="12"/>
        <v>2.8532608695652173</v>
      </c>
      <c r="J47" s="37">
        <f t="shared" si="13"/>
        <v>11.413043478260869</v>
      </c>
    </row>
    <row r="48" spans="2:12" ht="14.25" customHeight="1">
      <c r="B48" s="193" t="s">
        <v>224</v>
      </c>
      <c r="C48" s="193" t="s">
        <v>227</v>
      </c>
      <c r="D48" s="193">
        <v>2</v>
      </c>
      <c r="E48" s="32">
        <v>25000</v>
      </c>
      <c r="F48" s="34">
        <f t="shared" si="11"/>
        <v>50000</v>
      </c>
      <c r="G48" s="34">
        <f t="shared" si="10"/>
        <v>200000</v>
      </c>
      <c r="I48" s="37">
        <f t="shared" si="12"/>
        <v>13.586956521739131</v>
      </c>
      <c r="J48" s="37">
        <f t="shared" si="13"/>
        <v>54.347826086956523</v>
      </c>
    </row>
    <row r="49" spans="2:10" ht="14.25" customHeight="1">
      <c r="B49" s="193" t="s">
        <v>228</v>
      </c>
      <c r="C49" s="193" t="s">
        <v>229</v>
      </c>
      <c r="D49" s="193">
        <v>3</v>
      </c>
      <c r="E49" s="32">
        <v>30000</v>
      </c>
      <c r="F49" s="34">
        <f t="shared" si="11"/>
        <v>90000</v>
      </c>
      <c r="G49" s="34">
        <f t="shared" si="10"/>
        <v>360000</v>
      </c>
      <c r="I49" s="37">
        <f t="shared" si="12"/>
        <v>24.456521739130434</v>
      </c>
      <c r="J49" s="37">
        <f t="shared" si="13"/>
        <v>97.826086956521735</v>
      </c>
    </row>
    <row r="50" spans="2:10" ht="14.25" customHeight="1">
      <c r="B50" s="193" t="s">
        <v>228</v>
      </c>
      <c r="C50" s="193" t="s">
        <v>230</v>
      </c>
      <c r="D50" s="193">
        <v>3</v>
      </c>
      <c r="E50" s="32">
        <v>45000</v>
      </c>
      <c r="F50" s="34">
        <f t="shared" si="11"/>
        <v>135000</v>
      </c>
      <c r="G50" s="34">
        <f t="shared" si="10"/>
        <v>540000</v>
      </c>
      <c r="I50" s="37">
        <f t="shared" si="12"/>
        <v>36.684782608695649</v>
      </c>
      <c r="J50" s="37">
        <f t="shared" si="13"/>
        <v>146.7391304347826</v>
      </c>
    </row>
    <row r="51" spans="2:10" ht="14.25" customHeight="1">
      <c r="B51" s="193" t="s">
        <v>228</v>
      </c>
      <c r="C51" s="193" t="s">
        <v>231</v>
      </c>
      <c r="D51" s="193">
        <v>4</v>
      </c>
      <c r="E51" s="32">
        <v>85000</v>
      </c>
      <c r="F51" s="34">
        <f t="shared" si="11"/>
        <v>340000</v>
      </c>
      <c r="G51" s="34">
        <f t="shared" si="10"/>
        <v>1360000</v>
      </c>
      <c r="I51" s="37">
        <f t="shared" si="12"/>
        <v>92.391304347826093</v>
      </c>
      <c r="J51" s="37">
        <f t="shared" si="13"/>
        <v>369.56521739130437</v>
      </c>
    </row>
    <row r="52" spans="2:10" ht="14.25" customHeight="1">
      <c r="B52" s="193" t="s">
        <v>232</v>
      </c>
      <c r="C52" s="193" t="s">
        <v>233</v>
      </c>
      <c r="D52" s="193">
        <v>6</v>
      </c>
      <c r="E52" s="32">
        <v>20000</v>
      </c>
      <c r="F52" s="34">
        <f t="shared" si="11"/>
        <v>120000</v>
      </c>
      <c r="G52" s="34">
        <f t="shared" si="10"/>
        <v>480000</v>
      </c>
      <c r="I52" s="37">
        <f t="shared" si="12"/>
        <v>32.608695652173914</v>
      </c>
      <c r="J52" s="37">
        <f t="shared" si="13"/>
        <v>130.43478260869566</v>
      </c>
    </row>
    <row r="53" spans="2:10" ht="14.25" customHeight="1">
      <c r="C53" s="193" t="s">
        <v>234</v>
      </c>
      <c r="D53" s="193">
        <v>4</v>
      </c>
      <c r="E53" s="32">
        <v>25000</v>
      </c>
      <c r="F53" s="34">
        <f t="shared" si="11"/>
        <v>100000</v>
      </c>
      <c r="G53" s="34">
        <f t="shared" si="10"/>
        <v>400000</v>
      </c>
      <c r="I53" s="37">
        <f t="shared" si="12"/>
        <v>27.173913043478262</v>
      </c>
      <c r="J53" s="37">
        <f t="shared" si="13"/>
        <v>108.69565217391305</v>
      </c>
    </row>
    <row r="54" spans="2:10" ht="14.25" customHeight="1">
      <c r="B54" s="67" t="s">
        <v>235</v>
      </c>
      <c r="C54" s="68"/>
      <c r="D54" s="68"/>
      <c r="E54" s="69">
        <f t="shared" ref="E54:F54" si="14">SUM(E45:E53)</f>
        <v>257900</v>
      </c>
      <c r="F54" s="69">
        <f t="shared" si="14"/>
        <v>961900</v>
      </c>
      <c r="G54" s="69">
        <f>SUM(G45:G53)</f>
        <v>3847600</v>
      </c>
      <c r="I54" s="70">
        <f>SUM(I45:I53)</f>
        <v>261.38586956521738</v>
      </c>
      <c r="J54" s="70">
        <f>SUM(J45:J53)</f>
        <v>1045.5434782608695</v>
      </c>
    </row>
    <row r="55" spans="2:10" ht="14.25" customHeight="1">
      <c r="E55" s="32"/>
      <c r="F55" s="197" t="s">
        <v>236</v>
      </c>
      <c r="G55" s="198">
        <f>G54/$M$8</f>
        <v>320633.33333333331</v>
      </c>
      <c r="H55" s="191"/>
      <c r="I55" s="191"/>
      <c r="J55" s="199">
        <f>J54/$M$8</f>
        <v>87.128623188405797</v>
      </c>
    </row>
    <row r="56" spans="2:10" ht="14.25" customHeight="1">
      <c r="E56" s="32"/>
      <c r="F56" s="34"/>
    </row>
    <row r="57" spans="2:10" ht="36" customHeight="1">
      <c r="B57" s="50" t="s">
        <v>237</v>
      </c>
      <c r="C57" s="50" t="s">
        <v>85</v>
      </c>
      <c r="D57" s="51" t="s">
        <v>167</v>
      </c>
      <c r="E57" s="51" t="s">
        <v>168</v>
      </c>
      <c r="F57" s="52" t="s">
        <v>238</v>
      </c>
      <c r="G57" s="52" t="s">
        <v>239</v>
      </c>
      <c r="H57" s="48"/>
      <c r="I57" s="52" t="s">
        <v>238</v>
      </c>
      <c r="J57" s="52" t="s">
        <v>239</v>
      </c>
    </row>
    <row r="58" spans="2:10" ht="14.25" customHeight="1">
      <c r="B58" s="193" t="s">
        <v>240</v>
      </c>
      <c r="C58" s="193" t="s">
        <v>241</v>
      </c>
      <c r="D58" s="193">
        <f>24</f>
        <v>24</v>
      </c>
      <c r="E58" s="32">
        <v>6800</v>
      </c>
      <c r="F58" s="34">
        <f>D58*E58</f>
        <v>163200</v>
      </c>
      <c r="G58" s="34">
        <f>F58/$M$5</f>
        <v>81600</v>
      </c>
      <c r="I58" s="37">
        <f>F58/$M$6</f>
        <v>44.347826086956523</v>
      </c>
      <c r="J58" s="37">
        <f>G58/$M$6</f>
        <v>22.173913043478262</v>
      </c>
    </row>
    <row r="59" spans="2:10" ht="14.25" customHeight="1">
      <c r="B59" s="193" t="s">
        <v>242</v>
      </c>
      <c r="C59" s="193" t="s">
        <v>243</v>
      </c>
      <c r="D59" s="193">
        <f>60</f>
        <v>60</v>
      </c>
      <c r="E59" s="32">
        <v>90000</v>
      </c>
      <c r="F59" s="34">
        <f t="shared" ref="F59:F63" si="15">D59*E59</f>
        <v>5400000</v>
      </c>
      <c r="G59" s="34">
        <f>F59/$M$5</f>
        <v>2700000</v>
      </c>
      <c r="I59" s="37">
        <f t="shared" ref="I59:I63" si="16">F59/$M$6</f>
        <v>1467.391304347826</v>
      </c>
      <c r="J59" s="37">
        <f t="shared" ref="J59:J63" si="17">G59/$M$6</f>
        <v>733.695652173913</v>
      </c>
    </row>
    <row r="60" spans="2:10" ht="14.25" customHeight="1">
      <c r="B60" s="193" t="s">
        <v>244</v>
      </c>
      <c r="C60" s="193" t="s">
        <v>245</v>
      </c>
      <c r="D60" s="193">
        <v>30</v>
      </c>
      <c r="E60" s="32">
        <v>23000</v>
      </c>
      <c r="F60" s="34">
        <f t="shared" si="15"/>
        <v>690000</v>
      </c>
      <c r="G60" s="34">
        <f>F60/$M$5</f>
        <v>345000</v>
      </c>
      <c r="I60" s="37">
        <f t="shared" si="16"/>
        <v>187.5</v>
      </c>
      <c r="J60" s="37">
        <f t="shared" si="17"/>
        <v>93.75</v>
      </c>
    </row>
    <row r="61" spans="2:10" ht="14.25" customHeight="1">
      <c r="B61" s="193" t="s">
        <v>246</v>
      </c>
      <c r="C61" s="193" t="s">
        <v>247</v>
      </c>
      <c r="D61" s="193">
        <v>6</v>
      </c>
      <c r="E61" s="32">
        <v>12000</v>
      </c>
      <c r="F61" s="34">
        <f t="shared" si="15"/>
        <v>72000</v>
      </c>
      <c r="G61" s="34">
        <f t="shared" ref="G61:G63" si="18">F61/$M$5</f>
        <v>36000</v>
      </c>
      <c r="I61" s="37">
        <f t="shared" si="16"/>
        <v>19.565217391304348</v>
      </c>
      <c r="J61" s="37">
        <f t="shared" si="17"/>
        <v>9.7826086956521738</v>
      </c>
    </row>
    <row r="62" spans="2:10" ht="14.25" customHeight="1">
      <c r="B62" s="193" t="s">
        <v>246</v>
      </c>
      <c r="C62" s="193" t="s">
        <v>248</v>
      </c>
      <c r="D62" s="193">
        <v>6</v>
      </c>
      <c r="E62" s="32">
        <v>35000</v>
      </c>
      <c r="F62" s="34">
        <f t="shared" si="15"/>
        <v>210000</v>
      </c>
      <c r="G62" s="34">
        <f t="shared" si="18"/>
        <v>105000</v>
      </c>
      <c r="I62" s="37">
        <f t="shared" si="16"/>
        <v>57.065217391304351</v>
      </c>
      <c r="J62" s="37">
        <f t="shared" si="17"/>
        <v>28.532608695652176</v>
      </c>
    </row>
    <row r="63" spans="2:10" ht="14.25" customHeight="1">
      <c r="B63" s="193" t="s">
        <v>249</v>
      </c>
      <c r="C63" s="193" t="s">
        <v>250</v>
      </c>
      <c r="D63" s="193">
        <v>6</v>
      </c>
      <c r="E63" s="32">
        <v>10800</v>
      </c>
      <c r="F63" s="34">
        <f t="shared" si="15"/>
        <v>64800</v>
      </c>
      <c r="G63" s="34">
        <f t="shared" si="18"/>
        <v>32400</v>
      </c>
      <c r="I63" s="37">
        <f t="shared" si="16"/>
        <v>17.608695652173914</v>
      </c>
      <c r="J63" s="37">
        <f t="shared" si="17"/>
        <v>8.804347826086957</v>
      </c>
    </row>
    <row r="64" spans="2:10" ht="14.25" customHeight="1">
      <c r="B64" s="67" t="s">
        <v>251</v>
      </c>
      <c r="C64" s="68"/>
      <c r="D64" s="68"/>
      <c r="E64" s="69">
        <f>SUM(E59:E63)</f>
        <v>170800</v>
      </c>
      <c r="F64" s="69">
        <f t="shared" ref="F64" si="19">SUM(F58:F63)</f>
        <v>6600000</v>
      </c>
      <c r="G64" s="69">
        <f>SUM(G58:G63)</f>
        <v>3300000</v>
      </c>
      <c r="I64" s="70">
        <f>SUM(I58:I63)</f>
        <v>1793.478260869565</v>
      </c>
      <c r="J64" s="70">
        <f>SUM(J58:J63)</f>
        <v>896.73913043478251</v>
      </c>
    </row>
    <row r="65" spans="2:12" ht="14.25" customHeight="1">
      <c r="D65" s="193" t="s">
        <v>252</v>
      </c>
      <c r="F65" s="191"/>
      <c r="G65" s="200">
        <f>G64/$M$8</f>
        <v>275000</v>
      </c>
      <c r="H65" s="191"/>
      <c r="I65" s="191" t="s">
        <v>253</v>
      </c>
      <c r="J65" s="199">
        <f>J64/$M$8</f>
        <v>74.728260869565204</v>
      </c>
    </row>
    <row r="66" spans="2:12" ht="14.25" customHeight="1">
      <c r="G66" s="38"/>
    </row>
    <row r="67" spans="2:12" ht="38.25" customHeight="1">
      <c r="B67" s="50" t="s">
        <v>204</v>
      </c>
      <c r="C67" s="50" t="s">
        <v>85</v>
      </c>
      <c r="D67" s="51" t="s">
        <v>167</v>
      </c>
      <c r="E67" s="51" t="s">
        <v>168</v>
      </c>
      <c r="F67" s="52" t="s">
        <v>254</v>
      </c>
      <c r="G67" s="52" t="s">
        <v>239</v>
      </c>
      <c r="H67" s="48"/>
      <c r="I67" s="52" t="s">
        <v>254</v>
      </c>
      <c r="J67" s="52" t="s">
        <v>239</v>
      </c>
    </row>
    <row r="68" spans="2:12" ht="14.25" customHeight="1">
      <c r="B68" t="s">
        <v>255</v>
      </c>
      <c r="C68" t="s">
        <v>256</v>
      </c>
      <c r="D68">
        <f>5*3</f>
        <v>15</v>
      </c>
      <c r="E68" s="32">
        <f>'VectorCam Cost-Depreciation'!D4*M6</f>
        <v>607200</v>
      </c>
      <c r="F68" s="89">
        <f>D68*E68</f>
        <v>9108000</v>
      </c>
      <c r="G68" s="89">
        <f>F68/M11</f>
        <v>1821600</v>
      </c>
      <c r="I68" s="37">
        <f>F68/$M$6</f>
        <v>2475</v>
      </c>
      <c r="J68" s="37">
        <f>G68/$M$6</f>
        <v>495</v>
      </c>
    </row>
    <row r="69" spans="2:12" ht="14.25" customHeight="1">
      <c r="B69" s="67" t="s">
        <v>257</v>
      </c>
      <c r="C69" s="68"/>
      <c r="D69" s="68"/>
      <c r="E69" s="69">
        <f>SUM(E68)</f>
        <v>607200</v>
      </c>
      <c r="F69" s="69">
        <f>SUM(F68)</f>
        <v>9108000</v>
      </c>
      <c r="G69" s="69">
        <f>SUM(G68)</f>
        <v>1821600</v>
      </c>
      <c r="I69" s="70">
        <f>SUM(I68)</f>
        <v>2475</v>
      </c>
      <c r="J69" s="70">
        <f>SUM(J68)</f>
        <v>495</v>
      </c>
    </row>
    <row r="70" spans="2:12" ht="14.25" customHeight="1">
      <c r="F70" s="191" t="s">
        <v>258</v>
      </c>
      <c r="G70" s="200">
        <f>G68/M8</f>
        <v>151800</v>
      </c>
      <c r="H70" s="191"/>
      <c r="I70" s="191" t="s">
        <v>253</v>
      </c>
      <c r="J70" s="199">
        <f>J68/$M$8</f>
        <v>41.25</v>
      </c>
    </row>
    <row r="71" spans="2:12" ht="14.25" customHeight="1"/>
    <row r="72" spans="2:12" ht="14.25" customHeight="1">
      <c r="G72" s="89"/>
    </row>
    <row r="73" spans="2:12" ht="14.25" customHeight="1">
      <c r="B73" s="65" t="s">
        <v>208</v>
      </c>
      <c r="C73" s="66"/>
      <c r="D73" s="66"/>
      <c r="E73" s="66"/>
      <c r="F73" s="72" t="s">
        <v>164</v>
      </c>
      <c r="G73" s="71"/>
      <c r="H73" s="66"/>
      <c r="I73" s="472" t="s">
        <v>165</v>
      </c>
      <c r="J73" s="477"/>
    </row>
    <row r="74" spans="2:12" ht="14.25" customHeight="1">
      <c r="B74" s="50" t="s">
        <v>209</v>
      </c>
      <c r="C74" s="50" t="s">
        <v>85</v>
      </c>
      <c r="D74" s="73" t="s">
        <v>167</v>
      </c>
      <c r="E74" s="51" t="s">
        <v>168</v>
      </c>
      <c r="F74" s="52" t="s">
        <v>169</v>
      </c>
      <c r="G74" s="52" t="s">
        <v>170</v>
      </c>
      <c r="H74" s="66"/>
      <c r="I74" s="52" t="s">
        <v>169</v>
      </c>
      <c r="J74" s="52" t="s">
        <v>171</v>
      </c>
    </row>
    <row r="75" spans="2:12" ht="14.25" customHeight="1">
      <c r="B75" t="s">
        <v>259</v>
      </c>
      <c r="C75" t="s">
        <v>260</v>
      </c>
      <c r="D75" s="193">
        <f>12*3</f>
        <v>36</v>
      </c>
      <c r="E75" s="376">
        <f>17900</f>
        <v>17900</v>
      </c>
      <c r="F75" s="34">
        <f>D75*E75</f>
        <v>644400</v>
      </c>
      <c r="G75" s="34">
        <f>F75*$M$8</f>
        <v>7732800</v>
      </c>
      <c r="I75" s="37">
        <f t="shared" ref="I75" si="20">F75/$M$6</f>
        <v>175.10869565217391</v>
      </c>
      <c r="J75" s="37">
        <f t="shared" ref="J75" si="21">G75/$M$6</f>
        <v>2101.304347826087</v>
      </c>
      <c r="L75" t="s">
        <v>261</v>
      </c>
    </row>
    <row r="76" spans="2:12" ht="14.25" customHeight="1">
      <c r="E76" s="191" t="s">
        <v>258</v>
      </c>
      <c r="F76" s="198">
        <f>F75</f>
        <v>644400</v>
      </c>
      <c r="G76" s="198">
        <f>G75</f>
        <v>7732800</v>
      </c>
      <c r="H76" s="191"/>
      <c r="I76" s="199">
        <f>I75</f>
        <v>175.10869565217391</v>
      </c>
      <c r="J76" s="199">
        <f>J75</f>
        <v>2101.304347826087</v>
      </c>
      <c r="L76" t="s">
        <v>262</v>
      </c>
    </row>
    <row r="77" spans="2:12" ht="14.25" customHeight="1"/>
    <row r="78" spans="2:12" ht="14.25" customHeight="1"/>
    <row r="79" spans="2:12" ht="14.25" customHeight="1">
      <c r="B79" s="193" t="s">
        <v>182</v>
      </c>
      <c r="C79" s="193" t="s">
        <v>263</v>
      </c>
    </row>
    <row r="80" spans="2:12"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sheetData>
  <mergeCells count="7">
    <mergeCell ref="I73:J73"/>
    <mergeCell ref="B25:C25"/>
    <mergeCell ref="I36:J36"/>
    <mergeCell ref="F3:G3"/>
    <mergeCell ref="I3:J3"/>
    <mergeCell ref="F24:G24"/>
    <mergeCell ref="I24:J24"/>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B51C3-E2D3-476D-BFB9-750C57921354}">
  <sheetPr>
    <tabColor theme="9" tint="0.79998168889431442"/>
  </sheetPr>
  <dimension ref="A2:Z58"/>
  <sheetViews>
    <sheetView tabSelected="1" workbookViewId="0">
      <selection activeCell="E39" sqref="E39:E41"/>
    </sheetView>
  </sheetViews>
  <sheetFormatPr defaultRowHeight="15" customHeight="1"/>
  <cols>
    <col min="2" max="2" width="31.140625" bestFit="1" customWidth="1"/>
    <col min="3" max="3" width="56.5703125" customWidth="1"/>
    <col min="4" max="4" width="13.7109375" bestFit="1" customWidth="1"/>
    <col min="5" max="5" width="13.28515625" customWidth="1"/>
    <col min="6" max="6" width="20.28515625" customWidth="1"/>
    <col min="7" max="7" width="16.5703125" customWidth="1"/>
    <col min="8" max="8" width="4.5703125" customWidth="1"/>
    <col min="9" max="9" width="12.5703125" bestFit="1" customWidth="1"/>
    <col min="10" max="10" width="12.7109375" customWidth="1"/>
    <col min="11" max="11" width="26.42578125" bestFit="1" customWidth="1"/>
    <col min="12" max="13" width="21" customWidth="1"/>
    <col min="14" max="14" width="20" bestFit="1" customWidth="1"/>
  </cols>
  <sheetData>
    <row r="2" spans="2:14" s="183" customFormat="1" ht="14.25"/>
    <row r="3" spans="2:14" ht="30.75">
      <c r="B3" s="47" t="s">
        <v>321</v>
      </c>
    </row>
    <row r="4" spans="2:14" ht="14.25">
      <c r="B4" t="s">
        <v>322</v>
      </c>
      <c r="L4" s="215" t="s">
        <v>299</v>
      </c>
      <c r="M4" s="117">
        <v>22</v>
      </c>
    </row>
    <row r="5" spans="2:14" ht="14.25">
      <c r="B5" t="s">
        <v>323</v>
      </c>
      <c r="L5" s="117" t="s">
        <v>176</v>
      </c>
      <c r="M5" s="117">
        <v>3680</v>
      </c>
    </row>
    <row r="6" spans="2:14" ht="14.25">
      <c r="L6" s="117" t="s">
        <v>288</v>
      </c>
      <c r="M6" s="117">
        <v>12</v>
      </c>
    </row>
    <row r="7" spans="2:14" ht="14.25">
      <c r="L7" s="117" t="s">
        <v>324</v>
      </c>
      <c r="M7" s="117">
        <v>200</v>
      </c>
    </row>
    <row r="8" spans="2:14" ht="14.25">
      <c r="F8" s="230" t="s">
        <v>164</v>
      </c>
      <c r="G8" s="231"/>
      <c r="H8" s="144"/>
      <c r="I8" s="232" t="s">
        <v>165</v>
      </c>
      <c r="J8" s="231"/>
      <c r="L8" s="117" t="s">
        <v>325</v>
      </c>
      <c r="M8" s="117">
        <v>6</v>
      </c>
    </row>
    <row r="9" spans="2:14" ht="28.5">
      <c r="B9" s="50" t="s">
        <v>326</v>
      </c>
      <c r="C9" s="51" t="s">
        <v>167</v>
      </c>
      <c r="D9" s="51" t="s">
        <v>168</v>
      </c>
      <c r="E9" s="51" t="s">
        <v>327</v>
      </c>
      <c r="F9" s="52" t="s">
        <v>169</v>
      </c>
      <c r="G9" s="52" t="s">
        <v>170</v>
      </c>
      <c r="H9" s="66"/>
      <c r="I9" s="52" t="s">
        <v>169</v>
      </c>
      <c r="J9" s="52" t="s">
        <v>171</v>
      </c>
      <c r="K9" t="s">
        <v>328</v>
      </c>
      <c r="L9" s="117" t="s">
        <v>329</v>
      </c>
      <c r="M9" s="117">
        <f>M4*M8</f>
        <v>132</v>
      </c>
    </row>
    <row r="10" spans="2:14" ht="14.25">
      <c r="B10" s="117" t="s">
        <v>330</v>
      </c>
      <c r="C10" s="117" t="s">
        <v>331</v>
      </c>
      <c r="D10" s="118">
        <f>61.89</f>
        <v>61.89</v>
      </c>
      <c r="E10" s="118">
        <f>D10*M6</f>
        <v>742.68000000000006</v>
      </c>
      <c r="F10" s="119">
        <f t="shared" ref="F10:G14" si="0">I10*$M$5</f>
        <v>10352.50909090909</v>
      </c>
      <c r="G10" s="119">
        <f t="shared" si="0"/>
        <v>124230.10909090909</v>
      </c>
      <c r="H10" s="117"/>
      <c r="I10" s="118">
        <f>J10/$M$6</f>
        <v>2.813181818181818</v>
      </c>
      <c r="J10" s="118">
        <f>E10/$M$4</f>
        <v>33.758181818181818</v>
      </c>
      <c r="L10" s="117" t="s">
        <v>332</v>
      </c>
      <c r="M10" s="117">
        <v>2</v>
      </c>
      <c r="N10" t="s">
        <v>333</v>
      </c>
    </row>
    <row r="11" spans="2:14" ht="14.25">
      <c r="B11" s="117" t="s">
        <v>334</v>
      </c>
      <c r="C11" s="117" t="s">
        <v>335</v>
      </c>
      <c r="D11" s="118" t="s">
        <v>336</v>
      </c>
      <c r="E11" s="118">
        <v>0</v>
      </c>
      <c r="F11" s="119">
        <f t="shared" si="0"/>
        <v>0</v>
      </c>
      <c r="G11" s="119">
        <f t="shared" si="0"/>
        <v>0</v>
      </c>
      <c r="H11" s="117"/>
      <c r="I11" s="118">
        <f>J11/$M$6</f>
        <v>0</v>
      </c>
      <c r="J11" s="118">
        <f>E11/$M$4</f>
        <v>0</v>
      </c>
      <c r="L11" s="117" t="s">
        <v>337</v>
      </c>
      <c r="M11" s="117">
        <v>1024</v>
      </c>
    </row>
    <row r="12" spans="2:14" ht="14.25">
      <c r="B12" s="117" t="s">
        <v>338</v>
      </c>
      <c r="C12" s="117" t="s">
        <v>339</v>
      </c>
      <c r="D12" s="118" t="s">
        <v>336</v>
      </c>
      <c r="E12" s="118">
        <v>0</v>
      </c>
      <c r="F12" s="119">
        <f t="shared" si="0"/>
        <v>0</v>
      </c>
      <c r="G12" s="119">
        <f t="shared" si="0"/>
        <v>0</v>
      </c>
      <c r="H12" s="117"/>
      <c r="I12" s="118">
        <f>J12/$M$6</f>
        <v>0</v>
      </c>
      <c r="J12" s="118">
        <f>E12/$M$4</f>
        <v>0</v>
      </c>
    </row>
    <row r="13" spans="2:14" ht="14.25">
      <c r="B13" s="117" t="s">
        <v>340</v>
      </c>
      <c r="C13" s="117" t="s">
        <v>341</v>
      </c>
      <c r="D13" s="118">
        <v>116</v>
      </c>
      <c r="E13" s="118">
        <f>D13*M6</f>
        <v>1392</v>
      </c>
      <c r="F13" s="119">
        <f t="shared" si="0"/>
        <v>19403.636363636364</v>
      </c>
      <c r="G13" s="119">
        <f t="shared" si="0"/>
        <v>232843.63636363635</v>
      </c>
      <c r="H13" s="117"/>
      <c r="I13" s="118">
        <f>J13/$M$6</f>
        <v>5.2727272727272725</v>
      </c>
      <c r="J13" s="118">
        <f>E13/$M$4</f>
        <v>63.272727272727273</v>
      </c>
      <c r="K13" t="s">
        <v>342</v>
      </c>
    </row>
    <row r="14" spans="2:14" ht="14.25">
      <c r="B14" s="117" t="s">
        <v>343</v>
      </c>
      <c r="C14" s="117" t="s">
        <v>120</v>
      </c>
      <c r="D14" s="118">
        <f>13.89</f>
        <v>13.89</v>
      </c>
      <c r="E14" s="118">
        <f>D14*M6</f>
        <v>166.68</v>
      </c>
      <c r="F14" s="119">
        <f t="shared" si="0"/>
        <v>2323.4181818181823</v>
      </c>
      <c r="G14" s="119">
        <f t="shared" si="0"/>
        <v>27881.018181818185</v>
      </c>
      <c r="H14" s="117"/>
      <c r="I14" s="118">
        <f>J14/$M$6</f>
        <v>0.63136363636363646</v>
      </c>
      <c r="J14" s="118">
        <f>E14/$M$4</f>
        <v>7.5763636363636371</v>
      </c>
    </row>
    <row r="15" spans="2:14" ht="14.25">
      <c r="B15" s="210" t="s">
        <v>344</v>
      </c>
      <c r="C15" s="210" t="s">
        <v>345</v>
      </c>
      <c r="D15" s="229">
        <f>SUM(D10:D14)</f>
        <v>191.77999999999997</v>
      </c>
      <c r="E15" s="229">
        <f>SUM(E10:E14)</f>
        <v>2301.36</v>
      </c>
      <c r="F15" s="229">
        <f>SUM(F10:F14)</f>
        <v>32079.563636363637</v>
      </c>
      <c r="G15" s="229">
        <f>SUM(G10:G14)</f>
        <v>384954.76363636361</v>
      </c>
      <c r="H15" s="83"/>
      <c r="I15" s="229">
        <f>SUM(I10:I14)</f>
        <v>8.7172727272727268</v>
      </c>
      <c r="J15" s="229">
        <f>SUM(J10:J14)</f>
        <v>104.60727272727273</v>
      </c>
    </row>
    <row r="16" spans="2:14" ht="14.25">
      <c r="B16" s="74"/>
      <c r="C16" s="74"/>
      <c r="D16" s="90"/>
      <c r="E16" s="90"/>
      <c r="F16" s="90"/>
      <c r="G16" s="90"/>
      <c r="I16" s="90"/>
      <c r="J16" s="90"/>
    </row>
    <row r="17" spans="2:26" ht="14.25" customHeight="1">
      <c r="B17" s="225" t="s">
        <v>198</v>
      </c>
      <c r="C17" s="226" t="s">
        <v>346</v>
      </c>
      <c r="D17" s="227">
        <f>I42</f>
        <v>13.125</v>
      </c>
      <c r="E17" s="227">
        <f>D17*M6</f>
        <v>157.5</v>
      </c>
      <c r="F17" s="228">
        <f>I17*$M$5</f>
        <v>48300</v>
      </c>
      <c r="G17" s="228">
        <f>J17*$M$5</f>
        <v>579600</v>
      </c>
      <c r="H17" s="83"/>
      <c r="I17" s="229">
        <f>J17/$M$6</f>
        <v>13.125</v>
      </c>
      <c r="J17" s="229">
        <f>E17</f>
        <v>157.5</v>
      </c>
    </row>
    <row r="18" spans="2:26" ht="14.25" customHeight="1">
      <c r="B18" s="290" t="s">
        <v>347</v>
      </c>
      <c r="C18" s="287"/>
      <c r="D18" s="286"/>
      <c r="E18" s="286"/>
      <c r="F18" s="288">
        <f>F15+F17</f>
        <v>80379.563636363629</v>
      </c>
      <c r="G18" s="288">
        <f>G15+G17</f>
        <v>964554.76363636367</v>
      </c>
      <c r="H18" s="286"/>
      <c r="I18" s="289">
        <f>SUM(I15:I17)</f>
        <v>21.842272727272729</v>
      </c>
      <c r="J18" s="289">
        <f>SUM(J15:J17)</f>
        <v>262.10727272727274</v>
      </c>
    </row>
    <row r="19" spans="2:26" ht="14.25"/>
    <row r="20" spans="2:26" ht="14.25"/>
    <row r="21" spans="2:26" ht="14.25">
      <c r="B21" s="117" t="s">
        <v>348</v>
      </c>
      <c r="C21" s="117" t="s">
        <v>349</v>
      </c>
      <c r="D21" s="117" t="s">
        <v>350</v>
      </c>
    </row>
    <row r="22" spans="2:26" ht="14.25">
      <c r="B22" s="117" t="s">
        <v>351</v>
      </c>
      <c r="C22" s="117">
        <v>160</v>
      </c>
      <c r="D22" s="217">
        <v>0.75</v>
      </c>
    </row>
    <row r="23" spans="2:26" ht="14.25">
      <c r="B23" s="117" t="s">
        <v>352</v>
      </c>
      <c r="C23" s="117" t="s">
        <v>353</v>
      </c>
      <c r="D23" s="117">
        <v>120</v>
      </c>
      <c r="E23" t="s">
        <v>354</v>
      </c>
    </row>
    <row r="24" spans="2:26" ht="14.25">
      <c r="B24" s="117" t="s">
        <v>355</v>
      </c>
      <c r="C24" s="117" t="s">
        <v>356</v>
      </c>
      <c r="D24" s="117">
        <f>D23/2</f>
        <v>60</v>
      </c>
      <c r="E24" t="s">
        <v>354</v>
      </c>
    </row>
    <row r="25" spans="2:26" ht="14.25">
      <c r="B25" s="117" t="s">
        <v>357</v>
      </c>
      <c r="C25" s="117"/>
      <c r="D25" s="117">
        <f>D24*M11</f>
        <v>61440</v>
      </c>
      <c r="E25" t="s">
        <v>333</v>
      </c>
      <c r="W25">
        <v>73000</v>
      </c>
      <c r="X25" t="s">
        <v>358</v>
      </c>
      <c r="Y25">
        <f>W25/2</f>
        <v>36500</v>
      </c>
      <c r="Z25" t="s">
        <v>359</v>
      </c>
    </row>
    <row r="26" spans="2:26" ht="14.25">
      <c r="B26" s="176" t="s">
        <v>360</v>
      </c>
      <c r="C26" s="176"/>
      <c r="D26" s="176">
        <f>D25/M10</f>
        <v>30720</v>
      </c>
      <c r="E26" t="s">
        <v>333</v>
      </c>
      <c r="W26" t="s">
        <v>361</v>
      </c>
      <c r="X26" t="s">
        <v>362</v>
      </c>
      <c r="Y26">
        <f>Y25*2/2</f>
        <v>36500</v>
      </c>
      <c r="Z26" t="s">
        <v>333</v>
      </c>
    </row>
    <row r="27" spans="2:26" ht="14.25">
      <c r="B27" s="117" t="s">
        <v>363</v>
      </c>
      <c r="C27" s="117"/>
      <c r="D27" s="117">
        <f>D25*M4</f>
        <v>1351680</v>
      </c>
      <c r="E27" t="s">
        <v>333</v>
      </c>
      <c r="W27" t="s">
        <v>364</v>
      </c>
      <c r="X27" t="s">
        <v>365</v>
      </c>
      <c r="Y27">
        <f>D24*1024</f>
        <v>61440</v>
      </c>
      <c r="Z27" t="s">
        <v>333</v>
      </c>
    </row>
    <row r="28" spans="2:26" ht="14.25">
      <c r="B28" s="176" t="s">
        <v>366</v>
      </c>
      <c r="C28" s="176"/>
      <c r="D28" s="216">
        <f>D27/M11/M11</f>
        <v>1.2890625</v>
      </c>
      <c r="E28" s="218" t="s">
        <v>367</v>
      </c>
      <c r="X28" s="74" t="s">
        <v>368</v>
      </c>
      <c r="Y28" s="74">
        <f>Y27/2</f>
        <v>30720</v>
      </c>
    </row>
    <row r="29" spans="2:26" ht="14.25">
      <c r="B29" t="s">
        <v>369</v>
      </c>
      <c r="C29" t="s">
        <v>370</v>
      </c>
      <c r="D29" s="90">
        <f>116</f>
        <v>116</v>
      </c>
      <c r="X29" t="s">
        <v>371</v>
      </c>
      <c r="Y29">
        <f>Y27*M4</f>
        <v>1351680</v>
      </c>
      <c r="Z29" t="s">
        <v>333</v>
      </c>
    </row>
    <row r="30" spans="2:26" ht="14.25">
      <c r="X30" s="117" t="s">
        <v>366</v>
      </c>
      <c r="Y30" s="176">
        <f>Y29/1024/1024</f>
        <v>1.2890625</v>
      </c>
      <c r="Z30" s="176" t="s">
        <v>367</v>
      </c>
    </row>
    <row r="31" spans="2:26" ht="14.25">
      <c r="Y31" s="74"/>
      <c r="Z31" s="74"/>
    </row>
    <row r="32" spans="2:26" ht="14.25">
      <c r="Y32" s="74"/>
      <c r="Z32" s="74"/>
    </row>
    <row r="33" spans="2:26" ht="14.25">
      <c r="Y33" s="74"/>
      <c r="Z33" s="74"/>
    </row>
    <row r="34" spans="2:26" ht="14.25">
      <c r="Y34" s="74"/>
      <c r="Z34" s="74"/>
    </row>
    <row r="35" spans="2:26" ht="14.25">
      <c r="Y35" s="74"/>
      <c r="Z35" s="74"/>
    </row>
    <row r="36" spans="2:26" ht="14.25"/>
    <row r="37" spans="2:26" ht="14.25">
      <c r="X37" s="117" t="s">
        <v>372</v>
      </c>
      <c r="Y37" s="117" t="s">
        <v>373</v>
      </c>
      <c r="Z37" s="117">
        <v>73000</v>
      </c>
    </row>
    <row r="38" spans="2:26" ht="15" customHeight="1">
      <c r="F38" s="222" t="s">
        <v>164</v>
      </c>
      <c r="G38" s="223"/>
      <c r="H38" s="144"/>
      <c r="I38" s="224" t="s">
        <v>165</v>
      </c>
      <c r="J38" s="223"/>
    </row>
    <row r="39" spans="2:26" ht="28.5" customHeight="1">
      <c r="B39" s="50" t="s">
        <v>85</v>
      </c>
      <c r="C39" s="51" t="s">
        <v>167</v>
      </c>
      <c r="D39" s="51" t="s">
        <v>374</v>
      </c>
      <c r="E39" s="117" t="s">
        <v>375</v>
      </c>
      <c r="F39" s="52" t="s">
        <v>169</v>
      </c>
      <c r="G39" s="52" t="s">
        <v>170</v>
      </c>
      <c r="H39" s="66"/>
      <c r="I39" s="52" t="s">
        <v>169</v>
      </c>
      <c r="J39" s="52" t="s">
        <v>171</v>
      </c>
    </row>
    <row r="40" spans="2:26" ht="15" customHeight="1">
      <c r="B40" s="117" t="s">
        <v>376</v>
      </c>
      <c r="C40" s="117" t="s">
        <v>377</v>
      </c>
      <c r="D40" s="179">
        <v>35000</v>
      </c>
      <c r="E40" s="117">
        <v>0.5</v>
      </c>
      <c r="F40" s="119">
        <f>I40*$M$5</f>
        <v>26833.333333333336</v>
      </c>
      <c r="G40" s="119">
        <f>J40*$M$5</f>
        <v>322000</v>
      </c>
      <c r="H40" s="117"/>
      <c r="I40" s="221">
        <f>J40/$M$6</f>
        <v>7.291666666666667</v>
      </c>
      <c r="J40" s="221">
        <f>(D40*E40)/$M$7</f>
        <v>87.5</v>
      </c>
      <c r="K40" s="177"/>
    </row>
    <row r="41" spans="2:26" ht="15" customHeight="1">
      <c r="B41" s="117" t="s">
        <v>378</v>
      </c>
      <c r="C41" s="117" t="s">
        <v>379</v>
      </c>
      <c r="D41" s="179">
        <v>70000</v>
      </c>
      <c r="E41" s="117">
        <v>0.1</v>
      </c>
      <c r="F41" s="119">
        <f>I41*M6</f>
        <v>70</v>
      </c>
      <c r="G41" s="119">
        <f>J41*$M$5</f>
        <v>257600</v>
      </c>
      <c r="H41" s="117"/>
      <c r="I41" s="221">
        <f>J41/$M$6</f>
        <v>5.833333333333333</v>
      </c>
      <c r="J41" s="221">
        <f>(D41*E41)/100</f>
        <v>70</v>
      </c>
      <c r="K41" s="177"/>
    </row>
    <row r="42" spans="2:26" ht="15" customHeight="1">
      <c r="B42" s="53" t="s">
        <v>43</v>
      </c>
      <c r="C42" s="54"/>
      <c r="D42" s="53"/>
      <c r="E42" s="53"/>
      <c r="F42" s="55">
        <f>SUM(F40:F41)</f>
        <v>26903.333333333336</v>
      </c>
      <c r="G42" s="55">
        <f>SUM(G40:G41)</f>
        <v>579600</v>
      </c>
      <c r="H42" s="53"/>
      <c r="I42" s="214">
        <f>SUM(I40:I41)</f>
        <v>13.125</v>
      </c>
      <c r="J42" s="214">
        <f>SUM(J40:J41)</f>
        <v>157.5</v>
      </c>
    </row>
    <row r="43" spans="2:26" ht="15" customHeight="1">
      <c r="B43" s="44"/>
      <c r="C43" s="219"/>
      <c r="D43" s="44"/>
      <c r="E43" s="44"/>
      <c r="F43" s="139"/>
      <c r="G43" s="139"/>
      <c r="H43" s="44"/>
      <c r="I43" s="220"/>
      <c r="J43" s="220"/>
    </row>
    <row r="44" spans="2:26" ht="15" customHeight="1">
      <c r="B44" s="44"/>
      <c r="C44" s="219"/>
      <c r="D44" s="44"/>
      <c r="E44" s="44"/>
      <c r="F44" s="139"/>
      <c r="G44" s="139"/>
      <c r="H44" s="44"/>
      <c r="I44" s="220"/>
      <c r="J44" s="220"/>
    </row>
    <row r="45" spans="2:26" ht="15" customHeight="1">
      <c r="B45" s="44"/>
      <c r="C45" s="219"/>
      <c r="D45" s="44"/>
      <c r="E45" s="44"/>
      <c r="F45" s="139"/>
      <c r="G45" s="139"/>
      <c r="H45" s="44"/>
      <c r="I45" s="220"/>
      <c r="J45" s="220"/>
    </row>
    <row r="46" spans="2:26" ht="15" customHeight="1">
      <c r="B46" s="44"/>
      <c r="C46" s="219"/>
      <c r="D46" s="44"/>
      <c r="E46" s="44"/>
      <c r="F46" s="139"/>
      <c r="G46" s="139"/>
      <c r="H46" s="44"/>
      <c r="I46" s="220"/>
      <c r="J46" s="220"/>
    </row>
    <row r="47" spans="2:26" ht="15" customHeight="1">
      <c r="B47" s="44"/>
      <c r="C47" s="219"/>
      <c r="D47" s="44"/>
      <c r="E47" s="44"/>
      <c r="F47" s="139"/>
      <c r="G47" s="139"/>
      <c r="H47" s="44"/>
      <c r="I47" s="220"/>
      <c r="J47" s="220"/>
    </row>
    <row r="49" spans="1:14" ht="21">
      <c r="A49" s="183"/>
      <c r="B49" s="474" t="s">
        <v>380</v>
      </c>
      <c r="C49" s="475"/>
      <c r="D49" s="475"/>
      <c r="E49" s="475"/>
      <c r="F49" s="475"/>
      <c r="G49" s="475"/>
      <c r="H49" s="475"/>
      <c r="I49" s="476"/>
      <c r="J49" s="183"/>
    </row>
    <row r="50" spans="1:14" ht="36" customHeight="1">
      <c r="B50" s="181" t="s">
        <v>381</v>
      </c>
      <c r="C50" s="181" t="s">
        <v>382</v>
      </c>
      <c r="D50" s="181" t="s">
        <v>383</v>
      </c>
      <c r="E50" s="181" t="s">
        <v>384</v>
      </c>
      <c r="F50" s="181" t="s">
        <v>385</v>
      </c>
      <c r="G50" s="181" t="s">
        <v>386</v>
      </c>
      <c r="H50" s="181" t="s">
        <v>387</v>
      </c>
      <c r="I50" s="181" t="s">
        <v>388</v>
      </c>
      <c r="K50" s="182" t="s">
        <v>84</v>
      </c>
      <c r="L50" s="182" t="s">
        <v>389</v>
      </c>
      <c r="M50" s="182" t="s">
        <v>390</v>
      </c>
      <c r="N50" s="182" t="s">
        <v>391</v>
      </c>
    </row>
    <row r="51" spans="1:14" ht="30.75" customHeight="1">
      <c r="B51" s="178" t="s">
        <v>376</v>
      </c>
      <c r="C51" s="212" t="s">
        <v>392</v>
      </c>
      <c r="D51" s="179">
        <v>35000</v>
      </c>
      <c r="E51" s="179">
        <f>D51/12</f>
        <v>2916.6666666666665</v>
      </c>
      <c r="F51" s="178">
        <v>200</v>
      </c>
      <c r="G51" s="178">
        <v>1</v>
      </c>
      <c r="H51" s="178"/>
      <c r="I51" s="213">
        <f>E51*G51/F51</f>
        <v>14.583333333333332</v>
      </c>
      <c r="K51" s="178" t="s">
        <v>393</v>
      </c>
      <c r="L51" s="178" t="s">
        <v>394</v>
      </c>
      <c r="M51" s="179">
        <v>44</v>
      </c>
      <c r="N51" s="179">
        <v>44</v>
      </c>
    </row>
    <row r="52" spans="1:14" ht="26.25" customHeight="1">
      <c r="B52" s="178" t="s">
        <v>378</v>
      </c>
      <c r="C52" s="212" t="s">
        <v>395</v>
      </c>
      <c r="D52" s="179">
        <v>70000</v>
      </c>
      <c r="E52" s="179">
        <f>D52/12</f>
        <v>5833.333333333333</v>
      </c>
      <c r="F52" s="178">
        <v>100</v>
      </c>
      <c r="G52" s="178">
        <v>0.25</v>
      </c>
      <c r="H52" s="178"/>
      <c r="I52" s="213">
        <f>E52*G52/F52</f>
        <v>14.583333333333332</v>
      </c>
      <c r="K52" s="178" t="s">
        <v>396</v>
      </c>
      <c r="L52" s="178" t="s">
        <v>394</v>
      </c>
      <c r="M52" s="211">
        <f>SUM(I10:I14)</f>
        <v>8.7172727272727268</v>
      </c>
      <c r="N52" s="179">
        <f>'OLD_AWS Estimate'!F4</f>
        <v>8.7500999999999998</v>
      </c>
    </row>
    <row r="53" spans="1:14" ht="14.25">
      <c r="H53" t="s">
        <v>397</v>
      </c>
      <c r="I53" s="192">
        <f>SUM(I51:I52)</f>
        <v>29.166666666666664</v>
      </c>
      <c r="K53" s="180" t="s">
        <v>398</v>
      </c>
      <c r="L53" s="184">
        <v>0</v>
      </c>
      <c r="M53" s="184">
        <f>SUM(M51:M52)</f>
        <v>52.717272727272729</v>
      </c>
      <c r="N53" s="184">
        <f>SUM(N51:N52)</f>
        <v>52.750100000000003</v>
      </c>
    </row>
    <row r="57" spans="1:14" ht="15" customHeight="1">
      <c r="B57" s="194" t="s">
        <v>399</v>
      </c>
    </row>
    <row r="58" spans="1:14" ht="15" customHeight="1">
      <c r="B58" s="33" t="s">
        <v>400</v>
      </c>
      <c r="C58" s="33"/>
      <c r="D58" s="41">
        <v>61.89</v>
      </c>
    </row>
  </sheetData>
  <mergeCells count="1">
    <mergeCell ref="B49:I49"/>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fb1fefc-1b89-47b0-9be5-0f3471fb50e4">
      <Terms xmlns="http://schemas.microsoft.com/office/infopath/2007/PartnerControls"/>
    </lcf76f155ced4ddcb4097134ff3c332f>
    <TaxCatchAll xmlns="1b83d3e1-660d-4266-9b34-c1d84af0256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912EF0A81DA447BCC1744BD47672A4" ma:contentTypeVersion="12" ma:contentTypeDescription="Create a new document." ma:contentTypeScope="" ma:versionID="7319d6ffa1c66c80410324a32576beed">
  <xsd:schema xmlns:xsd="http://www.w3.org/2001/XMLSchema" xmlns:xs="http://www.w3.org/2001/XMLSchema" xmlns:p="http://schemas.microsoft.com/office/2006/metadata/properties" xmlns:ns2="dfb1fefc-1b89-47b0-9be5-0f3471fb50e4" xmlns:ns3="1b83d3e1-660d-4266-9b34-c1d84af02568" targetNamespace="http://schemas.microsoft.com/office/2006/metadata/properties" ma:root="true" ma:fieldsID="4cbaf326afc129c0c5f73f1574105450" ns2:_="" ns3:_="">
    <xsd:import namespace="dfb1fefc-1b89-47b0-9be5-0f3471fb50e4"/>
    <xsd:import namespace="1b83d3e1-660d-4266-9b34-c1d84af025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b1fefc-1b89-47b0-9be5-0f3471fb50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3f7c956-802a-45ac-b2ba-cc78506785f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83d3e1-660d-4266-9b34-c1d84af0256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d0106e4-a677-4cb3-afa3-3d3062ea3a1b}" ma:internalName="TaxCatchAll" ma:showField="CatchAllData" ma:web="1b83d3e1-660d-4266-9b34-c1d84af025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ED9FCC-68E0-4392-A3B3-D3DA2AA4706C}"/>
</file>

<file path=customXml/itemProps2.xml><?xml version="1.0" encoding="utf-8"?>
<ds:datastoreItem xmlns:ds="http://schemas.openxmlformats.org/officeDocument/2006/customXml" ds:itemID="{02D369BB-81DD-4667-A987-ACDA33406DFC}"/>
</file>

<file path=customXml/itemProps3.xml><?xml version="1.0" encoding="utf-8"?>
<ds:datastoreItem xmlns:ds="http://schemas.openxmlformats.org/officeDocument/2006/customXml" ds:itemID="{B7CE6082-37E6-4A30-86C3-0BC2274DC2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Marina Rincon Torroella</dc:creator>
  <cp:keywords/>
  <dc:description/>
  <cp:lastModifiedBy>Marina Rincon Torroella</cp:lastModifiedBy>
  <cp:revision/>
  <dcterms:created xsi:type="dcterms:W3CDTF">2025-02-05T10:33:16Z</dcterms:created>
  <dcterms:modified xsi:type="dcterms:W3CDTF">2026-04-15T19:53:21Z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0x0101003E912EF0A81DA447BCC1744BD47672A4</vt:lpwstr>
  </property>
  <property fmtid="{D5CDD505-2E9C-101B-9397-08002B2CF9AE}" pid="3" name="MediaServiceImageTags">
    <vt:lpwstr/>
  </property>
</Properties>
</file>