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2"/>
  <workbookPr/>
  <mc:AlternateContent xmlns:mc="http://schemas.openxmlformats.org/markup-compatibility/2006">
    <mc:Choice Requires="x15">
      <x15ac:absPath xmlns:x15ac="http://schemas.microsoft.com/office/spreadsheetml/2010/11/ac" url="/Users/nadsad/Documents/MASTER/CIRAIG/Research/PlasticFADE/Files for submission/"/>
    </mc:Choice>
  </mc:AlternateContent>
  <xr:revisionPtr revIDLastSave="0" documentId="13_ncr:1_{FEF77F02-3DAE-724A-97D3-E59D6608E86A}" xr6:coauthVersionLast="47" xr6:coauthVersionMax="47" xr10:uidLastSave="{00000000-0000-0000-0000-000000000000}"/>
  <bookViews>
    <workbookView xWindow="29400" yWindow="-380" windowWidth="38400" windowHeight="21000" xr2:uid="{00000000-000D-0000-FFFF-FFFF00000000}"/>
  </bookViews>
  <sheets>
    <sheet name="Cover sheet" sheetId="14" r:id="rId1"/>
    <sheet name="Model interface" sheetId="1" r:id="rId2"/>
    <sheet name="Drop-down lists" sheetId="2" r:id="rId3"/>
    <sheet name="Env. stresses" sheetId="15" r:id="rId4"/>
    <sheet name="Calibration" sheetId="16" r:id="rId5"/>
    <sheet name="Scatterplot" sheetId="5" r:id="rId6"/>
    <sheet name="Uncertainty" sheetId="17" r:id="rId7"/>
    <sheet name="Results" sheetId="6" r:id="rId8"/>
    <sheet name="Rate constants" sheetId="18" r:id="rId9"/>
    <sheet name="Elena2023" sheetId="13" r:id="rId10"/>
    <sheet name="Sankey" sheetId="20" r:id="rId11"/>
    <sheet name="Comparison" sheetId="23" r:id="rId12"/>
    <sheet name="Fig.S2" sheetId="22" r:id="rId13"/>
    <sheet name="EQS 2" sheetId="24" r:id="rId14"/>
    <sheet name="References" sheetId="21"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3" i="23" l="1"/>
  <c r="AN12" i="23"/>
  <c r="Y12" i="23"/>
  <c r="AD11" i="23"/>
  <c r="AX11" i="23"/>
  <c r="Y11" i="23"/>
  <c r="J9" i="23"/>
  <c r="BF14" i="23"/>
  <c r="BF15" i="23"/>
  <c r="BF16" i="23"/>
  <c r="BC12" i="23"/>
  <c r="BD12" i="23"/>
  <c r="BE12" i="23"/>
  <c r="BF12" i="23"/>
  <c r="BG12" i="23"/>
  <c r="BC13" i="23"/>
  <c r="BD13" i="23"/>
  <c r="BE13" i="23"/>
  <c r="BF13" i="23"/>
  <c r="BG13" i="23"/>
  <c r="BD11" i="23"/>
  <c r="BE11" i="23"/>
  <c r="BF11" i="23"/>
  <c r="BG11" i="23"/>
  <c r="BC11" i="23"/>
  <c r="BA14" i="23"/>
  <c r="BA15" i="23"/>
  <c r="BA16" i="23"/>
  <c r="AX12" i="23"/>
  <c r="AY12" i="23"/>
  <c r="AZ12" i="23"/>
  <c r="BA12" i="23"/>
  <c r="BB12" i="23"/>
  <c r="AX13" i="23"/>
  <c r="AY13" i="23"/>
  <c r="AZ13" i="23"/>
  <c r="BA13" i="23"/>
  <c r="AY11" i="23"/>
  <c r="AZ11" i="23"/>
  <c r="BA11" i="23"/>
  <c r="BB11" i="23"/>
  <c r="AV14" i="23"/>
  <c r="AV15" i="23"/>
  <c r="AV16" i="23"/>
  <c r="AS12" i="23"/>
  <c r="AT12" i="23"/>
  <c r="AU12" i="23"/>
  <c r="AV12" i="23"/>
  <c r="AW12" i="23"/>
  <c r="AS13" i="23"/>
  <c r="AT13" i="23"/>
  <c r="AU13" i="23"/>
  <c r="AV13" i="23"/>
  <c r="AW13" i="23"/>
  <c r="AT11" i="23"/>
  <c r="AU11" i="23"/>
  <c r="AV11" i="23"/>
  <c r="AW11" i="23"/>
  <c r="AS11" i="23"/>
  <c r="AQ14" i="23"/>
  <c r="AQ15" i="23"/>
  <c r="AQ16" i="23"/>
  <c r="AO12" i="23"/>
  <c r="AP12" i="23"/>
  <c r="AQ12" i="23"/>
  <c r="AR12" i="23"/>
  <c r="AN13" i="23"/>
  <c r="AO13" i="23"/>
  <c r="AP13" i="23"/>
  <c r="AQ13" i="23"/>
  <c r="AR13" i="23"/>
  <c r="AO11" i="23"/>
  <c r="AP11" i="23"/>
  <c r="AQ11" i="23"/>
  <c r="AR11" i="23"/>
  <c r="AN11" i="23"/>
  <c r="AG14" i="23"/>
  <c r="AG15" i="23"/>
  <c r="AG16" i="23"/>
  <c r="AD12" i="23"/>
  <c r="AE12" i="23"/>
  <c r="AF12" i="23"/>
  <c r="AG12" i="23"/>
  <c r="AH12" i="23"/>
  <c r="AD13" i="23"/>
  <c r="AE13" i="23"/>
  <c r="AF13" i="23"/>
  <c r="AG13" i="23"/>
  <c r="AH13" i="23"/>
  <c r="AE11" i="23"/>
  <c r="AF11" i="23"/>
  <c r="AG11" i="23"/>
  <c r="AH11" i="23"/>
  <c r="AB14" i="23"/>
  <c r="AB15" i="23"/>
  <c r="AB16" i="23"/>
  <c r="Z12" i="23"/>
  <c r="AA12" i="23"/>
  <c r="AB12" i="23"/>
  <c r="AC12" i="23"/>
  <c r="Y13" i="23"/>
  <c r="Z13" i="23"/>
  <c r="AA13" i="23"/>
  <c r="AB13" i="23"/>
  <c r="AC13" i="23"/>
  <c r="Z11" i="23"/>
  <c r="AA11" i="23"/>
  <c r="AB11" i="23"/>
  <c r="AC11" i="23"/>
  <c r="J13" i="23"/>
  <c r="BG1" i="23"/>
  <c r="BF1" i="23"/>
  <c r="BE1" i="23"/>
  <c r="BD1" i="23"/>
  <c r="BC1" i="23"/>
  <c r="BB1" i="23"/>
  <c r="BA1" i="23"/>
  <c r="AZ1" i="23"/>
  <c r="AY1" i="23"/>
  <c r="AX1" i="23"/>
  <c r="AW1" i="23"/>
  <c r="AV1" i="23"/>
  <c r="AU1" i="23"/>
  <c r="AT1" i="23"/>
  <c r="AS1" i="23"/>
  <c r="AR1" i="23"/>
  <c r="AQ1" i="23"/>
  <c r="AP1" i="23"/>
  <c r="AO1" i="23"/>
  <c r="AN1" i="23"/>
  <c r="AM1" i="23"/>
  <c r="AL1" i="23"/>
  <c r="AK1" i="23"/>
  <c r="AJ1" i="23"/>
  <c r="AI1" i="23"/>
  <c r="AH1" i="23"/>
  <c r="AG1" i="23"/>
  <c r="AF1" i="23"/>
  <c r="AE1" i="23"/>
  <c r="AD1" i="23"/>
  <c r="AC1" i="23"/>
  <c r="AA1" i="23"/>
  <c r="Z1" i="23"/>
  <c r="Y1" i="23"/>
  <c r="AB1" i="23"/>
  <c r="A26" i="23" a="1"/>
  <c r="F3" i="23"/>
  <c r="D3" i="16"/>
  <c r="E3" i="13"/>
  <c r="A26" i="23" l="1"/>
  <c r="O60" i="18"/>
  <c r="P60" i="18"/>
  <c r="Q60" i="18"/>
  <c r="O61" i="18"/>
  <c r="P61" i="18"/>
  <c r="Q61" i="18"/>
  <c r="O62" i="18"/>
  <c r="P62" i="18"/>
  <c r="Q62" i="18"/>
  <c r="O63" i="18"/>
  <c r="P63" i="18"/>
  <c r="Q63" i="18"/>
  <c r="O64" i="18"/>
  <c r="P64" i="18"/>
  <c r="Q64" i="18"/>
  <c r="O65" i="18"/>
  <c r="P65" i="18"/>
  <c r="Q65" i="18"/>
  <c r="O66" i="18"/>
  <c r="P66" i="18"/>
  <c r="Q66" i="18"/>
  <c r="O67" i="18"/>
  <c r="P67" i="18"/>
  <c r="Q67" i="18"/>
  <c r="N63" i="18"/>
  <c r="N62" i="18"/>
  <c r="N61" i="18"/>
  <c r="N60" i="18"/>
  <c r="M63" i="18"/>
  <c r="M62" i="18"/>
  <c r="M61" i="18"/>
  <c r="M60" i="18"/>
  <c r="L63" i="18"/>
  <c r="L62" i="18"/>
  <c r="L61" i="18"/>
  <c r="N67" i="18"/>
  <c r="N66" i="18"/>
  <c r="N65" i="18"/>
  <c r="N64" i="18"/>
  <c r="M67" i="18"/>
  <c r="M66" i="18"/>
  <c r="M65" i="18"/>
  <c r="M64" i="18"/>
  <c r="L67" i="18"/>
  <c r="L66" i="18"/>
  <c r="L65" i="18"/>
  <c r="L64" i="18"/>
  <c r="L60" i="18"/>
  <c r="O56" i="18"/>
  <c r="P56" i="18"/>
  <c r="Q56" i="18"/>
  <c r="O57" i="18"/>
  <c r="P57" i="18"/>
  <c r="Q57" i="18"/>
  <c r="O58" i="18"/>
  <c r="P58" i="18"/>
  <c r="Q58" i="18"/>
  <c r="O59" i="18"/>
  <c r="P59" i="18"/>
  <c r="Q59" i="18"/>
  <c r="N59" i="18"/>
  <c r="N58" i="18"/>
  <c r="N57" i="18"/>
  <c r="N56" i="18"/>
  <c r="M59" i="18"/>
  <c r="M58" i="18"/>
  <c r="M57" i="18"/>
  <c r="M56" i="18"/>
  <c r="L59" i="18"/>
  <c r="L58" i="18"/>
  <c r="L57" i="18"/>
  <c r="L56" i="18"/>
  <c r="O52" i="18"/>
  <c r="P52" i="18"/>
  <c r="Q52" i="18"/>
  <c r="O53" i="18"/>
  <c r="P53" i="18"/>
  <c r="Q53" i="18"/>
  <c r="O54" i="18"/>
  <c r="P54" i="18"/>
  <c r="Q54" i="18"/>
  <c r="O55" i="18"/>
  <c r="P55" i="18"/>
  <c r="Q55" i="18"/>
  <c r="N54" i="18"/>
  <c r="N55" i="18"/>
  <c r="N53" i="18"/>
  <c r="N52" i="18"/>
  <c r="M54" i="18"/>
  <c r="M55" i="18"/>
  <c r="M53" i="18"/>
  <c r="M52" i="18"/>
  <c r="L54" i="18"/>
  <c r="L55" i="18"/>
  <c r="L53" i="18"/>
  <c r="L52" i="18"/>
  <c r="O49" i="18"/>
  <c r="P49" i="18"/>
  <c r="Q49" i="18"/>
  <c r="O50" i="18"/>
  <c r="P50" i="18"/>
  <c r="Q50" i="18"/>
  <c r="O51" i="18"/>
  <c r="P51" i="18"/>
  <c r="Q51" i="18"/>
  <c r="Q48" i="18"/>
  <c r="P48" i="18"/>
  <c r="O48" i="18"/>
  <c r="N50" i="18"/>
  <c r="N51" i="18"/>
  <c r="N49" i="18"/>
  <c r="N48" i="18"/>
  <c r="M50" i="18"/>
  <c r="M51" i="18"/>
  <c r="M49" i="18"/>
  <c r="M48" i="18"/>
  <c r="L50" i="18"/>
  <c r="L51" i="18"/>
  <c r="L49" i="18"/>
  <c r="L48" i="18"/>
  <c r="Q41" i="18"/>
  <c r="Q42" i="18"/>
  <c r="Q43" i="18"/>
  <c r="Q44" i="18"/>
  <c r="Q45" i="18"/>
  <c r="Q40" i="18"/>
  <c r="P41" i="18"/>
  <c r="P42" i="18"/>
  <c r="P43" i="18"/>
  <c r="P44" i="18"/>
  <c r="P45" i="18"/>
  <c r="P40" i="18"/>
  <c r="O41" i="18"/>
  <c r="O42" i="18"/>
  <c r="O43" i="18"/>
  <c r="O44" i="18"/>
  <c r="O45" i="18"/>
  <c r="O40" i="18"/>
  <c r="N41" i="18"/>
  <c r="N42" i="18"/>
  <c r="N43" i="18"/>
  <c r="N44" i="18"/>
  <c r="N45" i="18"/>
  <c r="N40" i="18"/>
  <c r="L41" i="18"/>
  <c r="L42" i="18"/>
  <c r="L43" i="18"/>
  <c r="L44" i="18"/>
  <c r="L45" i="18"/>
  <c r="L40" i="18"/>
  <c r="Q39" i="18"/>
  <c r="Q35" i="18"/>
  <c r="Q36" i="18"/>
  <c r="Q37" i="18"/>
  <c r="Q38" i="18"/>
  <c r="Q34" i="18"/>
  <c r="P39" i="18"/>
  <c r="P35" i="18"/>
  <c r="P36" i="18"/>
  <c r="P37" i="18"/>
  <c r="P38" i="18"/>
  <c r="P34" i="18"/>
  <c r="O39" i="18"/>
  <c r="O35" i="18"/>
  <c r="O36" i="18"/>
  <c r="O37" i="18"/>
  <c r="O38" i="18"/>
  <c r="O34" i="18"/>
  <c r="N39" i="18"/>
  <c r="N35" i="18"/>
  <c r="N36" i="18"/>
  <c r="N37" i="18"/>
  <c r="N38" i="18"/>
  <c r="N34" i="18"/>
  <c r="L39" i="18"/>
  <c r="L35" i="18"/>
  <c r="L36" i="18"/>
  <c r="L37" i="18"/>
  <c r="L38" i="18"/>
  <c r="L34" i="18"/>
  <c r="Q33" i="18"/>
  <c r="Q32" i="18"/>
  <c r="Q29" i="18"/>
  <c r="Q30" i="18"/>
  <c r="Q31" i="18"/>
  <c r="Q28" i="18"/>
  <c r="P33" i="18"/>
  <c r="P32" i="18"/>
  <c r="P29" i="18"/>
  <c r="P30" i="18"/>
  <c r="P31" i="18"/>
  <c r="P28" i="18"/>
  <c r="O33" i="18"/>
  <c r="O32" i="18"/>
  <c r="O29" i="18"/>
  <c r="O30" i="18"/>
  <c r="O31" i="18"/>
  <c r="O28" i="18"/>
  <c r="N33" i="18"/>
  <c r="N32" i="18"/>
  <c r="N29" i="18"/>
  <c r="N30" i="18"/>
  <c r="N31" i="18"/>
  <c r="N28" i="18"/>
  <c r="L33" i="18"/>
  <c r="L32" i="18"/>
  <c r="L29" i="18"/>
  <c r="L30" i="18"/>
  <c r="L31" i="18"/>
  <c r="L28" i="18"/>
  <c r="Q26" i="18"/>
  <c r="Q27" i="18"/>
  <c r="Q25" i="18"/>
  <c r="Q23" i="18"/>
  <c r="Q24" i="18"/>
  <c r="Q22" i="18"/>
  <c r="R9" i="2" a="1"/>
  <c r="R9" i="2" s="1"/>
  <c r="R8" i="2" a="1"/>
  <c r="R8" i="2" s="1"/>
  <c r="R7" i="2"/>
  <c r="R5" i="2"/>
  <c r="R4" i="2" a="1"/>
  <c r="R4" i="2" s="1"/>
  <c r="Q28" i="2"/>
  <c r="R18" i="23" l="1"/>
  <c r="J18" i="23" s="1"/>
  <c r="R17" i="23"/>
  <c r="J17" i="23" s="1"/>
  <c r="B9" i="1"/>
  <c r="B8" i="1"/>
  <c r="U15" i="23" l="1"/>
  <c r="U16" i="23"/>
  <c r="U14" i="23"/>
  <c r="S15" i="23"/>
  <c r="S16" i="23"/>
  <c r="S14" i="23"/>
  <c r="U7" i="23"/>
  <c r="U8" i="23"/>
  <c r="U6" i="23"/>
  <c r="S8" i="23"/>
  <c r="S7" i="23"/>
  <c r="S6" i="23"/>
  <c r="S12" i="23"/>
  <c r="S13" i="23"/>
  <c r="S11" i="23"/>
  <c r="U5" i="23"/>
  <c r="S5" i="23"/>
  <c r="U4" i="23"/>
  <c r="S4" i="23"/>
  <c r="U3" i="23"/>
  <c r="S3" i="23"/>
  <c r="R16" i="23"/>
  <c r="J16" i="23" s="1"/>
  <c r="R15" i="23"/>
  <c r="J15" i="23" s="1"/>
  <c r="R14" i="23"/>
  <c r="J14" i="23" s="1"/>
  <c r="R11" i="23"/>
  <c r="J11" i="23" s="1"/>
  <c r="R12" i="23"/>
  <c r="J12" i="23" s="1"/>
  <c r="R13" i="23"/>
  <c r="R6" i="23"/>
  <c r="J6" i="23" s="1"/>
  <c r="R7" i="23"/>
  <c r="J7" i="23" s="1"/>
  <c r="R8" i="23"/>
  <c r="J8" i="23" s="1"/>
  <c r="R4" i="23"/>
  <c r="J4" i="23" s="1"/>
  <c r="R5" i="23"/>
  <c r="J5" i="23" s="1"/>
  <c r="R3" i="23"/>
  <c r="J3" i="23" s="1"/>
  <c r="H13" i="23"/>
  <c r="G13" i="23"/>
  <c r="F13" i="23"/>
  <c r="H5" i="23"/>
  <c r="G5" i="23"/>
  <c r="F5" i="23"/>
  <c r="G10" i="23"/>
  <c r="G9" i="23"/>
  <c r="AL8" i="23" l="1"/>
  <c r="AG8" i="23"/>
  <c r="AB8" i="23"/>
  <c r="AB7" i="23"/>
  <c r="AG7" i="23"/>
  <c r="AL7" i="23"/>
  <c r="AB6" i="23"/>
  <c r="AG6" i="23"/>
  <c r="AL6" i="23"/>
  <c r="AL5" i="23"/>
  <c r="AF5" i="23"/>
  <c r="AC5" i="23"/>
  <c r="AI5" i="23"/>
  <c r="Y5" i="23"/>
  <c r="AJ5" i="23"/>
  <c r="AK5" i="23"/>
  <c r="AH5" i="23"/>
  <c r="AG5" i="23"/>
  <c r="AA5" i="23"/>
  <c r="AD5" i="23"/>
  <c r="AE5" i="23"/>
  <c r="Z5" i="23"/>
  <c r="AB5" i="23"/>
  <c r="AM5" i="23"/>
  <c r="AJ4" i="23"/>
  <c r="Y4" i="23"/>
  <c r="Z4" i="23"/>
  <c r="AG4" i="23"/>
  <c r="AD4" i="23"/>
  <c r="AF4" i="23"/>
  <c r="AM4" i="23"/>
  <c r="AH4" i="23"/>
  <c r="AL4" i="23"/>
  <c r="AB4" i="23"/>
  <c r="AE4" i="23"/>
  <c r="AI4" i="23"/>
  <c r="AC4" i="23"/>
  <c r="AA4" i="23"/>
  <c r="AK4" i="23"/>
  <c r="AF3" i="23"/>
  <c r="AL3" i="23"/>
  <c r="AG3" i="23"/>
  <c r="AH3" i="23"/>
  <c r="AD3" i="23"/>
  <c r="AA3" i="23"/>
  <c r="AJ3" i="23"/>
  <c r="AK3" i="23"/>
  <c r="AC3" i="23"/>
  <c r="Z3" i="23"/>
  <c r="AE3" i="23"/>
  <c r="AI3" i="23"/>
  <c r="AB3" i="23"/>
  <c r="AM3" i="23"/>
  <c r="Y3" i="23"/>
  <c r="G17" i="23"/>
  <c r="P33" i="13"/>
  <c r="O33" i="13"/>
  <c r="P32" i="13"/>
  <c r="O32" i="13"/>
  <c r="E79" i="16"/>
  <c r="C24" i="23"/>
  <c r="D24" i="23"/>
  <c r="E24" i="23"/>
  <c r="F24" i="23"/>
  <c r="G24" i="23"/>
  <c r="B24" i="23"/>
  <c r="C23" i="23"/>
  <c r="D23" i="23"/>
  <c r="E23" i="23"/>
  <c r="F23" i="23"/>
  <c r="G23" i="23"/>
  <c r="B23" i="23"/>
  <c r="C22" i="23"/>
  <c r="D22" i="23"/>
  <c r="E22" i="23"/>
  <c r="F22" i="23"/>
  <c r="G22" i="23"/>
  <c r="B22" i="23"/>
  <c r="G18" i="23"/>
  <c r="G15" i="23"/>
  <c r="G16" i="23"/>
  <c r="G14" i="23"/>
  <c r="G7" i="23"/>
  <c r="G8" i="23"/>
  <c r="G6" i="23"/>
  <c r="F4" i="23"/>
  <c r="G4" i="23"/>
  <c r="H4" i="23"/>
  <c r="F11" i="23"/>
  <c r="G11" i="23"/>
  <c r="H11" i="23"/>
  <c r="F12" i="23"/>
  <c r="G12" i="23"/>
  <c r="H12" i="23"/>
  <c r="G3" i="23"/>
  <c r="H3" i="23"/>
  <c r="L5" i="15" a="1"/>
  <c r="L5" i="15" s="1"/>
  <c r="L6" i="15" a="1"/>
  <c r="L6" i="15"/>
  <c r="L7" i="15" a="1"/>
  <c r="L7" i="15" s="1"/>
  <c r="L8" i="15" a="1"/>
  <c r="L8" i="15" s="1"/>
  <c r="L9" i="15" a="1"/>
  <c r="L9" i="15"/>
  <c r="L10" i="15" a="1"/>
  <c r="L10" i="15" s="1"/>
  <c r="L11" i="15" a="1"/>
  <c r="L11" i="15"/>
  <c r="L12" i="15" a="1"/>
  <c r="L12" i="15"/>
  <c r="L13" i="15" a="1"/>
  <c r="L13" i="15"/>
  <c r="L14" i="15" a="1"/>
  <c r="L14" i="15"/>
  <c r="L15" i="15" a="1"/>
  <c r="L15" i="15" s="1"/>
  <c r="L16" i="15" a="1"/>
  <c r="L16" i="15"/>
  <c r="L17" i="15" a="1"/>
  <c r="L17" i="15"/>
  <c r="L18" i="15" a="1"/>
  <c r="L18" i="15" s="1"/>
  <c r="L19" i="15" a="1"/>
  <c r="L19" i="15"/>
  <c r="L20" i="15" a="1"/>
  <c r="L20" i="15" s="1"/>
  <c r="L21" i="15" a="1"/>
  <c r="L21" i="15"/>
  <c r="L22" i="15" a="1"/>
  <c r="L22" i="15"/>
  <c r="L23" i="15" a="1"/>
  <c r="L23" i="15" s="1"/>
  <c r="L24" i="15" a="1"/>
  <c r="L24" i="15"/>
  <c r="L25" i="15" a="1"/>
  <c r="L25" i="15" s="1"/>
  <c r="L26" i="15" a="1"/>
  <c r="L26" i="15"/>
  <c r="L27" i="15" a="1"/>
  <c r="L27" i="15"/>
  <c r="L28" i="15" a="1"/>
  <c r="L28" i="15" s="1"/>
  <c r="L29" i="15" a="1"/>
  <c r="L29" i="15"/>
  <c r="L30" i="15" a="1"/>
  <c r="L30" i="15" s="1"/>
  <c r="L31" i="15" a="1"/>
  <c r="L31" i="15"/>
  <c r="L32" i="15" a="1"/>
  <c r="L32" i="15"/>
  <c r="L33" i="15" a="1"/>
  <c r="L33" i="15" s="1"/>
  <c r="L34" i="15" a="1"/>
  <c r="L34" i="15"/>
  <c r="L35" i="15" a="1"/>
  <c r="L35" i="15" s="1"/>
  <c r="L36" i="15" a="1"/>
  <c r="L36" i="15"/>
  <c r="L37" i="15" a="1"/>
  <c r="L37" i="15"/>
  <c r="L38" i="15" a="1"/>
  <c r="L38" i="15" s="1"/>
  <c r="L39" i="15" a="1"/>
  <c r="L39" i="15"/>
  <c r="L40" i="15" a="1"/>
  <c r="L40" i="15" s="1"/>
  <c r="L41" i="15" a="1"/>
  <c r="L41" i="15"/>
  <c r="L42" i="15" a="1"/>
  <c r="L42" i="15"/>
  <c r="L43" i="15" a="1"/>
  <c r="L43" i="15" s="1"/>
  <c r="L44" i="15" a="1"/>
  <c r="L44" i="15"/>
  <c r="L45" i="15" a="1"/>
  <c r="L45" i="15" s="1"/>
  <c r="L46" i="15" a="1"/>
  <c r="L46" i="15"/>
  <c r="L47" i="15" a="1"/>
  <c r="L47" i="15"/>
  <c r="L48" i="15" a="1"/>
  <c r="L48" i="15" s="1"/>
  <c r="L49" i="15" a="1"/>
  <c r="L49" i="15"/>
  <c r="L50" i="15" a="1"/>
  <c r="L50" i="15" s="1"/>
  <c r="L51" i="15" a="1"/>
  <c r="L51" i="15"/>
  <c r="L52" i="15" a="1"/>
  <c r="L52" i="15"/>
  <c r="L53" i="15" a="1"/>
  <c r="L53" i="15" s="1"/>
  <c r="L54" i="15" a="1"/>
  <c r="L54" i="15"/>
  <c r="L55" i="15" a="1"/>
  <c r="L55" i="15" s="1"/>
  <c r="L56" i="15" a="1"/>
  <c r="L56" i="15"/>
  <c r="L57" i="15" a="1"/>
  <c r="L57" i="15"/>
  <c r="L58" i="15" a="1"/>
  <c r="L58" i="15" s="1"/>
  <c r="L59" i="15" a="1"/>
  <c r="L59" i="15"/>
  <c r="L60" i="15" a="1"/>
  <c r="L60" i="15" s="1"/>
  <c r="L61" i="15" a="1"/>
  <c r="L61" i="15"/>
  <c r="L62" i="15" a="1"/>
  <c r="L62" i="15"/>
  <c r="L63" i="15" a="1"/>
  <c r="L63" i="15" s="1"/>
  <c r="L64" i="15" a="1"/>
  <c r="L64" i="15"/>
  <c r="L65" i="15" a="1"/>
  <c r="L65" i="15" s="1"/>
  <c r="L66" i="15" a="1"/>
  <c r="L66" i="15"/>
  <c r="L67" i="15" a="1"/>
  <c r="L67" i="15"/>
  <c r="L68" i="15" a="1"/>
  <c r="L68" i="15" s="1"/>
  <c r="L69" i="15" a="1"/>
  <c r="L69" i="15"/>
  <c r="L70" i="15" a="1"/>
  <c r="L70" i="15" s="1"/>
  <c r="L71" i="15" a="1"/>
  <c r="L71" i="15"/>
  <c r="L72" i="15" a="1"/>
  <c r="L72" i="15"/>
  <c r="L73" i="15" a="1"/>
  <c r="L73" i="15" s="1"/>
  <c r="L74" i="15" a="1"/>
  <c r="L74" i="15"/>
  <c r="L75" i="15" a="1"/>
  <c r="L75" i="15" s="1"/>
  <c r="L76" i="15" a="1"/>
  <c r="L76" i="15"/>
  <c r="L77" i="15" a="1"/>
  <c r="L77" i="15"/>
  <c r="L78" i="15" a="1"/>
  <c r="L78" i="15" s="1"/>
  <c r="L79" i="15" a="1"/>
  <c r="L79" i="15"/>
  <c r="L80" i="15" a="1"/>
  <c r="L80" i="15" s="1"/>
  <c r="L81" i="15" a="1"/>
  <c r="L81" i="15" s="1"/>
  <c r="L82" i="15" a="1"/>
  <c r="L82" i="15"/>
  <c r="L83" i="15" a="1"/>
  <c r="L83" i="15" s="1"/>
  <c r="L84" i="15" a="1"/>
  <c r="L84" i="15"/>
  <c r="L85" i="15" a="1"/>
  <c r="L85" i="15" s="1"/>
  <c r="L86" i="15" a="1"/>
  <c r="L86" i="15"/>
  <c r="L87" i="15" a="1"/>
  <c r="L87" i="15"/>
  <c r="L88" i="15" a="1"/>
  <c r="L88" i="15" s="1"/>
  <c r="L89" i="15" a="1"/>
  <c r="L89" i="15"/>
  <c r="L90" i="15" a="1"/>
  <c r="L90" i="15" s="1"/>
  <c r="L91" i="15" a="1"/>
  <c r="L91" i="15"/>
  <c r="L92" i="15" a="1"/>
  <c r="L92" i="15"/>
  <c r="L93" i="15" a="1"/>
  <c r="L93" i="15" s="1"/>
  <c r="L94" i="15" a="1"/>
  <c r="L94" i="15"/>
  <c r="L95" i="15" a="1"/>
  <c r="L95" i="15" s="1"/>
  <c r="L4" i="15" a="1"/>
  <c r="L4" i="15" s="1"/>
  <c r="J33" i="13"/>
  <c r="J32" i="13"/>
  <c r="B33" i="13"/>
  <c r="B32" i="13"/>
  <c r="C33" i="13"/>
  <c r="C32" i="13"/>
  <c r="C26" i="13"/>
  <c r="D26" i="13"/>
  <c r="E26" i="13"/>
  <c r="F26" i="13"/>
  <c r="G26" i="13"/>
  <c r="C27" i="13"/>
  <c r="D27" i="13"/>
  <c r="E27" i="13"/>
  <c r="F27" i="13"/>
  <c r="G27" i="13"/>
  <c r="C28" i="13"/>
  <c r="D28" i="13"/>
  <c r="E28" i="13"/>
  <c r="F28" i="13"/>
  <c r="G28" i="13"/>
  <c r="B28" i="13"/>
  <c r="B27" i="13"/>
  <c r="B26" i="13"/>
  <c r="D32" i="13" l="1"/>
  <c r="D33" i="13"/>
  <c r="I40" i="18"/>
  <c r="J40" i="18"/>
  <c r="I41" i="18"/>
  <c r="J41" i="18"/>
  <c r="I42" i="18"/>
  <c r="J42" i="18"/>
  <c r="I43" i="18"/>
  <c r="J43" i="18"/>
  <c r="I44" i="18"/>
  <c r="J44" i="18"/>
  <c r="I45" i="18"/>
  <c r="J45" i="18"/>
  <c r="I33" i="18"/>
  <c r="J33" i="18"/>
  <c r="I34" i="18"/>
  <c r="J34" i="18"/>
  <c r="I35" i="18"/>
  <c r="J35" i="18"/>
  <c r="I36" i="18"/>
  <c r="J36" i="18"/>
  <c r="I37" i="18"/>
  <c r="J37" i="18"/>
  <c r="I38" i="18"/>
  <c r="J38" i="18"/>
  <c r="I26" i="18"/>
  <c r="J26" i="18"/>
  <c r="I27" i="18"/>
  <c r="J27" i="18"/>
  <c r="I28" i="18"/>
  <c r="J28" i="18"/>
  <c r="I29" i="18"/>
  <c r="J29" i="18"/>
  <c r="I30" i="18"/>
  <c r="J30" i="18"/>
  <c r="I31" i="18"/>
  <c r="J31" i="18"/>
  <c r="I19" i="18"/>
  <c r="J19" i="18"/>
  <c r="I20" i="18"/>
  <c r="J20" i="18"/>
  <c r="I21" i="18"/>
  <c r="J21" i="18"/>
  <c r="I22" i="18"/>
  <c r="J22" i="18"/>
  <c r="I23" i="18"/>
  <c r="J23" i="18"/>
  <c r="I24" i="18"/>
  <c r="J24" i="18"/>
  <c r="I12" i="18"/>
  <c r="J12" i="18"/>
  <c r="I13" i="18"/>
  <c r="J13" i="18"/>
  <c r="I14" i="18"/>
  <c r="J14" i="18"/>
  <c r="I15" i="18"/>
  <c r="J15" i="18"/>
  <c r="I16" i="18"/>
  <c r="J16" i="18"/>
  <c r="I17" i="18"/>
  <c r="J17" i="18"/>
  <c r="I5" i="18"/>
  <c r="J5" i="18"/>
  <c r="I6" i="18"/>
  <c r="J6" i="18"/>
  <c r="I7" i="18"/>
  <c r="J7" i="18"/>
  <c r="I8" i="18"/>
  <c r="J8" i="18"/>
  <c r="I9" i="18"/>
  <c r="J9" i="18"/>
  <c r="I10" i="18"/>
  <c r="J10" i="18"/>
  <c r="D19" i="18"/>
  <c r="E19" i="18"/>
  <c r="D20" i="18"/>
  <c r="E20" i="18"/>
  <c r="D21" i="18"/>
  <c r="E21" i="18"/>
  <c r="D22" i="18"/>
  <c r="E22" i="18"/>
  <c r="D23" i="18"/>
  <c r="E23" i="18"/>
  <c r="D24" i="18"/>
  <c r="E24" i="18"/>
  <c r="D12" i="18"/>
  <c r="E12" i="18"/>
  <c r="D13" i="18"/>
  <c r="E13" i="18"/>
  <c r="D14" i="18"/>
  <c r="E14" i="18"/>
  <c r="D15" i="18"/>
  <c r="E15" i="18"/>
  <c r="D16" i="18"/>
  <c r="E16" i="18"/>
  <c r="D17" i="18"/>
  <c r="E17" i="18"/>
  <c r="D5" i="18"/>
  <c r="E5" i="18"/>
  <c r="D6" i="18"/>
  <c r="E6" i="18"/>
  <c r="D7" i="18"/>
  <c r="E7" i="18"/>
  <c r="D8" i="18"/>
  <c r="E8" i="18"/>
  <c r="D9" i="18"/>
  <c r="E9" i="18"/>
  <c r="D10" i="18"/>
  <c r="E10" i="18"/>
  <c r="Q40" i="15"/>
  <c r="J19" i="16"/>
  <c r="D19" i="16" s="1"/>
  <c r="E19" i="16"/>
  <c r="AL20" i="15" a="1"/>
  <c r="AL20" i="15" s="1"/>
  <c r="D20" i="15" s="1"/>
  <c r="AF20" i="15"/>
  <c r="U20" i="15"/>
  <c r="V20" i="15" s="1"/>
  <c r="AB20" i="15" s="1"/>
  <c r="AC20" i="15" s="1"/>
  <c r="AD20" i="15" s="1"/>
  <c r="B20" i="15"/>
  <c r="Q44" i="6"/>
  <c r="R44" i="6"/>
  <c r="Q45" i="6"/>
  <c r="R45" i="6"/>
  <c r="Q46" i="6"/>
  <c r="R46" i="6"/>
  <c r="Q47" i="6"/>
  <c r="R47" i="6"/>
  <c r="Q48" i="6"/>
  <c r="R48" i="6"/>
  <c r="Q49" i="6"/>
  <c r="R49" i="6"/>
  <c r="Q50" i="6"/>
  <c r="R50" i="6"/>
  <c r="Q51" i="6"/>
  <c r="R51" i="6"/>
  <c r="Q52" i="6"/>
  <c r="R52" i="6"/>
  <c r="Q53" i="6"/>
  <c r="R53" i="6"/>
  <c r="Q54" i="6"/>
  <c r="R54" i="6"/>
  <c r="Q55" i="6"/>
  <c r="R55" i="6"/>
  <c r="Q56" i="6"/>
  <c r="R56" i="6"/>
  <c r="Q57" i="6"/>
  <c r="R57" i="6"/>
  <c r="Q58" i="6"/>
  <c r="R58" i="6"/>
  <c r="Q59" i="6"/>
  <c r="R59" i="6"/>
  <c r="Q60" i="6"/>
  <c r="R60" i="6"/>
  <c r="Q61" i="6"/>
  <c r="R61" i="6"/>
  <c r="Q62" i="6"/>
  <c r="R62" i="6"/>
  <c r="Q63" i="6"/>
  <c r="R63" i="6"/>
  <c r="Q38" i="6"/>
  <c r="R38" i="6"/>
  <c r="Q39" i="6"/>
  <c r="R39" i="6"/>
  <c r="Q40" i="6"/>
  <c r="R40" i="6"/>
  <c r="Q41" i="6"/>
  <c r="R41" i="6"/>
  <c r="Q42" i="6"/>
  <c r="R42" i="6"/>
  <c r="Q43" i="6"/>
  <c r="R43" i="6"/>
  <c r="Q37" i="6"/>
  <c r="R37" i="6"/>
  <c r="R23" i="6"/>
  <c r="R24" i="6"/>
  <c r="R25" i="6"/>
  <c r="R26" i="6"/>
  <c r="R27" i="6"/>
  <c r="R28" i="6"/>
  <c r="Q23" i="6"/>
  <c r="Q24" i="6"/>
  <c r="Q25" i="6"/>
  <c r="Q26" i="6"/>
  <c r="Q27" i="6"/>
  <c r="Q28" i="6"/>
  <c r="P23" i="6"/>
  <c r="P24" i="6"/>
  <c r="P25" i="6"/>
  <c r="P26" i="6"/>
  <c r="P27" i="6"/>
  <c r="P28" i="6"/>
  <c r="O23" i="6"/>
  <c r="O24" i="6"/>
  <c r="O25" i="6"/>
  <c r="O26" i="6"/>
  <c r="O27" i="6"/>
  <c r="O28" i="6"/>
  <c r="R16" i="6"/>
  <c r="R17" i="6"/>
  <c r="R18" i="6"/>
  <c r="R19" i="6"/>
  <c r="R20" i="6"/>
  <c r="R21" i="6"/>
  <c r="Q16" i="6"/>
  <c r="Q17" i="6"/>
  <c r="Q18" i="6"/>
  <c r="Q19" i="6"/>
  <c r="Q20" i="6"/>
  <c r="Q21" i="6"/>
  <c r="P16" i="6"/>
  <c r="P17" i="6"/>
  <c r="P18" i="6"/>
  <c r="P19" i="6"/>
  <c r="P20" i="6"/>
  <c r="P21" i="6"/>
  <c r="O16" i="6"/>
  <c r="O17" i="6"/>
  <c r="O18" i="6"/>
  <c r="O19" i="6"/>
  <c r="O20" i="6"/>
  <c r="O21"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22" i="6"/>
  <c r="F23" i="6"/>
  <c r="F24" i="6"/>
  <c r="F25" i="6"/>
  <c r="F26" i="6"/>
  <c r="F27" i="6"/>
  <c r="F28" i="6"/>
  <c r="F17" i="6"/>
  <c r="F16" i="6"/>
  <c r="E31" i="6"/>
  <c r="E35" i="6"/>
  <c r="E38" i="6"/>
  <c r="E42" i="6"/>
  <c r="E45" i="6"/>
  <c r="E49" i="6"/>
  <c r="E52" i="6"/>
  <c r="E56" i="6"/>
  <c r="E59" i="6"/>
  <c r="E63" i="6"/>
  <c r="E24" i="6"/>
  <c r="E28" i="6"/>
  <c r="E17"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22" i="6"/>
  <c r="D23" i="6"/>
  <c r="D24" i="6"/>
  <c r="D25" i="6"/>
  <c r="D26" i="6"/>
  <c r="D27" i="6"/>
  <c r="D28" i="6"/>
  <c r="D18" i="6"/>
  <c r="D19" i="6"/>
  <c r="D20" i="6"/>
  <c r="D21" i="6"/>
  <c r="D17" i="6"/>
  <c r="D16" i="6"/>
  <c r="AL5" i="15" a="1"/>
  <c r="AL5" i="15" s="1"/>
  <c r="AL6" i="15" a="1"/>
  <c r="AL6" i="15" s="1"/>
  <c r="AL7" i="15" a="1"/>
  <c r="AL7" i="15" s="1"/>
  <c r="AL8" i="15" a="1"/>
  <c r="AL8" i="15" s="1"/>
  <c r="AL9" i="15" a="1"/>
  <c r="AL9" i="15" s="1"/>
  <c r="AL10" i="15" a="1"/>
  <c r="AL10" i="15" s="1"/>
  <c r="AL11" i="15" a="1"/>
  <c r="AL11" i="15" s="1"/>
  <c r="AL12" i="15" a="1"/>
  <c r="AL12" i="15" s="1"/>
  <c r="AL13" i="15" a="1"/>
  <c r="AL13" i="15" s="1"/>
  <c r="AL14" i="15" a="1"/>
  <c r="AL14" i="15" s="1"/>
  <c r="AL15" i="15" a="1"/>
  <c r="AL15" i="15" s="1"/>
  <c r="AL16" i="15" a="1"/>
  <c r="AL16" i="15" s="1"/>
  <c r="AL17" i="15" a="1"/>
  <c r="AL17" i="15" s="1"/>
  <c r="AL18" i="15" a="1"/>
  <c r="AL18" i="15" s="1"/>
  <c r="AL19" i="15" a="1"/>
  <c r="AL19" i="15" s="1"/>
  <c r="AL21" i="15" a="1"/>
  <c r="AL21" i="15" s="1"/>
  <c r="AL22" i="15" a="1"/>
  <c r="AL22" i="15" s="1"/>
  <c r="AL23" i="15" a="1"/>
  <c r="AL23" i="15" s="1"/>
  <c r="AL24" i="15" a="1"/>
  <c r="AL24" i="15" s="1"/>
  <c r="AL25" i="15" a="1"/>
  <c r="AL25" i="15" s="1"/>
  <c r="AL26" i="15" a="1"/>
  <c r="AL26" i="15" s="1"/>
  <c r="AL27" i="15" a="1"/>
  <c r="AL27" i="15" s="1"/>
  <c r="AL28" i="15" a="1"/>
  <c r="AL28" i="15" s="1"/>
  <c r="AL29" i="15" a="1"/>
  <c r="AL29" i="15" s="1"/>
  <c r="AL30" i="15" a="1"/>
  <c r="AL30" i="15" s="1"/>
  <c r="AL31" i="15" a="1"/>
  <c r="AL31" i="15" s="1"/>
  <c r="AL32" i="15" a="1"/>
  <c r="AL32" i="15" s="1"/>
  <c r="AL33" i="15" a="1"/>
  <c r="AL33" i="15" s="1"/>
  <c r="AL34" i="15" a="1"/>
  <c r="AL34" i="15" s="1"/>
  <c r="AL35" i="15" a="1"/>
  <c r="AL35" i="15" s="1"/>
  <c r="AL36" i="15" a="1"/>
  <c r="AL36" i="15" s="1"/>
  <c r="AL37" i="15" a="1"/>
  <c r="AL37" i="15" s="1"/>
  <c r="AL38" i="15" a="1"/>
  <c r="AL38" i="15" s="1"/>
  <c r="AL39" i="15" a="1"/>
  <c r="AL39" i="15" s="1"/>
  <c r="AL40" i="15" a="1"/>
  <c r="AL40" i="15" s="1"/>
  <c r="AL41" i="15" a="1"/>
  <c r="AL41" i="15" s="1"/>
  <c r="AL42" i="15" a="1"/>
  <c r="AL42" i="15" s="1"/>
  <c r="AL43" i="15" a="1"/>
  <c r="AL43" i="15" s="1"/>
  <c r="AL44" i="15" a="1"/>
  <c r="AL44" i="15" s="1"/>
  <c r="AL45" i="15" a="1"/>
  <c r="AL45" i="15" s="1"/>
  <c r="AL46" i="15" a="1"/>
  <c r="AL46" i="15" s="1"/>
  <c r="AL47" i="15" a="1"/>
  <c r="AL47" i="15" s="1"/>
  <c r="AL48" i="15" a="1"/>
  <c r="AL48" i="15" s="1"/>
  <c r="AL49" i="15" a="1"/>
  <c r="AL49" i="15" s="1"/>
  <c r="AL50" i="15" a="1"/>
  <c r="AL50" i="15" s="1"/>
  <c r="AL51" i="15" a="1"/>
  <c r="AL51" i="15" s="1"/>
  <c r="AL52" i="15" a="1"/>
  <c r="AL52" i="15" s="1"/>
  <c r="AL53" i="15" a="1"/>
  <c r="AL53" i="15" s="1"/>
  <c r="AL54" i="15" a="1"/>
  <c r="AL54" i="15" s="1"/>
  <c r="AL55" i="15" a="1"/>
  <c r="AL55" i="15" s="1"/>
  <c r="AL56" i="15" a="1"/>
  <c r="AL56" i="15" s="1"/>
  <c r="AL57" i="15" a="1"/>
  <c r="AL57" i="15" s="1"/>
  <c r="AL58" i="15" a="1"/>
  <c r="AL58" i="15" s="1"/>
  <c r="AL59" i="15" a="1"/>
  <c r="AL59" i="15" s="1"/>
  <c r="AL60" i="15" a="1"/>
  <c r="AL60" i="15" s="1"/>
  <c r="AL61" i="15" a="1"/>
  <c r="AL61" i="15" s="1"/>
  <c r="AL62" i="15" a="1"/>
  <c r="AL62" i="15" s="1"/>
  <c r="AL63" i="15" a="1"/>
  <c r="AL63" i="15" s="1"/>
  <c r="AL64" i="15" a="1"/>
  <c r="AL64" i="15" s="1"/>
  <c r="AL65" i="15" a="1"/>
  <c r="AL65" i="15" s="1"/>
  <c r="AL66" i="15" a="1"/>
  <c r="AL66" i="15" s="1"/>
  <c r="AL67" i="15" a="1"/>
  <c r="AL67" i="15" s="1"/>
  <c r="AL68" i="15" a="1"/>
  <c r="AL68" i="15" s="1"/>
  <c r="AL69" i="15" a="1"/>
  <c r="AL69" i="15" s="1"/>
  <c r="AL70" i="15" a="1"/>
  <c r="AL70" i="15" s="1"/>
  <c r="AL71" i="15" a="1"/>
  <c r="AL71" i="15" s="1"/>
  <c r="AL72" i="15" a="1"/>
  <c r="AL72" i="15" s="1"/>
  <c r="AL73" i="15" a="1"/>
  <c r="AL73" i="15" s="1"/>
  <c r="AL74" i="15" a="1"/>
  <c r="AL74" i="15" s="1"/>
  <c r="AL75" i="15" a="1"/>
  <c r="AL75" i="15" s="1"/>
  <c r="AL76" i="15" a="1"/>
  <c r="AL76" i="15" s="1"/>
  <c r="AL77" i="15" a="1"/>
  <c r="AL77" i="15" s="1"/>
  <c r="AL78" i="15" a="1"/>
  <c r="AL78" i="15" s="1"/>
  <c r="AL79" i="15" a="1"/>
  <c r="AL79" i="15" s="1"/>
  <c r="AL80" i="15" a="1"/>
  <c r="AL80" i="15" s="1"/>
  <c r="D80" i="15" s="1"/>
  <c r="H79" i="16" s="1"/>
  <c r="AL81" i="15" a="1"/>
  <c r="AL81" i="15" s="1"/>
  <c r="AL82" i="15" a="1"/>
  <c r="AL82" i="15" s="1"/>
  <c r="AL83" i="15" a="1"/>
  <c r="AL83" i="15" s="1"/>
  <c r="AL84" i="15" a="1"/>
  <c r="AL84" i="15" s="1"/>
  <c r="AL85" i="15" a="1"/>
  <c r="AL85" i="15" s="1"/>
  <c r="AL86" i="15" a="1"/>
  <c r="AL86" i="15" s="1"/>
  <c r="AL90" i="15" a="1"/>
  <c r="AL90" i="15" s="1"/>
  <c r="AL91" i="15" a="1"/>
  <c r="AL91" i="15" s="1"/>
  <c r="AL92" i="15" a="1"/>
  <c r="AL92" i="15" s="1"/>
  <c r="AL93" i="15" a="1"/>
  <c r="AL93" i="15" s="1"/>
  <c r="AL94" i="15" a="1"/>
  <c r="AL94" i="15" s="1"/>
  <c r="AL95" i="15" a="1"/>
  <c r="AL95" i="15" s="1"/>
  <c r="AL4" i="15" a="1"/>
  <c r="AL4" i="15" s="1"/>
  <c r="AF85" i="15"/>
  <c r="AF62" i="15"/>
  <c r="M37" i="5"/>
  <c r="J37" i="5"/>
  <c r="U80" i="15"/>
  <c r="V80" i="15" s="1"/>
  <c r="AB80" i="15" s="1"/>
  <c r="R80" i="15"/>
  <c r="J79" i="16"/>
  <c r="D79" i="16" s="1"/>
  <c r="B80" i="15"/>
  <c r="F79" i="16" s="1"/>
  <c r="E26" i="6"/>
  <c r="E37" i="6"/>
  <c r="E21" i="6"/>
  <c r="E58" i="6" l="1"/>
  <c r="E30" i="6"/>
  <c r="E16" i="6"/>
  <c r="E44" i="6"/>
  <c r="E23" i="6"/>
  <c r="E51" i="6"/>
  <c r="E47" i="6"/>
  <c r="E54" i="6"/>
  <c r="E33" i="6"/>
  <c r="E61" i="6"/>
  <c r="E40" i="6"/>
  <c r="AG20" i="15" a="1"/>
  <c r="AG20" i="15" s="1"/>
  <c r="AH20" i="15" s="1" a="1"/>
  <c r="AH20" i="15" s="1"/>
  <c r="C20" i="15" s="1"/>
  <c r="AG80" i="15" a="1"/>
  <c r="AG80" i="15" s="1"/>
  <c r="AH80" i="15" s="1" a="1"/>
  <c r="AH80" i="15" s="1"/>
  <c r="C80" i="15" s="1"/>
  <c r="G79" i="16" s="1"/>
  <c r="E19" i="6"/>
  <c r="E32" i="6" l="1"/>
  <c r="D17" i="1"/>
  <c r="E46" i="6"/>
  <c r="E60" i="6"/>
  <c r="E39" i="6"/>
  <c r="E53" i="6"/>
  <c r="E18" i="6"/>
  <c r="E25" i="6"/>
  <c r="E50" i="6"/>
  <c r="E36" i="6"/>
  <c r="E22" i="6"/>
  <c r="E29" i="6"/>
  <c r="E57" i="6"/>
  <c r="E43" i="6"/>
  <c r="E41" i="6"/>
  <c r="E55" i="6"/>
  <c r="E27" i="6"/>
  <c r="E34" i="6"/>
  <c r="E48" i="6"/>
  <c r="E62" i="6"/>
  <c r="E20" i="6"/>
  <c r="F21" i="6"/>
  <c r="F20" i="6"/>
  <c r="F19" i="6"/>
  <c r="F18" i="6"/>
  <c r="F15" i="6"/>
  <c r="D15" i="6"/>
  <c r="E15" i="6" l="1"/>
  <c r="D16" i="1"/>
  <c r="D18" i="1"/>
  <c r="B15" i="1"/>
  <c r="B37" i="5"/>
  <c r="E64" i="16"/>
  <c r="K64" i="16"/>
  <c r="L64" i="16"/>
  <c r="E65" i="16"/>
  <c r="I65" i="16"/>
  <c r="J65" i="16"/>
  <c r="E66" i="16"/>
  <c r="K66" i="16"/>
  <c r="L66" i="16"/>
  <c r="E67" i="16"/>
  <c r="J67" i="16"/>
  <c r="D67" i="16" s="1"/>
  <c r="E68" i="16"/>
  <c r="J68" i="16"/>
  <c r="D68" i="16" s="1"/>
  <c r="E69" i="16"/>
  <c r="K69" i="16"/>
  <c r="J69" i="16" s="1"/>
  <c r="D69" i="16" s="1"/>
  <c r="D70" i="16"/>
  <c r="E70" i="16"/>
  <c r="D71" i="16"/>
  <c r="E71" i="16"/>
  <c r="E72" i="16"/>
  <c r="K72" i="16"/>
  <c r="J72" i="16" s="1"/>
  <c r="D72" i="16" s="1"/>
  <c r="E73" i="16"/>
  <c r="J73" i="16"/>
  <c r="D73" i="16" s="1"/>
  <c r="E74" i="16"/>
  <c r="K74" i="16"/>
  <c r="L74" i="16"/>
  <c r="E75" i="16"/>
  <c r="J75" i="16"/>
  <c r="D75" i="16" s="1"/>
  <c r="E76" i="16"/>
  <c r="J76" i="16"/>
  <c r="D76" i="16" s="1"/>
  <c r="E77" i="16"/>
  <c r="J77" i="16"/>
  <c r="D77" i="16" s="1"/>
  <c r="E78" i="16"/>
  <c r="J78" i="16"/>
  <c r="D78" i="16" s="1"/>
  <c r="C23" i="1"/>
  <c r="D23" i="1"/>
  <c r="E23" i="1"/>
  <c r="F23" i="1"/>
  <c r="G23" i="1"/>
  <c r="H23" i="1"/>
  <c r="O22" i="6"/>
  <c r="O15" i="6"/>
  <c r="P22" i="6"/>
  <c r="P15" i="6"/>
  <c r="D18" i="18"/>
  <c r="E18" i="18"/>
  <c r="C15" i="6" l="1"/>
  <c r="C26" i="6"/>
  <c r="C18" i="6"/>
  <c r="C29" i="6"/>
  <c r="C39" i="6"/>
  <c r="C49" i="6"/>
  <c r="C59" i="6"/>
  <c r="C19" i="6"/>
  <c r="C30" i="6"/>
  <c r="C40" i="6"/>
  <c r="C50" i="6"/>
  <c r="C60" i="6"/>
  <c r="C20" i="6"/>
  <c r="C31" i="6"/>
  <c r="C41" i="6"/>
  <c r="C51" i="6"/>
  <c r="C61" i="6"/>
  <c r="C21" i="6"/>
  <c r="C32" i="6"/>
  <c r="C42" i="6"/>
  <c r="C52" i="6"/>
  <c r="C62" i="6"/>
  <c r="C22" i="6"/>
  <c r="C33" i="6"/>
  <c r="C43" i="6"/>
  <c r="C53" i="6"/>
  <c r="C63" i="6"/>
  <c r="C23" i="6"/>
  <c r="C34" i="6"/>
  <c r="C44" i="6"/>
  <c r="C54" i="6"/>
  <c r="C24" i="6"/>
  <c r="C35" i="6"/>
  <c r="C45" i="6"/>
  <c r="C55" i="6"/>
  <c r="C25" i="6"/>
  <c r="C36" i="6"/>
  <c r="C46" i="6"/>
  <c r="C56" i="6"/>
  <c r="C16" i="6"/>
  <c r="C27" i="6"/>
  <c r="C37" i="6"/>
  <c r="C47" i="6"/>
  <c r="C57" i="6"/>
  <c r="C17" i="6"/>
  <c r="C28" i="6"/>
  <c r="C38" i="6"/>
  <c r="C48" i="6"/>
  <c r="C58" i="6"/>
  <c r="B28" i="1"/>
  <c r="D65" i="16"/>
  <c r="J64" i="16"/>
  <c r="D64" i="16" s="1"/>
  <c r="J74" i="16"/>
  <c r="D74" i="16" s="1"/>
  <c r="J66" i="16"/>
  <c r="D66" i="16" s="1"/>
  <c r="Q36" i="6"/>
  <c r="R36" i="6"/>
  <c r="R22" i="6"/>
  <c r="Q22" i="6"/>
  <c r="Q15" i="6"/>
  <c r="R15" i="6"/>
  <c r="I32" i="18"/>
  <c r="J32" i="18"/>
  <c r="I39" i="18"/>
  <c r="J39" i="18"/>
  <c r="J25" i="18"/>
  <c r="I25" i="18"/>
  <c r="J4" i="18"/>
  <c r="I4" i="18"/>
  <c r="J11" i="18"/>
  <c r="I11" i="18"/>
  <c r="E4" i="18"/>
  <c r="D4" i="18"/>
  <c r="C25" i="13"/>
  <c r="D25" i="13"/>
  <c r="E25" i="13"/>
  <c r="F25" i="13"/>
  <c r="G25" i="13"/>
  <c r="B25" i="13"/>
  <c r="J18" i="18"/>
  <c r="I18" i="18"/>
  <c r="D81" i="15"/>
  <c r="AH81" i="15" a="1"/>
  <c r="AH81" i="15" s="1"/>
  <c r="C81" i="15" s="1"/>
  <c r="B81" i="15"/>
  <c r="J80" i="16"/>
  <c r="D80" i="16" s="1"/>
  <c r="L37" i="5" s="1"/>
  <c r="I29" i="5"/>
  <c r="E11" i="18"/>
  <c r="D11" i="18"/>
  <c r="AF41" i="15"/>
  <c r="D85" i="15"/>
  <c r="H84" i="16" s="1"/>
  <c r="U85" i="15"/>
  <c r="V85" i="15" s="1"/>
  <c r="AB85" i="15" s="1"/>
  <c r="B85" i="15"/>
  <c r="F84" i="16" s="1"/>
  <c r="J84" i="16"/>
  <c r="D84" i="16" s="1"/>
  <c r="E84" i="16"/>
  <c r="B51" i="5"/>
  <c r="E61" i="16"/>
  <c r="J61" i="16"/>
  <c r="D61" i="16" s="1"/>
  <c r="D62" i="15"/>
  <c r="H61" i="16" s="1"/>
  <c r="U62" i="15"/>
  <c r="V62" i="15" s="1"/>
  <c r="AB62" i="15" s="1"/>
  <c r="B62" i="15"/>
  <c r="F61" i="16" s="1"/>
  <c r="AC85" i="15" l="1"/>
  <c r="AD85" i="15" s="1"/>
  <c r="AG85" i="15" s="1" a="1"/>
  <c r="AG85" i="15" s="1"/>
  <c r="AH85" i="15" s="1" a="1"/>
  <c r="AH85" i="15" s="1"/>
  <c r="C85" i="15" s="1"/>
  <c r="G84" i="16" s="1"/>
  <c r="AC62" i="15"/>
  <c r="AD62" i="15" s="1"/>
  <c r="AG62" i="15" s="1" a="1"/>
  <c r="AG62" i="15" s="1"/>
  <c r="AH62" i="15" s="1" a="1"/>
  <c r="AH62" i="15" s="1"/>
  <c r="C62" i="15" s="1"/>
  <c r="G61" i="16" s="1"/>
  <c r="B23" i="13" l="1"/>
  <c r="B54" i="5"/>
  <c r="C54" i="5"/>
  <c r="D54" i="5"/>
  <c r="E54" i="5"/>
  <c r="F54" i="5"/>
  <c r="A54" i="5"/>
  <c r="B59" i="5"/>
  <c r="B60" i="5"/>
  <c r="B61" i="5"/>
  <c r="B62" i="5"/>
  <c r="B63" i="5"/>
  <c r="B58" i="5"/>
  <c r="J52" i="5"/>
  <c r="C12" i="6"/>
  <c r="D12" i="6"/>
  <c r="E12" i="6"/>
  <c r="F12" i="6"/>
  <c r="G12" i="6"/>
  <c r="B12" i="6"/>
  <c r="C11" i="6"/>
  <c r="D11" i="6"/>
  <c r="E11" i="6"/>
  <c r="F11" i="6"/>
  <c r="G11" i="6"/>
  <c r="B11" i="6"/>
  <c r="C10" i="6"/>
  <c r="D10" i="6"/>
  <c r="E10" i="6"/>
  <c r="F10" i="6"/>
  <c r="G10" i="6"/>
  <c r="B10" i="6"/>
  <c r="C9" i="6"/>
  <c r="D9" i="6"/>
  <c r="E9" i="6"/>
  <c r="F9" i="6"/>
  <c r="G9" i="6"/>
  <c r="B9" i="6"/>
  <c r="C8" i="6"/>
  <c r="D8" i="6"/>
  <c r="E8" i="6"/>
  <c r="F8" i="6"/>
  <c r="G8" i="6"/>
  <c r="B8" i="6"/>
  <c r="C7" i="6"/>
  <c r="D7" i="6"/>
  <c r="E7" i="6"/>
  <c r="F7" i="6"/>
  <c r="G7" i="6"/>
  <c r="B7" i="6"/>
  <c r="C5" i="6"/>
  <c r="D5" i="6"/>
  <c r="E5" i="6"/>
  <c r="F5" i="6"/>
  <c r="G5" i="6"/>
  <c r="B5" i="6"/>
  <c r="C4" i="6"/>
  <c r="D4" i="6"/>
  <c r="E4" i="6"/>
  <c r="F4" i="6"/>
  <c r="G4" i="6"/>
  <c r="B4" i="6"/>
  <c r="C3" i="6"/>
  <c r="D3" i="6"/>
  <c r="E3" i="6"/>
  <c r="F3" i="6"/>
  <c r="G3" i="6"/>
  <c r="B3" i="6"/>
  <c r="B46" i="5"/>
  <c r="B47" i="5"/>
  <c r="B48" i="5"/>
  <c r="B49" i="5"/>
  <c r="B50" i="5"/>
  <c r="B45" i="5"/>
  <c r="J46" i="5"/>
  <c r="J47" i="5"/>
  <c r="J48" i="5"/>
  <c r="J49" i="5"/>
  <c r="J50" i="5"/>
  <c r="J51" i="5"/>
  <c r="J45" i="5"/>
  <c r="M36" i="5"/>
  <c r="J32" i="5"/>
  <c r="J33" i="5"/>
  <c r="J34" i="5"/>
  <c r="J35" i="5"/>
  <c r="J36" i="5"/>
  <c r="J31" i="5"/>
  <c r="B32" i="5"/>
  <c r="B33" i="5"/>
  <c r="B34" i="5"/>
  <c r="B35" i="5"/>
  <c r="B36" i="5"/>
  <c r="B38" i="5"/>
  <c r="B39" i="5"/>
  <c r="B31" i="5"/>
  <c r="J8" i="5"/>
  <c r="J9" i="5"/>
  <c r="J10" i="5"/>
  <c r="J11" i="5"/>
  <c r="J12" i="5"/>
  <c r="J13" i="5"/>
  <c r="J14" i="5"/>
  <c r="J15" i="5"/>
  <c r="J16" i="5"/>
  <c r="J17" i="5"/>
  <c r="J18" i="5"/>
  <c r="J19" i="5"/>
  <c r="J20" i="5"/>
  <c r="J21" i="5"/>
  <c r="J7" i="5"/>
  <c r="E24" i="5"/>
  <c r="B8" i="5"/>
  <c r="B9" i="5"/>
  <c r="B10" i="5"/>
  <c r="B11" i="5"/>
  <c r="B12" i="5"/>
  <c r="B13" i="5"/>
  <c r="B14" i="5"/>
  <c r="B15" i="5"/>
  <c r="B16" i="5"/>
  <c r="B17" i="5"/>
  <c r="B18" i="5"/>
  <c r="B19" i="5"/>
  <c r="B20" i="5"/>
  <c r="B21" i="5"/>
  <c r="B22" i="5"/>
  <c r="B23" i="5"/>
  <c r="B24" i="5"/>
  <c r="B25" i="5"/>
  <c r="B7" i="5"/>
  <c r="K94" i="16"/>
  <c r="J94" i="16" s="1"/>
  <c r="I94" i="16"/>
  <c r="E94" i="16"/>
  <c r="J93" i="16"/>
  <c r="I93" i="16"/>
  <c r="E93" i="16"/>
  <c r="J92" i="16"/>
  <c r="D92" i="16" s="1"/>
  <c r="E92" i="16"/>
  <c r="J91" i="16"/>
  <c r="D91" i="16" s="1"/>
  <c r="E91" i="16"/>
  <c r="K90" i="16"/>
  <c r="J90" i="16" s="1"/>
  <c r="I90" i="16"/>
  <c r="E90" i="16"/>
  <c r="J89" i="16"/>
  <c r="D89" i="16" s="1"/>
  <c r="E89" i="16"/>
  <c r="K88" i="16"/>
  <c r="J88" i="16" s="1"/>
  <c r="D88" i="16" s="1"/>
  <c r="E88" i="16"/>
  <c r="K87" i="16"/>
  <c r="J87" i="16" s="1"/>
  <c r="D87" i="16" s="1"/>
  <c r="E87" i="16"/>
  <c r="J86" i="16"/>
  <c r="D86" i="16" s="1"/>
  <c r="E86" i="16"/>
  <c r="J82" i="16"/>
  <c r="I82" i="16"/>
  <c r="E82" i="16"/>
  <c r="J83" i="16"/>
  <c r="D83" i="16" s="1"/>
  <c r="E83" i="16"/>
  <c r="E85" i="16"/>
  <c r="K81" i="16"/>
  <c r="E81" i="16"/>
  <c r="J63" i="16"/>
  <c r="D63" i="16" s="1"/>
  <c r="L35" i="5"/>
  <c r="M35" i="5"/>
  <c r="L34" i="5"/>
  <c r="M34" i="5"/>
  <c r="L33" i="5"/>
  <c r="M33" i="5"/>
  <c r="L32" i="5"/>
  <c r="M32" i="5"/>
  <c r="M31" i="5"/>
  <c r="L52" i="5"/>
  <c r="M52" i="5"/>
  <c r="L51" i="5"/>
  <c r="M51" i="5"/>
  <c r="M50" i="5"/>
  <c r="L50" i="5"/>
  <c r="M49" i="5"/>
  <c r="L49" i="5"/>
  <c r="L48" i="5"/>
  <c r="M48" i="5"/>
  <c r="L47" i="5"/>
  <c r="M47" i="5"/>
  <c r="L46" i="5"/>
  <c r="M46" i="5"/>
  <c r="M45" i="5"/>
  <c r="E62" i="16"/>
  <c r="J60" i="16"/>
  <c r="D60" i="16" s="1"/>
  <c r="D48" i="5" s="1"/>
  <c r="E60" i="16"/>
  <c r="E48" i="5" s="1"/>
  <c r="J59" i="16"/>
  <c r="D59" i="16" s="1"/>
  <c r="D47" i="5" s="1"/>
  <c r="E59" i="16"/>
  <c r="E47" i="5" s="1"/>
  <c r="J58" i="16"/>
  <c r="D58" i="16" s="1"/>
  <c r="D46" i="5" s="1"/>
  <c r="E58" i="16"/>
  <c r="E46" i="5" s="1"/>
  <c r="L57" i="16"/>
  <c r="K57" i="16"/>
  <c r="E57" i="16"/>
  <c r="E45" i="5" s="1"/>
  <c r="K56" i="16"/>
  <c r="E56" i="16"/>
  <c r="E55" i="16"/>
  <c r="E39" i="5" s="1"/>
  <c r="J54" i="16"/>
  <c r="D54" i="16" s="1"/>
  <c r="D38" i="5" s="1"/>
  <c r="E54" i="16"/>
  <c r="E38" i="5" s="1"/>
  <c r="J53" i="16"/>
  <c r="D53" i="16" s="1"/>
  <c r="D37" i="5" s="1"/>
  <c r="E53" i="16"/>
  <c r="E37" i="5" s="1"/>
  <c r="K52" i="16"/>
  <c r="J52" i="16" s="1"/>
  <c r="D52" i="16" s="1"/>
  <c r="D36" i="5" s="1"/>
  <c r="E52" i="16"/>
  <c r="E36" i="5" s="1"/>
  <c r="J51" i="16"/>
  <c r="D51" i="16" s="1"/>
  <c r="D35" i="5" s="1"/>
  <c r="E51" i="16"/>
  <c r="E35" i="5" s="1"/>
  <c r="J50" i="16"/>
  <c r="D50" i="16" s="1"/>
  <c r="D34" i="5" s="1"/>
  <c r="E50" i="16"/>
  <c r="E34" i="5" s="1"/>
  <c r="J49" i="16"/>
  <c r="D49" i="16" s="1"/>
  <c r="D33" i="5" s="1"/>
  <c r="E49" i="16"/>
  <c r="E33" i="5" s="1"/>
  <c r="J48" i="16"/>
  <c r="D48" i="16" s="1"/>
  <c r="D32" i="5" s="1"/>
  <c r="E48" i="16"/>
  <c r="E32" i="5" s="1"/>
  <c r="L47" i="16"/>
  <c r="K47" i="16"/>
  <c r="E47" i="16"/>
  <c r="E31" i="5" s="1"/>
  <c r="K46" i="16"/>
  <c r="K55" i="16" s="1"/>
  <c r="J55" i="16" s="1"/>
  <c r="D55" i="16" s="1"/>
  <c r="D39" i="5" s="1"/>
  <c r="E46" i="16"/>
  <c r="J45" i="16"/>
  <c r="D45" i="16" s="1"/>
  <c r="J44" i="16"/>
  <c r="D44" i="16" s="1"/>
  <c r="E44" i="16"/>
  <c r="K43" i="16"/>
  <c r="J43" i="16" s="1"/>
  <c r="D43" i="16" s="1"/>
  <c r="E43" i="16"/>
  <c r="K42" i="16"/>
  <c r="J42" i="16" s="1"/>
  <c r="D42" i="16" s="1"/>
  <c r="E42" i="16"/>
  <c r="K41" i="16"/>
  <c r="J41" i="16" s="1"/>
  <c r="D41" i="16" s="1"/>
  <c r="E41" i="16"/>
  <c r="E62" i="5" s="1"/>
  <c r="J40" i="16"/>
  <c r="D40" i="16" s="1"/>
  <c r="D61" i="5" s="1"/>
  <c r="E40" i="16"/>
  <c r="E61" i="5" s="1"/>
  <c r="J39" i="16"/>
  <c r="D39" i="16" s="1"/>
  <c r="D60" i="5" s="1"/>
  <c r="E39" i="16"/>
  <c r="E60" i="5" s="1"/>
  <c r="J38" i="16"/>
  <c r="D38" i="16" s="1"/>
  <c r="D59" i="5" s="1"/>
  <c r="E38" i="16"/>
  <c r="E59" i="5" s="1"/>
  <c r="K37" i="16"/>
  <c r="J37" i="16" s="1"/>
  <c r="D37" i="16" s="1"/>
  <c r="D58" i="5" s="1"/>
  <c r="E37" i="16"/>
  <c r="E58" i="5" s="1"/>
  <c r="E36" i="16"/>
  <c r="M21" i="5" s="1"/>
  <c r="K35" i="16"/>
  <c r="J35" i="16" s="1"/>
  <c r="D35" i="16" s="1"/>
  <c r="L20" i="5" s="1"/>
  <c r="E35" i="16"/>
  <c r="M20" i="5" s="1"/>
  <c r="J34" i="16"/>
  <c r="D34" i="16" s="1"/>
  <c r="L19" i="5" s="1"/>
  <c r="E34" i="16"/>
  <c r="M19" i="5" s="1"/>
  <c r="J33" i="16"/>
  <c r="D33" i="16" s="1"/>
  <c r="L18" i="5" s="1"/>
  <c r="E33" i="16"/>
  <c r="M18" i="5" s="1"/>
  <c r="J32" i="16"/>
  <c r="D32" i="16" s="1"/>
  <c r="L17" i="5" s="1"/>
  <c r="E32" i="16"/>
  <c r="M17" i="5" s="1"/>
  <c r="K31" i="16"/>
  <c r="J31" i="16" s="1"/>
  <c r="D31" i="16" s="1"/>
  <c r="L16" i="5" s="1"/>
  <c r="E31" i="16"/>
  <c r="M16" i="5" s="1"/>
  <c r="I30" i="16"/>
  <c r="E30" i="16"/>
  <c r="M15" i="5" s="1"/>
  <c r="D30" i="16"/>
  <c r="L15" i="5" s="1"/>
  <c r="I29" i="16"/>
  <c r="E29" i="16"/>
  <c r="M14" i="5" s="1"/>
  <c r="D29" i="16"/>
  <c r="L14" i="5" s="1"/>
  <c r="L28" i="16"/>
  <c r="K28" i="16"/>
  <c r="E28" i="16"/>
  <c r="M13" i="5" s="1"/>
  <c r="K27" i="16"/>
  <c r="E27" i="16"/>
  <c r="M12" i="5" s="1"/>
  <c r="J26" i="16"/>
  <c r="D26" i="16" s="1"/>
  <c r="L11" i="5" s="1"/>
  <c r="E26" i="16"/>
  <c r="M11" i="5" s="1"/>
  <c r="J25" i="16"/>
  <c r="D25" i="16" s="1"/>
  <c r="L10" i="5" s="1"/>
  <c r="E25" i="16"/>
  <c r="M10" i="5" s="1"/>
  <c r="J24" i="16"/>
  <c r="I24" i="16"/>
  <c r="E24" i="16"/>
  <c r="M9" i="5" s="1"/>
  <c r="L23" i="16"/>
  <c r="K23" i="16"/>
  <c r="E23" i="16"/>
  <c r="M8" i="5" s="1"/>
  <c r="L22" i="16"/>
  <c r="K22" i="16"/>
  <c r="E22" i="16"/>
  <c r="M7" i="5" s="1"/>
  <c r="E21" i="16"/>
  <c r="E25" i="5" s="1"/>
  <c r="J20" i="16"/>
  <c r="D20" i="16" s="1"/>
  <c r="D24" i="5" s="1"/>
  <c r="J18" i="16"/>
  <c r="D18" i="16" s="1"/>
  <c r="D23" i="5" s="1"/>
  <c r="E18" i="16"/>
  <c r="E23" i="5" s="1"/>
  <c r="J17" i="16"/>
  <c r="D17" i="16" s="1"/>
  <c r="E17" i="16"/>
  <c r="J16" i="16"/>
  <c r="D16" i="16" s="1"/>
  <c r="E16" i="16"/>
  <c r="J15" i="16"/>
  <c r="D15" i="16" s="1"/>
  <c r="E15" i="16"/>
  <c r="K14" i="16"/>
  <c r="J14" i="16" s="1"/>
  <c r="D14" i="16" s="1"/>
  <c r="E14" i="16"/>
  <c r="L13" i="16"/>
  <c r="K13" i="16"/>
  <c r="E13" i="16"/>
  <c r="E17" i="5" s="1"/>
  <c r="K12" i="16"/>
  <c r="J12" i="16" s="1"/>
  <c r="D12" i="16" s="1"/>
  <c r="D16" i="5" s="1"/>
  <c r="E12" i="16"/>
  <c r="E16" i="5" s="1"/>
  <c r="K11" i="16"/>
  <c r="K21" i="16" s="1"/>
  <c r="J21" i="16" s="1"/>
  <c r="D21" i="16" s="1"/>
  <c r="D25" i="5" s="1"/>
  <c r="E11" i="16"/>
  <c r="E15" i="5" s="1"/>
  <c r="K10" i="16"/>
  <c r="J10" i="16" s="1"/>
  <c r="D10" i="16" s="1"/>
  <c r="D14" i="5" s="1"/>
  <c r="E10" i="16"/>
  <c r="E14" i="5" s="1"/>
  <c r="K9" i="16"/>
  <c r="J9" i="16" s="1"/>
  <c r="D9" i="16" s="1"/>
  <c r="D13" i="5" s="1"/>
  <c r="E9" i="16"/>
  <c r="E13" i="5" s="1"/>
  <c r="J8" i="16"/>
  <c r="D8" i="16" s="1"/>
  <c r="D12" i="5" s="1"/>
  <c r="E8" i="16"/>
  <c r="E12" i="5" s="1"/>
  <c r="I7" i="16"/>
  <c r="E7" i="16"/>
  <c r="E11" i="5" s="1"/>
  <c r="K6" i="16"/>
  <c r="J6" i="16" s="1"/>
  <c r="D6" i="16" s="1"/>
  <c r="D10" i="5" s="1"/>
  <c r="E6" i="16"/>
  <c r="E10" i="5" s="1"/>
  <c r="L5" i="16"/>
  <c r="K5" i="16"/>
  <c r="E5" i="16"/>
  <c r="E9" i="5" s="1"/>
  <c r="L4" i="16"/>
  <c r="K4" i="16"/>
  <c r="E4" i="16"/>
  <c r="E8" i="5" s="1"/>
  <c r="K3" i="16"/>
  <c r="J3" i="16" s="1"/>
  <c r="D7" i="5" s="1"/>
  <c r="E3" i="16"/>
  <c r="D95" i="15"/>
  <c r="H94" i="16" s="1"/>
  <c r="AH95" i="15" a="1"/>
  <c r="AH95" i="15" s="1"/>
  <c r="C95" i="15" s="1"/>
  <c r="G94" i="16" s="1"/>
  <c r="B95" i="15"/>
  <c r="F94" i="16" s="1"/>
  <c r="D94" i="15"/>
  <c r="H93" i="16" s="1"/>
  <c r="AH94" i="15" a="1"/>
  <c r="AH94" i="15" s="1"/>
  <c r="C94" i="15" s="1"/>
  <c r="G93" i="16" s="1"/>
  <c r="B94" i="15"/>
  <c r="F93" i="16" s="1"/>
  <c r="D93" i="15"/>
  <c r="H92" i="16" s="1"/>
  <c r="AH93" i="15" a="1"/>
  <c r="AH93" i="15" s="1"/>
  <c r="C93" i="15" s="1"/>
  <c r="G92" i="16" s="1"/>
  <c r="B93" i="15"/>
  <c r="F92" i="16" s="1"/>
  <c r="D92" i="15"/>
  <c r="H91" i="16" s="1"/>
  <c r="AH92" i="15" a="1"/>
  <c r="AH92" i="15" s="1"/>
  <c r="C92" i="15" s="1"/>
  <c r="G91" i="16" s="1"/>
  <c r="B92" i="15"/>
  <c r="F91" i="16" s="1"/>
  <c r="D91" i="15"/>
  <c r="H90" i="16" s="1"/>
  <c r="AH91" i="15" a="1"/>
  <c r="AH91" i="15" s="1"/>
  <c r="C91" i="15" s="1"/>
  <c r="G90" i="16" s="1"/>
  <c r="B91" i="15"/>
  <c r="F90" i="16" s="1"/>
  <c r="D90" i="15"/>
  <c r="H89" i="16" s="1"/>
  <c r="AF90" i="15"/>
  <c r="U90" i="15"/>
  <c r="V90" i="15" s="1"/>
  <c r="AB90" i="15" s="1"/>
  <c r="B90" i="15"/>
  <c r="F89" i="16" s="1"/>
  <c r="AK89" i="15"/>
  <c r="AF89" i="15"/>
  <c r="U89" i="15"/>
  <c r="V89" i="15" s="1"/>
  <c r="AB89" i="15" s="1"/>
  <c r="AC89" i="15" s="1"/>
  <c r="AD89" i="15" s="1"/>
  <c r="B89" i="15"/>
  <c r="F88" i="16" s="1"/>
  <c r="AK88" i="15"/>
  <c r="AF88" i="15"/>
  <c r="U88" i="15"/>
  <c r="V88" i="15" s="1"/>
  <c r="AB88" i="15" s="1"/>
  <c r="AC88" i="15" s="1"/>
  <c r="AD88" i="15" s="1"/>
  <c r="B88" i="15"/>
  <c r="F87" i="16" s="1"/>
  <c r="AK87" i="15"/>
  <c r="AH87" i="15" a="1"/>
  <c r="AH87" i="15" s="1"/>
  <c r="C87" i="15" s="1"/>
  <c r="G86" i="16" s="1"/>
  <c r="B87" i="15"/>
  <c r="F86" i="16" s="1"/>
  <c r="D83" i="15"/>
  <c r="H82" i="16" s="1"/>
  <c r="AH83" i="15" a="1"/>
  <c r="AH83" i="15" s="1"/>
  <c r="C83" i="15" s="1"/>
  <c r="G82" i="16" s="1"/>
  <c r="J83" i="15"/>
  <c r="D84" i="15"/>
  <c r="H83" i="16" s="1"/>
  <c r="U84" i="15"/>
  <c r="V84" i="15" s="1"/>
  <c r="AB84" i="15" s="1"/>
  <c r="R84" i="15"/>
  <c r="B84" i="15"/>
  <c r="F83" i="16" s="1"/>
  <c r="D86" i="15"/>
  <c r="H85" i="16" s="1"/>
  <c r="U86" i="15"/>
  <c r="V86" i="15" s="1"/>
  <c r="AB86" i="15" s="1"/>
  <c r="R86" i="15"/>
  <c r="B86" i="15"/>
  <c r="F85" i="16" s="1"/>
  <c r="D82" i="15"/>
  <c r="H81" i="16" s="1"/>
  <c r="U82" i="15"/>
  <c r="V82" i="15" s="1"/>
  <c r="AB82" i="15" s="1"/>
  <c r="R82" i="15"/>
  <c r="B82" i="15"/>
  <c r="F81" i="16" s="1"/>
  <c r="D64" i="15"/>
  <c r="AH64" i="15" a="1"/>
  <c r="AH64" i="15" s="1"/>
  <c r="C64" i="15" s="1"/>
  <c r="B64" i="15"/>
  <c r="D79" i="15"/>
  <c r="U79" i="15"/>
  <c r="V79" i="15" s="1"/>
  <c r="AB79" i="15" s="1"/>
  <c r="R79" i="15"/>
  <c r="B79" i="15"/>
  <c r="D78" i="15"/>
  <c r="AF78" i="15"/>
  <c r="U78" i="15"/>
  <c r="V78" i="15" s="1"/>
  <c r="AB78" i="15" s="1"/>
  <c r="B78" i="15"/>
  <c r="D77" i="15"/>
  <c r="AF77" i="15"/>
  <c r="U77" i="15"/>
  <c r="V77" i="15" s="1"/>
  <c r="AB77" i="15" s="1"/>
  <c r="B77" i="15"/>
  <c r="D76" i="15"/>
  <c r="AF76" i="15"/>
  <c r="U76" i="15"/>
  <c r="V76" i="15" s="1"/>
  <c r="AB76" i="15" s="1"/>
  <c r="B76" i="15"/>
  <c r="D75" i="15"/>
  <c r="AH75" i="15" a="1"/>
  <c r="AH75" i="15" s="1"/>
  <c r="C75" i="15" s="1"/>
  <c r="B75" i="15"/>
  <c r="D74" i="15"/>
  <c r="AH74" i="15" a="1"/>
  <c r="AH74" i="15" s="1"/>
  <c r="C74" i="15" s="1"/>
  <c r="B74" i="15"/>
  <c r="D73" i="15"/>
  <c r="AH73" i="15" a="1"/>
  <c r="AH73" i="15" s="1"/>
  <c r="C73" i="15" s="1"/>
  <c r="B73" i="15"/>
  <c r="D72" i="15"/>
  <c r="AF72" i="15"/>
  <c r="U72" i="15"/>
  <c r="V72" i="15" s="1"/>
  <c r="AB72" i="15" s="1"/>
  <c r="B72" i="15"/>
  <c r="D71" i="15"/>
  <c r="AF71" i="15"/>
  <c r="U71" i="15"/>
  <c r="V71" i="15" s="1"/>
  <c r="AB71" i="15" s="1"/>
  <c r="B71" i="15"/>
  <c r="D70" i="15"/>
  <c r="AF70" i="15"/>
  <c r="U70" i="15"/>
  <c r="V70" i="15" s="1"/>
  <c r="AB70" i="15" s="1"/>
  <c r="B70" i="15"/>
  <c r="D69" i="15"/>
  <c r="U69" i="15"/>
  <c r="V69" i="15" s="1"/>
  <c r="AB69" i="15" s="1"/>
  <c r="R69" i="15"/>
  <c r="B69" i="15"/>
  <c r="D68" i="15"/>
  <c r="AH68" i="15" a="1"/>
  <c r="AH68" i="15" s="1"/>
  <c r="C68" i="15" s="1"/>
  <c r="B68" i="15"/>
  <c r="D67" i="15"/>
  <c r="AH67" i="15" a="1"/>
  <c r="AH67" i="15" s="1"/>
  <c r="C67" i="15" s="1"/>
  <c r="B67" i="15"/>
  <c r="D66" i="15"/>
  <c r="H65" i="16" s="1"/>
  <c r="AH66" i="15" a="1"/>
  <c r="AH66" i="15" s="1"/>
  <c r="C66" i="15" s="1"/>
  <c r="G65" i="16" s="1"/>
  <c r="B66" i="15"/>
  <c r="F65" i="16" s="1"/>
  <c r="D65" i="15"/>
  <c r="H64" i="16" s="1"/>
  <c r="AH65" i="15" a="1"/>
  <c r="AH65" i="15" s="1"/>
  <c r="C65" i="15" s="1"/>
  <c r="G64" i="16" s="1"/>
  <c r="B65" i="15"/>
  <c r="F64" i="16" s="1"/>
  <c r="D63" i="15"/>
  <c r="H62" i="16" s="1"/>
  <c r="U63" i="15"/>
  <c r="V63" i="15" s="1"/>
  <c r="AB63" i="15" s="1"/>
  <c r="R63" i="15"/>
  <c r="B63" i="15"/>
  <c r="F62" i="16" s="1"/>
  <c r="D61" i="15"/>
  <c r="H60" i="16" s="1"/>
  <c r="H48" i="5" s="1"/>
  <c r="AF61" i="15"/>
  <c r="U61" i="15"/>
  <c r="V61" i="15" s="1"/>
  <c r="AB61" i="15" s="1"/>
  <c r="B61" i="15"/>
  <c r="F60" i="16" s="1"/>
  <c r="F48" i="5" s="1"/>
  <c r="D60" i="15"/>
  <c r="H59" i="16" s="1"/>
  <c r="H47" i="5" s="1"/>
  <c r="AF60" i="15"/>
  <c r="U60" i="15"/>
  <c r="V60" i="15" s="1"/>
  <c r="AB60" i="15" s="1"/>
  <c r="B60" i="15"/>
  <c r="F59" i="16" s="1"/>
  <c r="F47" i="5" s="1"/>
  <c r="D59" i="15"/>
  <c r="H58" i="16" s="1"/>
  <c r="H46" i="5" s="1"/>
  <c r="AH59" i="15" a="1"/>
  <c r="AH59" i="15" s="1"/>
  <c r="C59" i="15" s="1"/>
  <c r="G58" i="16" s="1"/>
  <c r="G46" i="5" s="1"/>
  <c r="B59" i="15"/>
  <c r="F58" i="16" s="1"/>
  <c r="F46" i="5" s="1"/>
  <c r="D58" i="15"/>
  <c r="H57" i="16" s="1"/>
  <c r="H45" i="5" s="1"/>
  <c r="AH58" i="15" a="1"/>
  <c r="AH58" i="15" s="1"/>
  <c r="C58" i="15" s="1"/>
  <c r="G57" i="16" s="1"/>
  <c r="G45" i="5" s="1"/>
  <c r="B58" i="15"/>
  <c r="F57" i="16" s="1"/>
  <c r="F45" i="5" s="1"/>
  <c r="D57" i="15"/>
  <c r="H56" i="16" s="1"/>
  <c r="U57" i="15"/>
  <c r="V57" i="15" s="1"/>
  <c r="AB57" i="15" s="1"/>
  <c r="R57" i="15"/>
  <c r="B57" i="15"/>
  <c r="F56" i="16" s="1"/>
  <c r="D56" i="15"/>
  <c r="H55" i="16" s="1"/>
  <c r="H39" i="5" s="1"/>
  <c r="U56" i="15"/>
  <c r="V56" i="15" s="1"/>
  <c r="AB56" i="15" s="1"/>
  <c r="R56" i="15"/>
  <c r="B56" i="15"/>
  <c r="F55" i="16" s="1"/>
  <c r="F39" i="5" s="1"/>
  <c r="D55" i="15"/>
  <c r="H54" i="16" s="1"/>
  <c r="H38" i="5" s="1"/>
  <c r="AH55" i="15" a="1"/>
  <c r="AH55" i="15" s="1"/>
  <c r="C55" i="15" s="1"/>
  <c r="G54" i="16" s="1"/>
  <c r="G38" i="5" s="1"/>
  <c r="B55" i="15"/>
  <c r="F54" i="16" s="1"/>
  <c r="F38" i="5" s="1"/>
  <c r="D54" i="15"/>
  <c r="H53" i="16" s="1"/>
  <c r="H37" i="5" s="1"/>
  <c r="AH54" i="15" a="1"/>
  <c r="AH54" i="15" s="1"/>
  <c r="C54" i="15" s="1"/>
  <c r="G53" i="16" s="1"/>
  <c r="G37" i="5" s="1"/>
  <c r="B54" i="15"/>
  <c r="F53" i="16" s="1"/>
  <c r="F37" i="5" s="1"/>
  <c r="D53" i="15"/>
  <c r="H52" i="16" s="1"/>
  <c r="H36" i="5" s="1"/>
  <c r="U53" i="15"/>
  <c r="V53" i="15" s="1"/>
  <c r="AB53" i="15" s="1"/>
  <c r="R53" i="15"/>
  <c r="B53" i="15"/>
  <c r="F52" i="16" s="1"/>
  <c r="F36" i="5" s="1"/>
  <c r="D52" i="15"/>
  <c r="H51" i="16" s="1"/>
  <c r="H35" i="5" s="1"/>
  <c r="AF52" i="15"/>
  <c r="U52" i="15"/>
  <c r="V52" i="15" s="1"/>
  <c r="AB52" i="15" s="1"/>
  <c r="B52" i="15"/>
  <c r="F51" i="16" s="1"/>
  <c r="F35" i="5" s="1"/>
  <c r="D51" i="15"/>
  <c r="H50" i="16" s="1"/>
  <c r="H34" i="5" s="1"/>
  <c r="AF51" i="15"/>
  <c r="U51" i="15"/>
  <c r="V51" i="15" s="1"/>
  <c r="AB51" i="15" s="1"/>
  <c r="B51" i="15"/>
  <c r="F50" i="16" s="1"/>
  <c r="F34" i="5" s="1"/>
  <c r="D50" i="15"/>
  <c r="H49" i="16" s="1"/>
  <c r="H33" i="5" s="1"/>
  <c r="AF50" i="15"/>
  <c r="U50" i="15"/>
  <c r="V50" i="15" s="1"/>
  <c r="AB50" i="15" s="1"/>
  <c r="B50" i="15"/>
  <c r="F49" i="16" s="1"/>
  <c r="F33" i="5" s="1"/>
  <c r="D49" i="15"/>
  <c r="H48" i="16" s="1"/>
  <c r="H32" i="5" s="1"/>
  <c r="AH49" i="15" a="1"/>
  <c r="AH49" i="15" s="1"/>
  <c r="C49" i="15" s="1"/>
  <c r="G48" i="16" s="1"/>
  <c r="G32" i="5" s="1"/>
  <c r="B49" i="15"/>
  <c r="F48" i="16" s="1"/>
  <c r="F32" i="5" s="1"/>
  <c r="D48" i="15"/>
  <c r="H47" i="16" s="1"/>
  <c r="H31" i="5" s="1"/>
  <c r="AH48" i="15" a="1"/>
  <c r="AH48" i="15" s="1"/>
  <c r="C48" i="15" s="1"/>
  <c r="G47" i="16" s="1"/>
  <c r="G31" i="5" s="1"/>
  <c r="B48" i="15"/>
  <c r="F47" i="16" s="1"/>
  <c r="F31" i="5" s="1"/>
  <c r="D47" i="15"/>
  <c r="H46" i="16" s="1"/>
  <c r="U47" i="15"/>
  <c r="V47" i="15" s="1"/>
  <c r="AB47" i="15" s="1"/>
  <c r="R47" i="15"/>
  <c r="B47" i="15"/>
  <c r="F46" i="16" s="1"/>
  <c r="D46" i="15"/>
  <c r="H45" i="16" s="1"/>
  <c r="AH46" i="15" a="1"/>
  <c r="AH46" i="15" s="1"/>
  <c r="C46" i="15" s="1"/>
  <c r="G45" i="16" s="1"/>
  <c r="B46" i="15"/>
  <c r="F45" i="16" s="1"/>
  <c r="D45" i="15"/>
  <c r="H44" i="16" s="1"/>
  <c r="AH45" i="15" a="1"/>
  <c r="AH45" i="15" s="1"/>
  <c r="C45" i="15" s="1"/>
  <c r="G44" i="16" s="1"/>
  <c r="B45" i="15"/>
  <c r="F44" i="16" s="1"/>
  <c r="D44" i="15"/>
  <c r="H43" i="16" s="1"/>
  <c r="AH44" i="15" a="1"/>
  <c r="AH44" i="15" s="1"/>
  <c r="C44" i="15" s="1"/>
  <c r="G43" i="16" s="1"/>
  <c r="B44" i="15"/>
  <c r="F43" i="16" s="1"/>
  <c r="D43" i="15"/>
  <c r="H42" i="16" s="1"/>
  <c r="AF43" i="15"/>
  <c r="U43" i="15"/>
  <c r="V43" i="15" s="1"/>
  <c r="AB43" i="15" s="1"/>
  <c r="B43" i="15"/>
  <c r="F42" i="16" s="1"/>
  <c r="D42" i="15"/>
  <c r="H41" i="16" s="1"/>
  <c r="H62" i="5" s="1"/>
  <c r="AF42" i="15"/>
  <c r="U42" i="15"/>
  <c r="V42" i="15" s="1"/>
  <c r="AB42" i="15" s="1"/>
  <c r="B42" i="15"/>
  <c r="F41" i="16" s="1"/>
  <c r="D41" i="15"/>
  <c r="H40" i="16" s="1"/>
  <c r="H61" i="5" s="1"/>
  <c r="U41" i="15"/>
  <c r="V41" i="15" s="1"/>
  <c r="AB41" i="15" s="1"/>
  <c r="AC41" i="15" s="1"/>
  <c r="AD41" i="15" s="1"/>
  <c r="B41" i="15"/>
  <c r="F40" i="16" s="1"/>
  <c r="F61" i="5" s="1"/>
  <c r="D40" i="15"/>
  <c r="H39" i="16" s="1"/>
  <c r="H60" i="5" s="1"/>
  <c r="U40" i="15"/>
  <c r="V40" i="15" s="1"/>
  <c r="AB40" i="15" s="1"/>
  <c r="R40" i="15"/>
  <c r="B40" i="15"/>
  <c r="F39" i="16" s="1"/>
  <c r="F60" i="5" s="1"/>
  <c r="D39" i="15"/>
  <c r="H38" i="16" s="1"/>
  <c r="H59" i="5" s="1"/>
  <c r="AH39" i="15" a="1"/>
  <c r="AH39" i="15" s="1"/>
  <c r="C39" i="15" s="1"/>
  <c r="G38" i="16" s="1"/>
  <c r="G59" i="5" s="1"/>
  <c r="B39" i="15"/>
  <c r="F38" i="16" s="1"/>
  <c r="F59" i="5" s="1"/>
  <c r="D38" i="15"/>
  <c r="H37" i="16" s="1"/>
  <c r="H58" i="5" s="1"/>
  <c r="B38" i="15"/>
  <c r="F37" i="16" s="1"/>
  <c r="F58" i="5" s="1"/>
  <c r="C38" i="15"/>
  <c r="G37" i="16" s="1"/>
  <c r="G58" i="5" s="1"/>
  <c r="D37" i="15"/>
  <c r="H36" i="16" s="1"/>
  <c r="P21" i="5" s="1"/>
  <c r="U37" i="15"/>
  <c r="V37" i="15" s="1"/>
  <c r="AB37" i="15" s="1"/>
  <c r="R37" i="15"/>
  <c r="B37" i="15"/>
  <c r="F36" i="16" s="1"/>
  <c r="N21" i="5" s="1"/>
  <c r="D36" i="15"/>
  <c r="H35" i="16" s="1"/>
  <c r="P20" i="5" s="1"/>
  <c r="U36" i="15"/>
  <c r="V36" i="15" s="1"/>
  <c r="AB36" i="15" s="1"/>
  <c r="R36" i="15"/>
  <c r="B36" i="15"/>
  <c r="F35" i="16" s="1"/>
  <c r="N20" i="5" s="1"/>
  <c r="D35" i="15"/>
  <c r="H34" i="16" s="1"/>
  <c r="P19" i="5" s="1"/>
  <c r="AF35" i="15"/>
  <c r="U35" i="15"/>
  <c r="V35" i="15" s="1"/>
  <c r="AB35" i="15" s="1"/>
  <c r="AC35" i="15" s="1"/>
  <c r="AD35" i="15" s="1"/>
  <c r="B35" i="15"/>
  <c r="F34" i="16" s="1"/>
  <c r="N19" i="5" s="1"/>
  <c r="D34" i="15"/>
  <c r="H33" i="16" s="1"/>
  <c r="P18" i="5" s="1"/>
  <c r="AF34" i="15"/>
  <c r="U34" i="15"/>
  <c r="V34" i="15" s="1"/>
  <c r="AB34" i="15" s="1"/>
  <c r="AC34" i="15" s="1"/>
  <c r="AD34" i="15" s="1"/>
  <c r="B34" i="15"/>
  <c r="F33" i="16" s="1"/>
  <c r="N18" i="5" s="1"/>
  <c r="D33" i="15"/>
  <c r="H32" i="16" s="1"/>
  <c r="P17" i="5" s="1"/>
  <c r="AF33" i="15"/>
  <c r="U33" i="15"/>
  <c r="V33" i="15" s="1"/>
  <c r="AB33" i="15" s="1"/>
  <c r="AC33" i="15" s="1"/>
  <c r="AD33" i="15" s="1"/>
  <c r="B33" i="15"/>
  <c r="F32" i="16" s="1"/>
  <c r="N17" i="5" s="1"/>
  <c r="D32" i="15"/>
  <c r="H31" i="16" s="1"/>
  <c r="P16" i="5" s="1"/>
  <c r="AF32" i="15"/>
  <c r="U32" i="15"/>
  <c r="V32" i="15" s="1"/>
  <c r="AB32" i="15" s="1"/>
  <c r="AC32" i="15" s="1"/>
  <c r="AD32" i="15" s="1"/>
  <c r="B32" i="15"/>
  <c r="F31" i="16" s="1"/>
  <c r="N16" i="5" s="1"/>
  <c r="D31" i="15"/>
  <c r="H30" i="16" s="1"/>
  <c r="P15" i="5" s="1"/>
  <c r="AH31" i="15" a="1"/>
  <c r="AH31" i="15" s="1"/>
  <c r="C31" i="15" s="1"/>
  <c r="G30" i="16" s="1"/>
  <c r="O15" i="5" s="1"/>
  <c r="B31" i="15"/>
  <c r="F30" i="16" s="1"/>
  <c r="N15" i="5" s="1"/>
  <c r="D30" i="15"/>
  <c r="H29" i="16" s="1"/>
  <c r="P14" i="5" s="1"/>
  <c r="AH30" i="15" a="1"/>
  <c r="AH30" i="15" s="1"/>
  <c r="C30" i="15" s="1"/>
  <c r="G29" i="16" s="1"/>
  <c r="O14" i="5" s="1"/>
  <c r="B30" i="15"/>
  <c r="F29" i="16" s="1"/>
  <c r="N14" i="5" s="1"/>
  <c r="D29" i="15"/>
  <c r="H28" i="16" s="1"/>
  <c r="P13" i="5" s="1"/>
  <c r="AH29" i="15" a="1"/>
  <c r="AH29" i="15" s="1"/>
  <c r="C29" i="15" s="1"/>
  <c r="G28" i="16" s="1"/>
  <c r="O13" i="5" s="1"/>
  <c r="B29" i="15"/>
  <c r="F28" i="16" s="1"/>
  <c r="N13" i="5" s="1"/>
  <c r="D28" i="15"/>
  <c r="H27" i="16" s="1"/>
  <c r="P12" i="5" s="1"/>
  <c r="U28" i="15"/>
  <c r="V28" i="15" s="1"/>
  <c r="AB28" i="15" s="1"/>
  <c r="R28" i="15"/>
  <c r="B28" i="15"/>
  <c r="F27" i="16" s="1"/>
  <c r="N12" i="5" s="1"/>
  <c r="D27" i="15"/>
  <c r="H26" i="16" s="1"/>
  <c r="P11" i="5" s="1"/>
  <c r="AF27" i="15"/>
  <c r="U27" i="15"/>
  <c r="V27" i="15" s="1"/>
  <c r="AB27" i="15" s="1"/>
  <c r="AC27" i="15" s="1"/>
  <c r="AD27" i="15" s="1"/>
  <c r="B27" i="15"/>
  <c r="F26" i="16" s="1"/>
  <c r="N11" i="5" s="1"/>
  <c r="D26" i="15"/>
  <c r="H25" i="16" s="1"/>
  <c r="P10" i="5" s="1"/>
  <c r="AF26" i="15"/>
  <c r="U26" i="15"/>
  <c r="V26" i="15" s="1"/>
  <c r="AB26" i="15" s="1"/>
  <c r="B26" i="15"/>
  <c r="F25" i="16" s="1"/>
  <c r="N10" i="5" s="1"/>
  <c r="D25" i="15"/>
  <c r="H24" i="16" s="1"/>
  <c r="P9" i="5" s="1"/>
  <c r="AH25" i="15" a="1"/>
  <c r="AH25" i="15" s="1"/>
  <c r="C25" i="15" s="1"/>
  <c r="G24" i="16" s="1"/>
  <c r="O9" i="5" s="1"/>
  <c r="B25" i="15"/>
  <c r="F24" i="16" s="1"/>
  <c r="N9" i="5" s="1"/>
  <c r="D24" i="15"/>
  <c r="H23" i="16" s="1"/>
  <c r="P8" i="5" s="1"/>
  <c r="AH24" i="15" a="1"/>
  <c r="AH24" i="15" s="1"/>
  <c r="C24" i="15" s="1"/>
  <c r="G23" i="16" s="1"/>
  <c r="O8" i="5" s="1"/>
  <c r="B24" i="15"/>
  <c r="F23" i="16" s="1"/>
  <c r="N8" i="5" s="1"/>
  <c r="D23" i="15"/>
  <c r="H22" i="16" s="1"/>
  <c r="P7" i="5" s="1"/>
  <c r="AH23" i="15" a="1"/>
  <c r="AH23" i="15" s="1"/>
  <c r="C23" i="15" s="1"/>
  <c r="G22" i="16" s="1"/>
  <c r="O7" i="5" s="1"/>
  <c r="B23" i="15"/>
  <c r="F22" i="16" s="1"/>
  <c r="N7" i="5" s="1"/>
  <c r="D22" i="15"/>
  <c r="H21" i="16" s="1"/>
  <c r="H25" i="5" s="1"/>
  <c r="U22" i="15"/>
  <c r="V22" i="15" s="1"/>
  <c r="AB22" i="15" s="1"/>
  <c r="R22" i="15"/>
  <c r="B22" i="15"/>
  <c r="F21" i="16" s="1"/>
  <c r="F25" i="5" s="1"/>
  <c r="D21" i="15"/>
  <c r="H20" i="16" s="1"/>
  <c r="H24" i="5" s="1"/>
  <c r="AH21" i="15" a="1"/>
  <c r="AH21" i="15" s="1"/>
  <c r="C21" i="15" s="1"/>
  <c r="G20" i="16" s="1"/>
  <c r="G24" i="5" s="1"/>
  <c r="B21" i="15"/>
  <c r="F20" i="16" s="1"/>
  <c r="F24" i="5" s="1"/>
  <c r="D19" i="15"/>
  <c r="AH19" i="15" a="1"/>
  <c r="AH19" i="15" s="1"/>
  <c r="C19" i="15" s="1"/>
  <c r="B19" i="15"/>
  <c r="D18" i="15"/>
  <c r="AF18" i="15"/>
  <c r="U18" i="15"/>
  <c r="V18" i="15" s="1"/>
  <c r="AB18" i="15" s="1"/>
  <c r="B18" i="15"/>
  <c r="D17" i="15"/>
  <c r="AH17" i="15" a="1"/>
  <c r="AH17" i="15" s="1"/>
  <c r="C17" i="15" s="1"/>
  <c r="B17" i="15"/>
  <c r="D16" i="15"/>
  <c r="U16" i="15"/>
  <c r="V16" i="15" s="1"/>
  <c r="AB16" i="15" s="1"/>
  <c r="R16" i="15"/>
  <c r="B16" i="15"/>
  <c r="D15" i="15"/>
  <c r="H14" i="16" s="1"/>
  <c r="AH15" i="15" a="1"/>
  <c r="AH15" i="15" s="1"/>
  <c r="C15" i="15" s="1"/>
  <c r="B15" i="15"/>
  <c r="D14" i="15"/>
  <c r="H13" i="16" s="1"/>
  <c r="H17" i="5" s="1"/>
  <c r="AH14" i="15" a="1"/>
  <c r="AH14" i="15" s="1"/>
  <c r="C14" i="15" s="1"/>
  <c r="G13" i="16" s="1"/>
  <c r="G17" i="5" s="1"/>
  <c r="B14" i="15"/>
  <c r="F13" i="16" s="1"/>
  <c r="F17" i="5" s="1"/>
  <c r="D13" i="15"/>
  <c r="H12" i="16" s="1"/>
  <c r="H16" i="5" s="1"/>
  <c r="AH13" i="15" a="1"/>
  <c r="AH13" i="15" s="1"/>
  <c r="C13" i="15" s="1"/>
  <c r="G12" i="16" s="1"/>
  <c r="G16" i="5" s="1"/>
  <c r="B13" i="15"/>
  <c r="F12" i="16" s="1"/>
  <c r="F16" i="5" s="1"/>
  <c r="D12" i="15"/>
  <c r="H11" i="16" s="1"/>
  <c r="H15" i="5" s="1"/>
  <c r="U12" i="15"/>
  <c r="V12" i="15" s="1"/>
  <c r="AB12" i="15" s="1"/>
  <c r="R12" i="15"/>
  <c r="B12" i="15"/>
  <c r="F11" i="16" s="1"/>
  <c r="F15" i="5" s="1"/>
  <c r="AF11" i="15"/>
  <c r="U11" i="15"/>
  <c r="V11" i="15" s="1"/>
  <c r="AB11" i="15" s="1"/>
  <c r="B11" i="15"/>
  <c r="F10" i="16" s="1"/>
  <c r="F14" i="5" s="1"/>
  <c r="D11" i="15"/>
  <c r="H10" i="16" s="1"/>
  <c r="H14" i="5" s="1"/>
  <c r="AF10" i="15"/>
  <c r="U10" i="15"/>
  <c r="V10" i="15" s="1"/>
  <c r="AB10" i="15" s="1"/>
  <c r="B10" i="15"/>
  <c r="F9" i="16" s="1"/>
  <c r="F13" i="5" s="1"/>
  <c r="D10" i="15"/>
  <c r="H9" i="16" s="1"/>
  <c r="H13" i="5" s="1"/>
  <c r="D9" i="15"/>
  <c r="H8" i="16" s="1"/>
  <c r="H12" i="5" s="1"/>
  <c r="AF9" i="15"/>
  <c r="U9" i="15"/>
  <c r="V9" i="15" s="1"/>
  <c r="AB9" i="15" s="1"/>
  <c r="B9" i="15"/>
  <c r="F8" i="16" s="1"/>
  <c r="F12" i="5" s="1"/>
  <c r="D8" i="15"/>
  <c r="H7" i="16" s="1"/>
  <c r="H11" i="5" s="1"/>
  <c r="AF8" i="15"/>
  <c r="U8" i="15"/>
  <c r="V8" i="15" s="1"/>
  <c r="AB8" i="15" s="1"/>
  <c r="B8" i="15"/>
  <c r="F7" i="16" s="1"/>
  <c r="F11" i="5" s="1"/>
  <c r="D7" i="15"/>
  <c r="H6" i="16" s="1"/>
  <c r="H10" i="5" s="1"/>
  <c r="U7" i="15"/>
  <c r="V7" i="15" s="1"/>
  <c r="AB7" i="15" s="1"/>
  <c r="R7" i="15"/>
  <c r="Q7" i="15"/>
  <c r="B7" i="15"/>
  <c r="F6" i="16" s="1"/>
  <c r="F10" i="5" s="1"/>
  <c r="D6" i="15"/>
  <c r="H5" i="16" s="1"/>
  <c r="H9" i="5" s="1"/>
  <c r="AH6" i="15" a="1"/>
  <c r="AH6" i="15" s="1"/>
  <c r="C6" i="15" s="1"/>
  <c r="G5" i="16" s="1"/>
  <c r="G9" i="5" s="1"/>
  <c r="B6" i="15"/>
  <c r="F5" i="16" s="1"/>
  <c r="F9" i="5" s="1"/>
  <c r="D5" i="15"/>
  <c r="H4" i="16" s="1"/>
  <c r="H8" i="5" s="1"/>
  <c r="AH5" i="15" a="1"/>
  <c r="AH5" i="15" s="1"/>
  <c r="C5" i="15" s="1"/>
  <c r="G4" i="16" s="1"/>
  <c r="G8" i="5" s="1"/>
  <c r="B5" i="15"/>
  <c r="F4" i="16" s="1"/>
  <c r="F8" i="5" s="1"/>
  <c r="D4" i="15"/>
  <c r="H3" i="16" s="1"/>
  <c r="H7" i="5" s="1"/>
  <c r="AH4" i="15" a="1"/>
  <c r="AH4" i="15" s="1"/>
  <c r="C4" i="15" s="1"/>
  <c r="G3" i="16" s="1"/>
  <c r="G7" i="5" s="1"/>
  <c r="B4" i="15"/>
  <c r="F3" i="16" s="1"/>
  <c r="E7" i="5" l="1"/>
  <c r="R10" i="23"/>
  <c r="R9" i="23"/>
  <c r="F7" i="5"/>
  <c r="S9" i="23"/>
  <c r="D63" i="5"/>
  <c r="D62" i="5"/>
  <c r="E63" i="5"/>
  <c r="F63" i="5"/>
  <c r="F62" i="5"/>
  <c r="H63" i="5"/>
  <c r="G35" i="6"/>
  <c r="C24" i="18" s="1"/>
  <c r="G31" i="6"/>
  <c r="C20" i="18" s="1"/>
  <c r="G32" i="6"/>
  <c r="C21" i="18" s="1"/>
  <c r="G34" i="6"/>
  <c r="C23" i="18" s="1"/>
  <c r="G30" i="6"/>
  <c r="C19" i="18" s="1"/>
  <c r="G33" i="6"/>
  <c r="C22" i="18" s="1"/>
  <c r="G23" i="6"/>
  <c r="G24" i="6"/>
  <c r="C13" i="18" s="1"/>
  <c r="G25" i="6"/>
  <c r="G26" i="6"/>
  <c r="F12" i="20" s="1"/>
  <c r="G27" i="6"/>
  <c r="C16" i="18" s="1"/>
  <c r="G28" i="6"/>
  <c r="C17" i="18" s="1"/>
  <c r="G16" i="6"/>
  <c r="G17" i="6"/>
  <c r="C6" i="18" s="1"/>
  <c r="G18" i="6"/>
  <c r="G19" i="6"/>
  <c r="G20" i="6"/>
  <c r="C9" i="18" s="1"/>
  <c r="G21" i="6"/>
  <c r="C10" i="18" s="1"/>
  <c r="H62" i="6"/>
  <c r="H59" i="6"/>
  <c r="H63" i="6"/>
  <c r="H60" i="6"/>
  <c r="H58" i="6"/>
  <c r="H61" i="6"/>
  <c r="H54" i="6"/>
  <c r="H56" i="6"/>
  <c r="H52" i="6"/>
  <c r="H51" i="6"/>
  <c r="H55" i="6"/>
  <c r="H53" i="6"/>
  <c r="H46" i="6"/>
  <c r="H47" i="6"/>
  <c r="H44" i="6"/>
  <c r="H48" i="6"/>
  <c r="H49" i="6"/>
  <c r="H45" i="6"/>
  <c r="H40" i="6"/>
  <c r="H42" i="6"/>
  <c r="H38" i="6"/>
  <c r="H39" i="6"/>
  <c r="H41" i="6"/>
  <c r="H37" i="6"/>
  <c r="H27" i="6"/>
  <c r="H16" i="18" s="1"/>
  <c r="H28" i="6"/>
  <c r="H17" i="18" s="1"/>
  <c r="H23" i="6"/>
  <c r="H24" i="6"/>
  <c r="H13" i="18" s="1"/>
  <c r="H25" i="6"/>
  <c r="H26" i="6"/>
  <c r="G12" i="20" s="1"/>
  <c r="E19" i="5"/>
  <c r="D19" i="5"/>
  <c r="E20" i="5"/>
  <c r="D20" i="5"/>
  <c r="E21" i="5"/>
  <c r="D21" i="5"/>
  <c r="E22" i="5"/>
  <c r="D18" i="5"/>
  <c r="D22" i="5"/>
  <c r="E18" i="5"/>
  <c r="F17" i="16"/>
  <c r="H17" i="16"/>
  <c r="F16" i="16"/>
  <c r="F20" i="5" s="1"/>
  <c r="G19" i="16"/>
  <c r="H15" i="16"/>
  <c r="H19" i="5" s="1"/>
  <c r="H18" i="16"/>
  <c r="H22" i="5" s="1"/>
  <c r="H19" i="16"/>
  <c r="H18" i="5"/>
  <c r="H16" i="16"/>
  <c r="F18" i="16"/>
  <c r="F19" i="16"/>
  <c r="F14" i="16"/>
  <c r="F18" i="5" s="1"/>
  <c r="F15" i="16"/>
  <c r="H18" i="6"/>
  <c r="H21" i="6"/>
  <c r="H10" i="18" s="1"/>
  <c r="H17" i="6"/>
  <c r="H6" i="18" s="1"/>
  <c r="H19" i="6"/>
  <c r="H20" i="6"/>
  <c r="H9" i="18" s="1"/>
  <c r="H16" i="6"/>
  <c r="AL88" i="15" a="1"/>
  <c r="AL88" i="15" s="1"/>
  <c r="D88" i="15" s="1"/>
  <c r="H87" i="16" s="1"/>
  <c r="AL89" i="15" a="1"/>
  <c r="AL89" i="15" s="1"/>
  <c r="D89" i="15" s="1"/>
  <c r="H88" i="16" s="1"/>
  <c r="AL87" i="15" a="1"/>
  <c r="AL87" i="15" s="1"/>
  <c r="D87" i="15" s="1"/>
  <c r="H86" i="16" s="1"/>
  <c r="X40" i="15"/>
  <c r="Y40" i="15"/>
  <c r="Z40" i="15" s="1"/>
  <c r="X7" i="15"/>
  <c r="Y7" i="15"/>
  <c r="Z7" i="15" s="1"/>
  <c r="AG7" i="15" s="1" a="1"/>
  <c r="AG7" i="15" s="1"/>
  <c r="AH7" i="15" s="1" a="1"/>
  <c r="AH7" i="15" s="1"/>
  <c r="C7" i="15" s="1"/>
  <c r="G6" i="16" s="1"/>
  <c r="B83" i="15"/>
  <c r="F82" i="16" s="1"/>
  <c r="L36" i="5"/>
  <c r="F71" i="16"/>
  <c r="N50" i="5" s="1"/>
  <c r="F74" i="16"/>
  <c r="N31" i="5" s="1"/>
  <c r="H76" i="16"/>
  <c r="P33" i="5" s="1"/>
  <c r="G80" i="16"/>
  <c r="O37" i="5" s="1"/>
  <c r="H68" i="16"/>
  <c r="P47" i="5" s="1"/>
  <c r="G74" i="16"/>
  <c r="O31" i="5" s="1"/>
  <c r="F77" i="16"/>
  <c r="N34" i="5" s="1"/>
  <c r="H63" i="16"/>
  <c r="H80" i="16"/>
  <c r="P37" i="5" s="1"/>
  <c r="F66" i="16"/>
  <c r="N45" i="5" s="1"/>
  <c r="F69" i="16"/>
  <c r="N48" i="5" s="1"/>
  <c r="H74" i="16"/>
  <c r="P31" i="5" s="1"/>
  <c r="G66" i="16"/>
  <c r="O45" i="5" s="1"/>
  <c r="H71" i="16"/>
  <c r="P50" i="5" s="1"/>
  <c r="F75" i="16"/>
  <c r="N32" i="5" s="1"/>
  <c r="H66" i="16"/>
  <c r="P45" i="5" s="1"/>
  <c r="F72" i="16"/>
  <c r="N51" i="5" s="1"/>
  <c r="H77" i="16"/>
  <c r="P34" i="5" s="1"/>
  <c r="F67" i="16"/>
  <c r="N46" i="5" s="1"/>
  <c r="H69" i="16"/>
  <c r="P48" i="5" s="1"/>
  <c r="G72" i="16"/>
  <c r="O51" i="5" s="1"/>
  <c r="F78" i="16"/>
  <c r="N35" i="5" s="1"/>
  <c r="G67" i="16"/>
  <c r="O46" i="5" s="1"/>
  <c r="F70" i="16"/>
  <c r="N49" i="5" s="1"/>
  <c r="H72" i="16"/>
  <c r="P51" i="5" s="1"/>
  <c r="H75" i="16"/>
  <c r="P32" i="5" s="1"/>
  <c r="H67" i="16"/>
  <c r="P46" i="5" s="1"/>
  <c r="F73" i="16"/>
  <c r="N52" i="5" s="1"/>
  <c r="F76" i="16"/>
  <c r="N33" i="5" s="1"/>
  <c r="F68" i="16"/>
  <c r="N47" i="5" s="1"/>
  <c r="G73" i="16"/>
  <c r="O52" i="5" s="1"/>
  <c r="H78" i="16"/>
  <c r="P35" i="5" s="1"/>
  <c r="H70" i="16"/>
  <c r="P49" i="5" s="1"/>
  <c r="H73" i="16"/>
  <c r="P52" i="5" s="1"/>
  <c r="F63" i="16"/>
  <c r="F80" i="16"/>
  <c r="N37" i="5" s="1"/>
  <c r="D94" i="16"/>
  <c r="H57" i="6"/>
  <c r="J57" i="6" s="1"/>
  <c r="D93" i="16"/>
  <c r="L31" i="5"/>
  <c r="J56" i="16"/>
  <c r="D56" i="16" s="1"/>
  <c r="K62" i="16"/>
  <c r="J62" i="16" s="1"/>
  <c r="D62" i="16" s="1"/>
  <c r="D51" i="5" s="1"/>
  <c r="K36" i="16"/>
  <c r="J36" i="16" s="1"/>
  <c r="D36" i="16" s="1"/>
  <c r="L21" i="5" s="1"/>
  <c r="J46" i="16"/>
  <c r="D46" i="16" s="1"/>
  <c r="K85" i="16"/>
  <c r="J85" i="16" s="1"/>
  <c r="D85" i="16" s="1"/>
  <c r="H50" i="6"/>
  <c r="J50" i="6" s="1"/>
  <c r="H43" i="6"/>
  <c r="H36" i="6"/>
  <c r="H18" i="18" s="1"/>
  <c r="H15" i="6"/>
  <c r="H4" i="18" s="1"/>
  <c r="G15" i="6"/>
  <c r="C4" i="18" s="1"/>
  <c r="G29" i="6"/>
  <c r="C18" i="18" s="1"/>
  <c r="J4" i="16"/>
  <c r="D4" i="16" s="1"/>
  <c r="D8" i="5" s="1"/>
  <c r="D24" i="16"/>
  <c r="L9" i="5" s="1"/>
  <c r="L45" i="5"/>
  <c r="E49" i="5"/>
  <c r="E51" i="5"/>
  <c r="J57" i="16"/>
  <c r="D57" i="16" s="1"/>
  <c r="D45" i="5" s="1"/>
  <c r="F49" i="5"/>
  <c r="H49" i="5"/>
  <c r="J81" i="16"/>
  <c r="D81" i="16" s="1"/>
  <c r="E50" i="5"/>
  <c r="J13" i="16"/>
  <c r="D13" i="16" s="1"/>
  <c r="D17" i="5" s="1"/>
  <c r="D82" i="16"/>
  <c r="AG34" i="15" a="1"/>
  <c r="AG34" i="15" s="1"/>
  <c r="AH34" i="15" s="1" a="1"/>
  <c r="AH34" i="15" s="1"/>
  <c r="C34" i="15" s="1"/>
  <c r="G33" i="16" s="1"/>
  <c r="O18" i="5" s="1"/>
  <c r="AG53" i="15" a="1"/>
  <c r="AG53" i="15" s="1"/>
  <c r="AH53" i="15" s="1" a="1"/>
  <c r="AH53" i="15" s="1"/>
  <c r="C53" i="15" s="1"/>
  <c r="G52" i="16" s="1"/>
  <c r="G36" i="5" s="1"/>
  <c r="AG69" i="15" a="1"/>
  <c r="AG69" i="15" s="1"/>
  <c r="AH69" i="15" s="1" a="1"/>
  <c r="AH69" i="15" s="1"/>
  <c r="C69" i="15" s="1"/>
  <c r="AG41" i="15" a="1"/>
  <c r="AG41" i="15" s="1"/>
  <c r="AH41" i="15" s="1" a="1"/>
  <c r="AH41" i="15" s="1"/>
  <c r="C41" i="15" s="1"/>
  <c r="G40" i="16" s="1"/>
  <c r="G61" i="5" s="1"/>
  <c r="C61" i="5" s="1"/>
  <c r="AG27" i="15" a="1"/>
  <c r="AG27" i="15" s="1"/>
  <c r="AH27" i="15" s="1" a="1"/>
  <c r="AH27" i="15" s="1"/>
  <c r="C27" i="15" s="1"/>
  <c r="G26" i="16" s="1"/>
  <c r="O11" i="5" s="1"/>
  <c r="AG35" i="15" a="1"/>
  <c r="AG35" i="15" s="1"/>
  <c r="AH35" i="15" s="1" a="1"/>
  <c r="AH35" i="15" s="1"/>
  <c r="C35" i="15" s="1"/>
  <c r="G34" i="16" s="1"/>
  <c r="O19" i="5" s="1"/>
  <c r="AG86" i="15" a="1"/>
  <c r="AG86" i="15" s="1"/>
  <c r="AH86" i="15" s="1" a="1"/>
  <c r="AH86" i="15" s="1"/>
  <c r="C86" i="15" s="1"/>
  <c r="G85" i="16" s="1"/>
  <c r="AG36" i="15" a="1"/>
  <c r="AG36" i="15" s="1"/>
  <c r="AH36" i="15" s="1" a="1"/>
  <c r="AH36" i="15" s="1"/>
  <c r="C36" i="15" s="1"/>
  <c r="G35" i="16" s="1"/>
  <c r="O20" i="5" s="1"/>
  <c r="AG88" i="15" a="1"/>
  <c r="AG88" i="15" s="1"/>
  <c r="AH88" i="15" s="1" a="1"/>
  <c r="AH88" i="15" s="1"/>
  <c r="C88" i="15" s="1"/>
  <c r="G87" i="16" s="1"/>
  <c r="D49" i="5"/>
  <c r="H50" i="5"/>
  <c r="F50" i="5"/>
  <c r="AG56" i="15" a="1"/>
  <c r="AG56" i="15" s="1"/>
  <c r="AH56" i="15" s="1" a="1"/>
  <c r="AH56" i="15" s="1"/>
  <c r="C56" i="15" s="1"/>
  <c r="G55" i="16" s="1"/>
  <c r="G39" i="5" s="1"/>
  <c r="AG79" i="15" a="1"/>
  <c r="AG79" i="15" s="1"/>
  <c r="AH79" i="15" s="1" a="1"/>
  <c r="AH79" i="15" s="1"/>
  <c r="C79" i="15" s="1"/>
  <c r="AG16" i="15" a="1"/>
  <c r="AG16" i="15" s="1"/>
  <c r="AH16" i="15" s="1" a="1"/>
  <c r="AH16" i="15" s="1"/>
  <c r="C16" i="15" s="1"/>
  <c r="G15" i="16" s="1"/>
  <c r="J22" i="16"/>
  <c r="D22" i="16" s="1"/>
  <c r="L7" i="5" s="1"/>
  <c r="J23" i="16"/>
  <c r="D23" i="16" s="1"/>
  <c r="L8" i="5" s="1"/>
  <c r="AC11" i="15"/>
  <c r="AD11" i="15" s="1"/>
  <c r="AG11" i="15" s="1" a="1"/>
  <c r="AG11" i="15" s="1"/>
  <c r="AH11" i="15" s="1" a="1"/>
  <c r="AH11" i="15" s="1"/>
  <c r="C11" i="15" s="1"/>
  <c r="G10" i="16" s="1"/>
  <c r="G14" i="5" s="1"/>
  <c r="AC50" i="15"/>
  <c r="AD50" i="15" s="1"/>
  <c r="AG50" i="15" s="1" a="1"/>
  <c r="AG50" i="15" s="1"/>
  <c r="AH50" i="15" s="1" a="1"/>
  <c r="AH50" i="15" s="1"/>
  <c r="C50" i="15" s="1"/>
  <c r="G49" i="16" s="1"/>
  <c r="G33" i="5" s="1"/>
  <c r="AC10" i="15"/>
  <c r="AD10" i="15" s="1"/>
  <c r="AG10" i="15" s="1" a="1"/>
  <c r="AG10" i="15" s="1"/>
  <c r="AH10" i="15" s="1" a="1"/>
  <c r="AH10" i="15" s="1"/>
  <c r="C10" i="15" s="1"/>
  <c r="G9" i="16" s="1"/>
  <c r="G13" i="5" s="1"/>
  <c r="AC42" i="15"/>
  <c r="AD42" i="15" s="1"/>
  <c r="AG42" i="15" s="1" a="1"/>
  <c r="AG42" i="15" s="1"/>
  <c r="AH42" i="15" s="1" a="1"/>
  <c r="AH42" i="15" s="1"/>
  <c r="C42" i="15" s="1"/>
  <c r="G41" i="16" s="1"/>
  <c r="G62" i="5" s="1"/>
  <c r="AG57" i="15" a="1"/>
  <c r="AG57" i="15" s="1"/>
  <c r="AH57" i="15" s="1" a="1"/>
  <c r="AH57" i="15" s="1"/>
  <c r="C57" i="15" s="1"/>
  <c r="G56" i="16" s="1"/>
  <c r="AG22" i="15" a="1"/>
  <c r="AG22" i="15" s="1"/>
  <c r="AH22" i="15" s="1" a="1"/>
  <c r="AH22" i="15" s="1"/>
  <c r="C22" i="15" s="1"/>
  <c r="G21" i="16" s="1"/>
  <c r="G25" i="5" s="1"/>
  <c r="AG37" i="15" a="1"/>
  <c r="AG37" i="15" s="1"/>
  <c r="AH37" i="15" s="1" a="1"/>
  <c r="AH37" i="15" s="1"/>
  <c r="C37" i="15" s="1"/>
  <c r="G36" i="16" s="1"/>
  <c r="O21" i="5" s="1"/>
  <c r="J47" i="16"/>
  <c r="D47" i="16" s="1"/>
  <c r="D31" i="5" s="1"/>
  <c r="D90" i="16"/>
  <c r="J28" i="16"/>
  <c r="D28" i="16" s="1"/>
  <c r="L13" i="5" s="1"/>
  <c r="G22" i="6"/>
  <c r="C11" i="18" s="1"/>
  <c r="H22" i="6"/>
  <c r="H11" i="18" s="1"/>
  <c r="C59" i="5"/>
  <c r="C58" i="5"/>
  <c r="AC8" i="15"/>
  <c r="AD8" i="15" s="1"/>
  <c r="AC18" i="15"/>
  <c r="AD18" i="15" s="1"/>
  <c r="AG18" i="15" s="1" a="1"/>
  <c r="AG18" i="15" s="1"/>
  <c r="AH18" i="15" s="1" a="1"/>
  <c r="AH18" i="15" s="1"/>
  <c r="C18" i="15" s="1"/>
  <c r="G17" i="16" s="1"/>
  <c r="AC26" i="15"/>
  <c r="AD26" i="15" s="1"/>
  <c r="AG26" i="15" s="1" a="1"/>
  <c r="AG26" i="15" s="1"/>
  <c r="AH26" i="15" s="1" a="1"/>
  <c r="AH26" i="15" s="1"/>
  <c r="C26" i="15" s="1"/>
  <c r="G25" i="16" s="1"/>
  <c r="O10" i="5" s="1"/>
  <c r="AC52" i="15"/>
  <c r="AD52" i="15" s="1"/>
  <c r="AG52" i="15" s="1" a="1"/>
  <c r="AG52" i="15" s="1"/>
  <c r="AH52" i="15" s="1" a="1"/>
  <c r="AH52" i="15" s="1"/>
  <c r="C52" i="15" s="1"/>
  <c r="G51" i="16" s="1"/>
  <c r="G35" i="5" s="1"/>
  <c r="AC77" i="15"/>
  <c r="AD77" i="15" s="1"/>
  <c r="AG77" i="15" s="1" a="1"/>
  <c r="AG77" i="15" s="1"/>
  <c r="AH77" i="15" s="1" a="1"/>
  <c r="AH77" i="15" s="1"/>
  <c r="C77" i="15" s="1"/>
  <c r="AG40" i="15" a="1"/>
  <c r="AG40" i="15" s="1"/>
  <c r="AH40" i="15" s="1" a="1"/>
  <c r="AH40" i="15" s="1"/>
  <c r="C40" i="15" s="1"/>
  <c r="G39" i="16" s="1"/>
  <c r="G60" i="5" s="1"/>
  <c r="C60" i="5" s="1"/>
  <c r="AC60" i="15"/>
  <c r="AD60" i="15" s="1"/>
  <c r="AG60" i="15" s="1" a="1"/>
  <c r="AG60" i="15" s="1"/>
  <c r="AH60" i="15" s="1" a="1"/>
  <c r="AH60" i="15" s="1"/>
  <c r="C60" i="15" s="1"/>
  <c r="G59" i="16" s="1"/>
  <c r="G47" i="5" s="1"/>
  <c r="AC71" i="15"/>
  <c r="AD71" i="15" s="1"/>
  <c r="AG71" i="15" s="1" a="1"/>
  <c r="AG71" i="15" s="1"/>
  <c r="AH71" i="15" s="1" a="1"/>
  <c r="AH71" i="15" s="1"/>
  <c r="C71" i="15" s="1"/>
  <c r="AC51" i="15"/>
  <c r="AD51" i="15" s="1"/>
  <c r="AG51" i="15" s="1" a="1"/>
  <c r="AG51" i="15" s="1"/>
  <c r="AH51" i="15" s="1" a="1"/>
  <c r="AH51" i="15" s="1"/>
  <c r="C51" i="15" s="1"/>
  <c r="G50" i="16" s="1"/>
  <c r="G34" i="5" s="1"/>
  <c r="AG63" i="15" a="1"/>
  <c r="AG63" i="15" s="1"/>
  <c r="AH63" i="15" s="1" a="1"/>
  <c r="AH63" i="15" s="1"/>
  <c r="C63" i="15" s="1"/>
  <c r="G62" i="16" s="1"/>
  <c r="AC43" i="15"/>
  <c r="AD43" i="15" s="1"/>
  <c r="AG43" i="15" s="1" a="1"/>
  <c r="AG43" i="15" s="1"/>
  <c r="AH43" i="15" s="1" a="1"/>
  <c r="AH43" i="15" s="1"/>
  <c r="C43" i="15" s="1"/>
  <c r="G42" i="16" s="1"/>
  <c r="AC76" i="15"/>
  <c r="AD76" i="15" s="1"/>
  <c r="AG76" i="15" s="1" a="1"/>
  <c r="AG76" i="15" s="1"/>
  <c r="AH76" i="15" s="1" a="1"/>
  <c r="AH76" i="15" s="1"/>
  <c r="C76" i="15" s="1"/>
  <c r="AC9" i="15"/>
  <c r="AD9" i="15" s="1"/>
  <c r="AG9" i="15" s="1" a="1"/>
  <c r="AG9" i="15" s="1"/>
  <c r="AH9" i="15" s="1" a="1"/>
  <c r="AH9" i="15" s="1"/>
  <c r="C9" i="15" s="1"/>
  <c r="G8" i="16" s="1"/>
  <c r="G12" i="5" s="1"/>
  <c r="AG12" i="15" a="1"/>
  <c r="AG12" i="15" s="1"/>
  <c r="AH12" i="15" s="1" a="1"/>
  <c r="AH12" i="15" s="1"/>
  <c r="C12" i="15" s="1"/>
  <c r="G11" i="16" s="1"/>
  <c r="G15" i="5" s="1"/>
  <c r="AG32" i="15" a="1"/>
  <c r="AG32" i="15" s="1"/>
  <c r="AH32" i="15" s="1" a="1"/>
  <c r="AH32" i="15" s="1"/>
  <c r="C32" i="15" s="1"/>
  <c r="G31" i="16" s="1"/>
  <c r="O16" i="5" s="1"/>
  <c r="AG33" i="15" a="1"/>
  <c r="AG33" i="15" s="1"/>
  <c r="AH33" i="15" s="1" a="1"/>
  <c r="AH33" i="15" s="1"/>
  <c r="C33" i="15" s="1"/>
  <c r="G32" i="16" s="1"/>
  <c r="O17" i="5" s="1"/>
  <c r="AC61" i="15"/>
  <c r="AD61" i="15" s="1"/>
  <c r="AG61" i="15" s="1" a="1"/>
  <c r="AG61" i="15" s="1"/>
  <c r="AH61" i="15" s="1" a="1"/>
  <c r="AH61" i="15" s="1"/>
  <c r="C61" i="15" s="1"/>
  <c r="G60" i="16" s="1"/>
  <c r="G48" i="5" s="1"/>
  <c r="AC90" i="15"/>
  <c r="AD90" i="15" s="1"/>
  <c r="AG90" i="15" s="1" a="1"/>
  <c r="AG90" i="15" s="1"/>
  <c r="AH90" i="15" s="1" a="1"/>
  <c r="AH90" i="15" s="1"/>
  <c r="C90" i="15" s="1"/>
  <c r="G89" i="16" s="1"/>
  <c r="AG82" i="15" a="1"/>
  <c r="AG82" i="15" s="1"/>
  <c r="AH82" i="15" s="1" a="1"/>
  <c r="AH82" i="15" s="1"/>
  <c r="C82" i="15" s="1"/>
  <c r="G81" i="16" s="1"/>
  <c r="AG89" i="15" a="1"/>
  <c r="AG89" i="15" s="1"/>
  <c r="AH89" i="15" s="1" a="1"/>
  <c r="AH89" i="15" s="1"/>
  <c r="C89" i="15" s="1"/>
  <c r="G88" i="16" s="1"/>
  <c r="AC72" i="15"/>
  <c r="AD72" i="15" s="1"/>
  <c r="AG72" i="15" s="1" a="1"/>
  <c r="AG72" i="15" s="1"/>
  <c r="AH72" i="15" s="1" a="1"/>
  <c r="AH72" i="15" s="1"/>
  <c r="C72" i="15" s="1"/>
  <c r="AG47" i="15" a="1"/>
  <c r="AG47" i="15" s="1"/>
  <c r="AH47" i="15" s="1" a="1"/>
  <c r="AH47" i="15" s="1"/>
  <c r="C47" i="15" s="1"/>
  <c r="G46" i="16" s="1"/>
  <c r="AG28" i="15" a="1"/>
  <c r="AG28" i="15" s="1"/>
  <c r="AH28" i="15" s="1" a="1"/>
  <c r="AH28" i="15" s="1"/>
  <c r="C28" i="15" s="1"/>
  <c r="G27" i="16" s="1"/>
  <c r="O12" i="5" s="1"/>
  <c r="J27" i="16"/>
  <c r="D27" i="16" s="1"/>
  <c r="L12" i="5" s="1"/>
  <c r="AC70" i="15"/>
  <c r="AD70" i="15" s="1"/>
  <c r="AG70" i="15" s="1" a="1"/>
  <c r="AG70" i="15" s="1"/>
  <c r="AH70" i="15" s="1" a="1"/>
  <c r="AH70" i="15" s="1"/>
  <c r="C70" i="15" s="1"/>
  <c r="AC78" i="15"/>
  <c r="AD78" i="15" s="1"/>
  <c r="AG78" i="15" s="1" a="1"/>
  <c r="AG78" i="15" s="1"/>
  <c r="AH78" i="15" s="1" a="1"/>
  <c r="AH78" i="15" s="1"/>
  <c r="C78" i="15" s="1"/>
  <c r="J7" i="16"/>
  <c r="D7" i="16" s="1"/>
  <c r="D11" i="5" s="1"/>
  <c r="J5" i="16"/>
  <c r="D5" i="16" s="1"/>
  <c r="D9" i="5" s="1"/>
  <c r="AG84" i="15" a="1"/>
  <c r="AG84" i="15" s="1"/>
  <c r="AH84" i="15" s="1" a="1"/>
  <c r="AH84" i="15" s="1"/>
  <c r="C84" i="15" s="1"/>
  <c r="G83" i="16" s="1"/>
  <c r="J11" i="16"/>
  <c r="D11" i="16" s="1"/>
  <c r="D15" i="5" s="1"/>
  <c r="M42" i="18" l="1"/>
  <c r="M40" i="18"/>
  <c r="M45" i="18"/>
  <c r="M39" i="18"/>
  <c r="M36" i="18"/>
  <c r="M34" i="18"/>
  <c r="C62" i="5"/>
  <c r="G10" i="5"/>
  <c r="T9" i="23"/>
  <c r="T10" i="23"/>
  <c r="J10" i="23" s="1"/>
  <c r="L21" i="18"/>
  <c r="L16" i="18"/>
  <c r="L20" i="18"/>
  <c r="L19" i="18"/>
  <c r="M9" i="18"/>
  <c r="M8" i="18"/>
  <c r="M5" i="18"/>
  <c r="N9" i="18"/>
  <c r="N6" i="18"/>
  <c r="N4" i="18"/>
  <c r="C26" i="18"/>
  <c r="C25" i="18"/>
  <c r="M20" i="18"/>
  <c r="M21" i="18"/>
  <c r="M16" i="18"/>
  <c r="C27" i="18"/>
  <c r="L5" i="18"/>
  <c r="L6" i="18"/>
  <c r="L9" i="18"/>
  <c r="L8" i="18"/>
  <c r="C14" i="18"/>
  <c r="F3" i="20"/>
  <c r="H7" i="18"/>
  <c r="H14" i="18"/>
  <c r="M43" i="18" s="1"/>
  <c r="G3" i="20"/>
  <c r="K5" i="20" s="1"/>
  <c r="I6" i="20" s="1"/>
  <c r="K11" i="20" s="1"/>
  <c r="C7" i="18"/>
  <c r="H15" i="18"/>
  <c r="J42" i="6"/>
  <c r="H24" i="18"/>
  <c r="H33" i="18"/>
  <c r="J51" i="6"/>
  <c r="J40" i="6"/>
  <c r="H22" i="18"/>
  <c r="N7" i="18" s="1"/>
  <c r="H34" i="18"/>
  <c r="J52" i="6"/>
  <c r="C12" i="18"/>
  <c r="H5" i="18"/>
  <c r="L17" i="18" s="1"/>
  <c r="H38" i="18"/>
  <c r="J56" i="6"/>
  <c r="C8" i="18"/>
  <c r="H8" i="18"/>
  <c r="L7" i="18" s="1"/>
  <c r="K14" i="20"/>
  <c r="I15" i="20" s="1"/>
  <c r="K20" i="20" s="1"/>
  <c r="H12" i="18"/>
  <c r="M4" i="18" s="1"/>
  <c r="H36" i="18"/>
  <c r="J54" i="6"/>
  <c r="C5" i="18"/>
  <c r="J58" i="6"/>
  <c r="H40" i="18"/>
  <c r="H19" i="18"/>
  <c r="J37" i="6"/>
  <c r="H43" i="18"/>
  <c r="J61" i="6"/>
  <c r="J41" i="6"/>
  <c r="H23" i="18"/>
  <c r="N8" i="18" s="1"/>
  <c r="H42" i="18"/>
  <c r="J60" i="6"/>
  <c r="J63" i="6"/>
  <c r="H45" i="18"/>
  <c r="H21" i="18"/>
  <c r="J39" i="6"/>
  <c r="J53" i="6"/>
  <c r="H35" i="18"/>
  <c r="J59" i="6"/>
  <c r="H41" i="18"/>
  <c r="C15" i="18"/>
  <c r="H20" i="18"/>
  <c r="N5" i="18" s="1"/>
  <c r="J38" i="6"/>
  <c r="H37" i="18"/>
  <c r="J55" i="6"/>
  <c r="J62" i="6"/>
  <c r="H44" i="18"/>
  <c r="H30" i="18"/>
  <c r="J48" i="6"/>
  <c r="J44" i="6"/>
  <c r="H26" i="18"/>
  <c r="J45" i="6"/>
  <c r="H27" i="18"/>
  <c r="J47" i="6"/>
  <c r="H29" i="18"/>
  <c r="J49" i="6"/>
  <c r="H31" i="18"/>
  <c r="J46" i="6"/>
  <c r="H28" i="18"/>
  <c r="G63" i="5"/>
  <c r="C63" i="5" s="1"/>
  <c r="I26" i="6"/>
  <c r="J26" i="6"/>
  <c r="I25" i="6"/>
  <c r="J25" i="6"/>
  <c r="I24" i="6"/>
  <c r="J24" i="6"/>
  <c r="I23" i="6"/>
  <c r="J23" i="6"/>
  <c r="I28" i="6"/>
  <c r="J28" i="6"/>
  <c r="I27" i="6"/>
  <c r="J27" i="6"/>
  <c r="F21" i="5"/>
  <c r="H21" i="5"/>
  <c r="H20" i="5"/>
  <c r="F23" i="5"/>
  <c r="G16" i="16"/>
  <c r="G20" i="5" s="1"/>
  <c r="H23" i="5"/>
  <c r="G14" i="16"/>
  <c r="G18" i="5" s="1"/>
  <c r="F22" i="5"/>
  <c r="F19" i="5"/>
  <c r="G18" i="16"/>
  <c r="G23" i="5" s="1"/>
  <c r="G19" i="5"/>
  <c r="G21" i="5"/>
  <c r="I19" i="6"/>
  <c r="J19" i="6"/>
  <c r="J16" i="6"/>
  <c r="I16" i="6"/>
  <c r="J20" i="6"/>
  <c r="I20" i="6"/>
  <c r="I21" i="6"/>
  <c r="J21" i="6"/>
  <c r="J17" i="6"/>
  <c r="I17" i="6"/>
  <c r="J18" i="6"/>
  <c r="I18" i="6"/>
  <c r="D50" i="5"/>
  <c r="H39" i="18"/>
  <c r="F51" i="5"/>
  <c r="G63" i="16"/>
  <c r="H51" i="5"/>
  <c r="N36" i="5"/>
  <c r="O36" i="5"/>
  <c r="P36" i="5"/>
  <c r="G70" i="16"/>
  <c r="O49" i="5" s="1"/>
  <c r="G69" i="16"/>
  <c r="O48" i="5" s="1"/>
  <c r="G78" i="16"/>
  <c r="O35" i="5" s="1"/>
  <c r="G68" i="16"/>
  <c r="O47" i="5" s="1"/>
  <c r="G76" i="16"/>
  <c r="O33" i="5" s="1"/>
  <c r="G71" i="16"/>
  <c r="O50" i="5" s="1"/>
  <c r="G75" i="16"/>
  <c r="O32" i="5" s="1"/>
  <c r="G77" i="16"/>
  <c r="O34" i="5" s="1"/>
  <c r="H32" i="18"/>
  <c r="J43" i="6"/>
  <c r="H25" i="18"/>
  <c r="J36" i="6"/>
  <c r="J22" i="6"/>
  <c r="J15" i="6"/>
  <c r="I22" i="6"/>
  <c r="AG8" i="15" a="1"/>
  <c r="AG8" i="15" s="1"/>
  <c r="AH8" i="15" s="1" a="1"/>
  <c r="AH8" i="15" s="1"/>
  <c r="C8" i="15" s="1"/>
  <c r="G7" i="16" s="1"/>
  <c r="G11" i="5" s="1"/>
  <c r="I15" i="6"/>
  <c r="G49" i="5"/>
  <c r="G50" i="5"/>
  <c r="M37" i="18" l="1"/>
  <c r="R37" i="18" s="1"/>
  <c r="R36" i="18"/>
  <c r="T36" i="18"/>
  <c r="S36" i="18"/>
  <c r="M35" i="18"/>
  <c r="M31" i="18"/>
  <c r="M30" i="18"/>
  <c r="M28" i="18"/>
  <c r="M33" i="18"/>
  <c r="M32" i="18"/>
  <c r="M29" i="18"/>
  <c r="M41" i="18"/>
  <c r="R39" i="18"/>
  <c r="T39" i="18"/>
  <c r="S39" i="18"/>
  <c r="R45" i="18"/>
  <c r="T45" i="18"/>
  <c r="S45" i="18"/>
  <c r="M44" i="18"/>
  <c r="R40" i="18"/>
  <c r="T40" i="18"/>
  <c r="S40" i="18"/>
  <c r="R34" i="18"/>
  <c r="T34" i="18"/>
  <c r="S34" i="18"/>
  <c r="T43" i="18"/>
  <c r="S43" i="18"/>
  <c r="R43" i="18"/>
  <c r="M38" i="18"/>
  <c r="R42" i="18"/>
  <c r="T42" i="18"/>
  <c r="S42" i="18"/>
  <c r="T5" i="18"/>
  <c r="P7" i="18"/>
  <c r="P9" i="18"/>
  <c r="P4" i="18"/>
  <c r="P8" i="18"/>
  <c r="P5" i="18"/>
  <c r="P6" i="18"/>
  <c r="O19" i="18"/>
  <c r="O21" i="18"/>
  <c r="T21" i="18" s="1"/>
  <c r="O18" i="18"/>
  <c r="O17" i="18"/>
  <c r="O16" i="18"/>
  <c r="O20" i="18"/>
  <c r="M7" i="18"/>
  <c r="T7" i="18" s="1"/>
  <c r="Q21" i="18"/>
  <c r="Q18" i="18"/>
  <c r="Q20" i="18"/>
  <c r="Q16" i="18"/>
  <c r="Q19" i="18"/>
  <c r="Q17" i="18"/>
  <c r="P19" i="18"/>
  <c r="P20" i="18"/>
  <c r="P21" i="18"/>
  <c r="P18" i="18"/>
  <c r="P17" i="18"/>
  <c r="R17" i="18" s="1"/>
  <c r="P16" i="18"/>
  <c r="M25" i="18"/>
  <c r="M24" i="18"/>
  <c r="M22" i="18"/>
  <c r="M23" i="18"/>
  <c r="M26" i="18"/>
  <c r="M27" i="18"/>
  <c r="M13" i="18"/>
  <c r="M14" i="18"/>
  <c r="M15" i="18"/>
  <c r="M12" i="18"/>
  <c r="M11" i="18"/>
  <c r="M10" i="18"/>
  <c r="L26" i="18"/>
  <c r="L27" i="18"/>
  <c r="L23" i="18"/>
  <c r="L22" i="18"/>
  <c r="L24" i="18"/>
  <c r="L25" i="18"/>
  <c r="R20" i="18"/>
  <c r="T20" i="18"/>
  <c r="S20" i="18"/>
  <c r="M18" i="18"/>
  <c r="L18" i="18"/>
  <c r="P12" i="18"/>
  <c r="P13" i="18"/>
  <c r="P15" i="18"/>
  <c r="P11" i="18"/>
  <c r="P10" i="18"/>
  <c r="P14" i="18"/>
  <c r="N26" i="18"/>
  <c r="N27" i="18"/>
  <c r="N25" i="18"/>
  <c r="N23" i="18"/>
  <c r="N22" i="18"/>
  <c r="N24" i="18"/>
  <c r="N10" i="18"/>
  <c r="N15" i="18"/>
  <c r="N11" i="18"/>
  <c r="N13" i="18"/>
  <c r="N14" i="18"/>
  <c r="N12" i="18"/>
  <c r="M6" i="18"/>
  <c r="R6" i="18" s="1"/>
  <c r="L15" i="18"/>
  <c r="L10" i="18"/>
  <c r="L11" i="18"/>
  <c r="L12" i="18"/>
  <c r="L13" i="18"/>
  <c r="L14" i="18"/>
  <c r="N17" i="18"/>
  <c r="N16" i="18"/>
  <c r="T16" i="18" s="1"/>
  <c r="N20" i="18"/>
  <c r="N19" i="18"/>
  <c r="N21" i="18"/>
  <c r="N18" i="18"/>
  <c r="O13" i="18"/>
  <c r="O15" i="18"/>
  <c r="O11" i="18"/>
  <c r="O10" i="18"/>
  <c r="O14" i="18"/>
  <c r="O12" i="18"/>
  <c r="O24" i="18"/>
  <c r="O22" i="18"/>
  <c r="O27" i="18"/>
  <c r="O26" i="18"/>
  <c r="O25" i="18"/>
  <c r="O23" i="18"/>
  <c r="M17" i="18"/>
  <c r="Q5" i="18"/>
  <c r="Q6" i="18"/>
  <c r="Q7" i="18"/>
  <c r="Q8" i="18"/>
  <c r="Q9" i="18"/>
  <c r="R9" i="18" s="1"/>
  <c r="Q4" i="18"/>
  <c r="P26" i="18"/>
  <c r="P23" i="18"/>
  <c r="P24" i="18"/>
  <c r="P22" i="18"/>
  <c r="P27" i="18"/>
  <c r="P25" i="18"/>
  <c r="L4" i="18"/>
  <c r="R16" i="18"/>
  <c r="S16" i="18"/>
  <c r="O5" i="18"/>
  <c r="S5" i="18" s="1"/>
  <c r="O7" i="18"/>
  <c r="O9" i="18"/>
  <c r="O6" i="18"/>
  <c r="O8" i="18"/>
  <c r="T8" i="18" s="1"/>
  <c r="O4" i="18"/>
  <c r="Q15" i="18"/>
  <c r="Q10" i="18"/>
  <c r="Q11" i="18"/>
  <c r="Q13" i="18"/>
  <c r="Q14" i="18"/>
  <c r="Q12" i="18"/>
  <c r="M19" i="18"/>
  <c r="T19" i="18" s="1"/>
  <c r="H48" i="18"/>
  <c r="G22" i="5"/>
  <c r="H51" i="18"/>
  <c r="G51" i="5"/>
  <c r="H47" i="18"/>
  <c r="H50" i="18"/>
  <c r="H46" i="18"/>
  <c r="K12" i="20"/>
  <c r="I13" i="20" s="1"/>
  <c r="K13" i="20"/>
  <c r="I14" i="20" s="1"/>
  <c r="K4" i="20"/>
  <c r="I5" i="20" s="1"/>
  <c r="K3" i="20"/>
  <c r="I4" i="20" s="1"/>
  <c r="H49" i="18"/>
  <c r="E4" i="13"/>
  <c r="E5" i="13"/>
  <c r="E6" i="13"/>
  <c r="E7" i="13"/>
  <c r="E8" i="13"/>
  <c r="E9" i="13"/>
  <c r="E10" i="13"/>
  <c r="E11" i="13"/>
  <c r="E12" i="13"/>
  <c r="E13" i="13"/>
  <c r="E14" i="13"/>
  <c r="E15" i="13"/>
  <c r="E16" i="13"/>
  <c r="E17" i="13"/>
  <c r="C4" i="13"/>
  <c r="C5" i="13"/>
  <c r="C6" i="13"/>
  <c r="C7" i="13"/>
  <c r="C8" i="13"/>
  <c r="C9" i="13"/>
  <c r="C10" i="13"/>
  <c r="C11" i="13"/>
  <c r="C12" i="13"/>
  <c r="C13" i="13"/>
  <c r="C14" i="13"/>
  <c r="C15" i="13"/>
  <c r="C16" i="13"/>
  <c r="C17" i="13"/>
  <c r="C3" i="13"/>
  <c r="T6" i="18" l="1"/>
  <c r="S37" i="18"/>
  <c r="T37" i="18"/>
  <c r="R30" i="18"/>
  <c r="T30" i="18"/>
  <c r="S30" i="18"/>
  <c r="R35" i="18"/>
  <c r="T35" i="18"/>
  <c r="S35" i="18"/>
  <c r="T27" i="18"/>
  <c r="S27" i="18"/>
  <c r="R27" i="18"/>
  <c r="T26" i="18"/>
  <c r="S26" i="18"/>
  <c r="R26" i="18"/>
  <c r="R24" i="18"/>
  <c r="T24" i="18"/>
  <c r="S24" i="18"/>
  <c r="R32" i="18"/>
  <c r="T32" i="18"/>
  <c r="S32" i="18"/>
  <c r="R28" i="18"/>
  <c r="T28" i="18"/>
  <c r="S28" i="18"/>
  <c r="T31" i="18"/>
  <c r="S31" i="18"/>
  <c r="R31" i="18"/>
  <c r="R23" i="18"/>
  <c r="T23" i="18"/>
  <c r="S23" i="18"/>
  <c r="R41" i="18"/>
  <c r="T41" i="18"/>
  <c r="S41" i="18"/>
  <c r="R22" i="18"/>
  <c r="T22" i="18"/>
  <c r="S22" i="18"/>
  <c r="S29" i="18"/>
  <c r="R29" i="18"/>
  <c r="T29" i="18"/>
  <c r="S25" i="18"/>
  <c r="R25" i="18"/>
  <c r="T25" i="18"/>
  <c r="T38" i="18"/>
  <c r="R38" i="18"/>
  <c r="S38" i="18"/>
  <c r="T44" i="18"/>
  <c r="S44" i="18"/>
  <c r="R44" i="18"/>
  <c r="R33" i="18"/>
  <c r="S33" i="18"/>
  <c r="T33" i="18"/>
  <c r="S9" i="18"/>
  <c r="S6" i="18"/>
  <c r="R12" i="18"/>
  <c r="T12" i="18"/>
  <c r="S12" i="18"/>
  <c r="T9" i="18"/>
  <c r="S17" i="18"/>
  <c r="R21" i="18"/>
  <c r="R19" i="18"/>
  <c r="T15" i="18"/>
  <c r="S15" i="18"/>
  <c r="R15" i="18"/>
  <c r="T17" i="18"/>
  <c r="T13" i="18"/>
  <c r="R13" i="18"/>
  <c r="S13" i="18"/>
  <c r="S19" i="18"/>
  <c r="R8" i="18"/>
  <c r="S7" i="18"/>
  <c r="T14" i="18"/>
  <c r="S14" i="18"/>
  <c r="R14" i="18"/>
  <c r="S21" i="18"/>
  <c r="T10" i="18"/>
  <c r="R10" i="18"/>
  <c r="S10" i="18"/>
  <c r="S8" i="18"/>
  <c r="R18" i="18"/>
  <c r="T18" i="18"/>
  <c r="S18" i="18"/>
  <c r="R5" i="18"/>
  <c r="R7" i="18"/>
  <c r="R11" i="18"/>
  <c r="T11" i="18"/>
  <c r="S11" i="18"/>
  <c r="S4" i="18"/>
  <c r="K8" i="20"/>
  <c r="K7" i="20"/>
  <c r="K6" i="20"/>
  <c r="I7" i="20" s="1"/>
  <c r="K10" i="20"/>
  <c r="K9" i="20"/>
  <c r="K19" i="20"/>
  <c r="K18" i="20"/>
  <c r="K15" i="20"/>
  <c r="I16" i="20" s="1"/>
  <c r="K17" i="20"/>
  <c r="K16" i="20"/>
  <c r="R4" i="18"/>
  <c r="T4" i="18"/>
  <c r="I9" i="20" l="1"/>
  <c r="I8" i="20"/>
  <c r="I17" i="20"/>
  <c r="I18" i="20"/>
  <c r="J43" i="5"/>
  <c r="K43" i="5"/>
  <c r="L43" i="5"/>
  <c r="M43" i="5"/>
  <c r="N43" i="5"/>
  <c r="I43" i="5"/>
  <c r="B43" i="5"/>
  <c r="C43" i="5"/>
  <c r="D43" i="5"/>
  <c r="E43" i="5"/>
  <c r="F43" i="5"/>
  <c r="A43" i="5"/>
  <c r="F4" i="13"/>
  <c r="F5" i="13"/>
  <c r="F6" i="13"/>
  <c r="F7" i="13"/>
  <c r="F8" i="13"/>
  <c r="F9" i="13"/>
  <c r="F10" i="13"/>
  <c r="F11" i="13"/>
  <c r="F12" i="13"/>
  <c r="F13" i="13"/>
  <c r="F14" i="13"/>
  <c r="F15" i="13"/>
  <c r="F16" i="13"/>
  <c r="F17" i="13"/>
  <c r="F3" i="13"/>
  <c r="D4" i="13"/>
  <c r="D5" i="13"/>
  <c r="D6" i="13"/>
  <c r="D7" i="13"/>
  <c r="D8" i="13"/>
  <c r="D9" i="13"/>
  <c r="D10" i="13"/>
  <c r="D11" i="13"/>
  <c r="D12" i="13"/>
  <c r="D13" i="13"/>
  <c r="D14" i="13"/>
  <c r="D15" i="13"/>
  <c r="D16" i="13"/>
  <c r="D17" i="13"/>
  <c r="D3" i="13"/>
  <c r="G15" i="13"/>
  <c r="H15" i="13"/>
  <c r="I15" i="13"/>
  <c r="G16" i="13"/>
  <c r="H16" i="13"/>
  <c r="I16" i="13"/>
  <c r="G17" i="13"/>
  <c r="H17" i="13"/>
  <c r="I17" i="13"/>
  <c r="I14" i="13"/>
  <c r="I13" i="13"/>
  <c r="H14" i="13"/>
  <c r="H13" i="13"/>
  <c r="G14" i="13"/>
  <c r="G13" i="13"/>
  <c r="I12" i="13"/>
  <c r="H12" i="13"/>
  <c r="G12" i="13"/>
  <c r="C23" i="13"/>
  <c r="D23" i="13"/>
  <c r="E23" i="13"/>
  <c r="F23" i="13"/>
  <c r="G23" i="13"/>
  <c r="C24" i="13"/>
  <c r="D24" i="13"/>
  <c r="E24" i="13"/>
  <c r="F24" i="13"/>
  <c r="G24" i="13"/>
  <c r="B24" i="13"/>
  <c r="C21" i="13"/>
  <c r="D21" i="13"/>
  <c r="E21" i="13"/>
  <c r="F21" i="13"/>
  <c r="G21" i="13"/>
  <c r="C22" i="13"/>
  <c r="D22" i="13"/>
  <c r="E22" i="13"/>
  <c r="F22" i="13"/>
  <c r="G22" i="13"/>
  <c r="B21" i="13"/>
  <c r="B22" i="13"/>
  <c r="C20" i="13"/>
  <c r="D20" i="13"/>
  <c r="E20" i="13"/>
  <c r="F20" i="13"/>
  <c r="G20" i="13"/>
  <c r="B20" i="13"/>
  <c r="B17" i="13"/>
  <c r="B16" i="13"/>
  <c r="B15" i="13"/>
  <c r="B14" i="13"/>
  <c r="B13" i="13"/>
  <c r="B12" i="13"/>
  <c r="E33" i="13" l="1"/>
  <c r="E32" i="13"/>
  <c r="G32" i="13" s="1"/>
  <c r="G33" i="13"/>
  <c r="I33" i="13"/>
  <c r="K52" i="5"/>
  <c r="C51" i="5"/>
  <c r="C45" i="5"/>
  <c r="M15" i="13"/>
  <c r="M13" i="13"/>
  <c r="J13" i="13"/>
  <c r="M17" i="13"/>
  <c r="J17" i="13"/>
  <c r="M16" i="13"/>
  <c r="J12" i="13"/>
  <c r="M12" i="13"/>
  <c r="J16" i="13"/>
  <c r="J15" i="13"/>
  <c r="M14" i="13"/>
  <c r="J14" i="13"/>
  <c r="H25" i="1"/>
  <c r="G25" i="1"/>
  <c r="F25" i="1"/>
  <c r="E25" i="1"/>
  <c r="D25" i="1"/>
  <c r="C25" i="1"/>
  <c r="J27" i="5"/>
  <c r="K27" i="5"/>
  <c r="L27" i="5"/>
  <c r="M27" i="5"/>
  <c r="N27" i="5"/>
  <c r="I27" i="5"/>
  <c r="J29" i="5"/>
  <c r="K29" i="5"/>
  <c r="L29" i="5"/>
  <c r="M29" i="5"/>
  <c r="N29" i="5"/>
  <c r="B27" i="5"/>
  <c r="C27" i="5"/>
  <c r="D27" i="5"/>
  <c r="E27" i="5"/>
  <c r="F27" i="5"/>
  <c r="A27" i="5"/>
  <c r="J3" i="5"/>
  <c r="K3" i="5"/>
  <c r="L3" i="5"/>
  <c r="M3" i="5"/>
  <c r="N3" i="5"/>
  <c r="I3" i="5"/>
  <c r="B11" i="13"/>
  <c r="M11" i="13" s="1"/>
  <c r="B10" i="13"/>
  <c r="J10" i="13" s="1"/>
  <c r="B9" i="13"/>
  <c r="J9" i="13" s="1"/>
  <c r="I11" i="13"/>
  <c r="H11" i="13"/>
  <c r="G11" i="13"/>
  <c r="I10" i="13"/>
  <c r="H10" i="13"/>
  <c r="G10" i="13"/>
  <c r="I9" i="13"/>
  <c r="H9" i="13"/>
  <c r="G9" i="13"/>
  <c r="I32" i="13" l="1"/>
  <c r="K37" i="5"/>
  <c r="B29" i="1"/>
  <c r="N21" i="13"/>
  <c r="M20" i="13"/>
  <c r="N20" i="13"/>
  <c r="M21" i="13"/>
  <c r="J11" i="13"/>
  <c r="M10" i="13"/>
  <c r="M9" i="13"/>
  <c r="L21" i="13" s="1"/>
  <c r="K51" i="5"/>
  <c r="B29" i="5"/>
  <c r="C29" i="5"/>
  <c r="D29" i="5"/>
  <c r="E29" i="5"/>
  <c r="F29" i="5"/>
  <c r="A29" i="5"/>
  <c r="G3" i="13"/>
  <c r="H3" i="13"/>
  <c r="I3" i="13"/>
  <c r="G4" i="13"/>
  <c r="H4" i="13"/>
  <c r="I4" i="13"/>
  <c r="G5" i="13"/>
  <c r="H5" i="13"/>
  <c r="I5" i="13"/>
  <c r="G6" i="13"/>
  <c r="H6" i="13"/>
  <c r="I6" i="13"/>
  <c r="G7" i="13"/>
  <c r="H7" i="13"/>
  <c r="I7" i="13"/>
  <c r="G8" i="13"/>
  <c r="H8" i="13"/>
  <c r="I8" i="13"/>
  <c r="C37" i="5" l="1"/>
  <c r="L20" i="13"/>
  <c r="C48" i="5"/>
  <c r="K50" i="5"/>
  <c r="K48" i="5"/>
  <c r="K49" i="5"/>
  <c r="B8" i="13"/>
  <c r="B7" i="13"/>
  <c r="B6" i="13"/>
  <c r="B5" i="13"/>
  <c r="B4" i="13"/>
  <c r="B3" i="13"/>
  <c r="M8" i="13" l="1"/>
  <c r="J8" i="13"/>
  <c r="M3" i="13"/>
  <c r="J3" i="13"/>
  <c r="M4" i="13"/>
  <c r="J4" i="13"/>
  <c r="J5" i="13"/>
  <c r="M5" i="13"/>
  <c r="M6" i="13"/>
  <c r="J6" i="13"/>
  <c r="J7" i="13"/>
  <c r="M7" i="13"/>
  <c r="C47" i="5"/>
  <c r="C50" i="5"/>
  <c r="C46" i="5"/>
  <c r="K32" i="5"/>
  <c r="K31" i="5"/>
  <c r="K46" i="5"/>
  <c r="C36" i="5"/>
  <c r="K45" i="5"/>
  <c r="K47" i="5"/>
  <c r="K34" i="5"/>
  <c r="C49" i="5"/>
  <c r="K35" i="5"/>
  <c r="C35" i="5"/>
  <c r="K33" i="5"/>
  <c r="C34" i="5"/>
  <c r="C31" i="5"/>
  <c r="K36" i="5"/>
  <c r="J5" i="5"/>
  <c r="K5" i="5"/>
  <c r="L5" i="5"/>
  <c r="M5" i="5"/>
  <c r="N5" i="5"/>
  <c r="I5" i="5"/>
  <c r="B3" i="5"/>
  <c r="C3" i="5"/>
  <c r="D3" i="5"/>
  <c r="E3" i="5"/>
  <c r="F3" i="5"/>
  <c r="A3" i="5"/>
  <c r="F5" i="5"/>
  <c r="E5" i="5"/>
  <c r="D5" i="5"/>
  <c r="C5" i="5"/>
  <c r="B5" i="5"/>
  <c r="A5" i="5"/>
  <c r="J20" i="13" l="1"/>
  <c r="K20" i="13"/>
  <c r="K21" i="13"/>
  <c r="J21" i="13"/>
  <c r="K14" i="5"/>
  <c r="K13" i="5"/>
  <c r="K19" i="5"/>
  <c r="K15" i="5"/>
  <c r="K18" i="5"/>
  <c r="K20" i="5"/>
  <c r="K21" i="5"/>
  <c r="K17" i="5"/>
  <c r="K16" i="5"/>
  <c r="C9" i="5"/>
  <c r="C8" i="5"/>
  <c r="C24" i="5"/>
  <c r="C25" i="5"/>
  <c r="B35" i="1" l="1" a="1"/>
  <c r="B35" i="1" s="1"/>
  <c r="B36" i="1" a="1"/>
  <c r="B36" i="1" s="1"/>
  <c r="B33" i="1" a="1"/>
  <c r="B33" i="1" s="1"/>
  <c r="B34" i="1" a="1"/>
  <c r="B34" i="1" s="1"/>
  <c r="B32" i="1" a="1"/>
  <c r="B32" i="1" s="1"/>
  <c r="C10" i="5"/>
  <c r="C12" i="5"/>
  <c r="C14" i="5"/>
  <c r="C38" i="5"/>
  <c r="C33" i="5"/>
  <c r="C32" i="5"/>
  <c r="C23" i="5"/>
  <c r="C22" i="5"/>
  <c r="C13" i="5"/>
  <c r="C17" i="5"/>
  <c r="C39" i="5"/>
  <c r="K7" i="5"/>
  <c r="C21" i="5"/>
  <c r="K10" i="5"/>
  <c r="K8" i="5"/>
  <c r="K12" i="5"/>
  <c r="K11" i="5"/>
  <c r="K9" i="5"/>
  <c r="C18" i="5"/>
  <c r="C7" i="5"/>
  <c r="C15" i="5" l="1"/>
  <c r="C11" i="5"/>
  <c r="C16" i="5"/>
  <c r="C20" i="5"/>
  <c r="C19"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<sst xmlns="http://schemas.openxmlformats.org/spreadsheetml/2006/main" count="3549" uniqueCount="1058">
  <si>
    <t>Model interface</t>
  </si>
  <si>
    <t>Polymer (i)</t>
  </si>
  <si>
    <t>PP</t>
  </si>
  <si>
    <t>Shape</t>
  </si>
  <si>
    <t>Compartment (j)</t>
  </si>
  <si>
    <t>Initial mass [kg]</t>
  </si>
  <si>
    <t>delta_i</t>
  </si>
  <si>
    <t>a_i</t>
  </si>
  <si>
    <t>alpha_i</t>
  </si>
  <si>
    <t>b_i</t>
  </si>
  <si>
    <t>beta_i</t>
  </si>
  <si>
    <t>c_i</t>
  </si>
  <si>
    <t>tau_i</t>
  </si>
  <si>
    <t>x_i</t>
  </si>
  <si>
    <t>theta_i</t>
  </si>
  <si>
    <t>y_i</t>
  </si>
  <si>
    <t>z_i</t>
  </si>
  <si>
    <t>eta_i</t>
  </si>
  <si>
    <t>I_j [W/m2]</t>
  </si>
  <si>
    <t>P_j [mW]</t>
  </si>
  <si>
    <t>C_j [CFU/ml]</t>
  </si>
  <si>
    <t>Modeling results</t>
  </si>
  <si>
    <t>Polymer-specific empirical constants – Fragmentation</t>
  </si>
  <si>
    <t>Index (i)</t>
  </si>
  <si>
    <t>Polymer</t>
  </si>
  <si>
    <t>Index (j)</t>
  </si>
  <si>
    <t>Compartment</t>
  </si>
  <si>
    <t>Source of UV</t>
  </si>
  <si>
    <t>Source of power</t>
  </si>
  <si>
    <t>Info on microbes</t>
  </si>
  <si>
    <t>HDPE</t>
  </si>
  <si>
    <t>Air</t>
  </si>
  <si>
    <t>Artificial UV</t>
  </si>
  <si>
    <t>Frictional force</t>
  </si>
  <si>
    <t>CFU/ml</t>
  </si>
  <si>
    <t>LDPE</t>
  </si>
  <si>
    <t>Sunlight (Intensity given)</t>
  </si>
  <si>
    <t>Drag force</t>
  </si>
  <si>
    <t>Cells/ml</t>
  </si>
  <si>
    <t>Beach</t>
  </si>
  <si>
    <t>Sunlight (UV Index given)</t>
  </si>
  <si>
    <t>Shear force</t>
  </si>
  <si>
    <t>OD600</t>
  </si>
  <si>
    <t>PS</t>
  </si>
  <si>
    <t>UV + Sunlight (Intensity)</t>
  </si>
  <si>
    <t>N.A.</t>
  </si>
  <si>
    <t>EPS</t>
  </si>
  <si>
    <t>PET</t>
  </si>
  <si>
    <t>Sediment</t>
  </si>
  <si>
    <t>PVC</t>
  </si>
  <si>
    <t>PLA</t>
  </si>
  <si>
    <t>PA</t>
  </si>
  <si>
    <t>Polymer-specific empirical constants – Degradation</t>
  </si>
  <si>
    <t>D.P.I.</t>
  </si>
  <si>
    <t>Exposure [d]</t>
  </si>
  <si>
    <t>Reference</t>
  </si>
  <si>
    <t>Plastic item (per exp. group)</t>
  </si>
  <si>
    <t>Exposure_CA</t>
  </si>
  <si>
    <t>Additional comment</t>
  </si>
  <si>
    <t>F-PP-01</t>
  </si>
  <si>
    <t>Song (2017)</t>
  </si>
  <si>
    <t>Pellet</t>
  </si>
  <si>
    <t>F-PP-02</t>
  </si>
  <si>
    <t>F-PP-03</t>
  </si>
  <si>
    <t>Song (2022)</t>
  </si>
  <si>
    <t>Block</t>
  </si>
  <si>
    <t>F-PP-04</t>
  </si>
  <si>
    <t>Song (2023)</t>
  </si>
  <si>
    <t>Sheet</t>
  </si>
  <si>
    <t>F-PP-06</t>
  </si>
  <si>
    <t>Reineccius (2023)</t>
  </si>
  <si>
    <t>18 months</t>
  </si>
  <si>
    <t>F-PP-07</t>
  </si>
  <si>
    <t>Chubarenko (2020)</t>
  </si>
  <si>
    <t>D-PP-01</t>
  </si>
  <si>
    <t>D-PP-02</t>
  </si>
  <si>
    <t>D-PP-03</t>
  </si>
  <si>
    <t>Bhat (2024)</t>
  </si>
  <si>
    <t>D-PP-04</t>
  </si>
  <si>
    <t>Aravinthan (2016)</t>
  </si>
  <si>
    <t>1 film (1.5 cm × 1.5 cm × 0.05 mm)</t>
  </si>
  <si>
    <t>Film</t>
  </si>
  <si>
    <t>D-PP-05</t>
  </si>
  <si>
    <t>D-PP-06</t>
  </si>
  <si>
    <t>D-PP-07</t>
  </si>
  <si>
    <t>Zhu (2020)</t>
  </si>
  <si>
    <t>Cuboid</t>
  </si>
  <si>
    <t>D-PP-08</t>
  </si>
  <si>
    <t>F-PS-01</t>
  </si>
  <si>
    <t>F-PS-02</t>
  </si>
  <si>
    <t>F-PS-03</t>
  </si>
  <si>
    <t>F-PS-04</t>
  </si>
  <si>
    <t>Lambert (2016)</t>
  </si>
  <si>
    <t>F-PS-05</t>
  </si>
  <si>
    <t>Lv (2024)</t>
  </si>
  <si>
    <t>D-PS-01</t>
  </si>
  <si>
    <t>Fragment</t>
  </si>
  <si>
    <t>D-PS-02</t>
  </si>
  <si>
    <t>Ward (2019)</t>
  </si>
  <si>
    <t>D-PS-03</t>
  </si>
  <si>
    <t>D-PS-04</t>
  </si>
  <si>
    <t>F-EPS-03</t>
  </si>
  <si>
    <t>Song (2020)</t>
  </si>
  <si>
    <t>F-EPS-04</t>
  </si>
  <si>
    <t>D-EPS-03</t>
  </si>
  <si>
    <t>Value</t>
  </si>
  <si>
    <t>Size (details)</t>
  </si>
  <si>
    <t>Macroplastics</t>
  </si>
  <si>
    <t>PE</t>
  </si>
  <si>
    <t>D-PET-01</t>
  </si>
  <si>
    <t>D-LDPE-01</t>
  </si>
  <si>
    <t>D-HDPE-01</t>
  </si>
  <si>
    <t>D-PE-01</t>
  </si>
  <si>
    <r>
      <t>Fragmentation rate constant [d</t>
    </r>
    <r>
      <rPr>
        <b/>
        <vertAlign val="superscript"/>
        <sz val="12"/>
        <color theme="1"/>
        <rFont val="Arial"/>
        <family val="2"/>
      </rPr>
      <t>-1</t>
    </r>
    <r>
      <rPr>
        <b/>
        <sz val="12"/>
        <color theme="1"/>
        <rFont val="Arial"/>
        <family val="2"/>
      </rPr>
      <t>]</t>
    </r>
    <phoneticPr fontId="7" type="noConversion"/>
  </si>
  <si>
    <r>
      <t>Degradation rate constant [d</t>
    </r>
    <r>
      <rPr>
        <b/>
        <vertAlign val="superscript"/>
        <sz val="12"/>
        <color theme="1"/>
        <rFont val="Arial"/>
        <family val="2"/>
      </rPr>
      <t>-1</t>
    </r>
    <r>
      <rPr>
        <b/>
        <sz val="12"/>
        <color theme="1"/>
        <rFont val="Arial"/>
        <family val="2"/>
      </rPr>
      <t>]</t>
    </r>
    <phoneticPr fontId="7" type="noConversion"/>
  </si>
  <si>
    <r>
      <t>I_j [W/m</t>
    </r>
    <r>
      <rPr>
        <b/>
        <vertAlign val="superscript"/>
        <sz val="12"/>
        <color theme="1"/>
        <rFont val="Arial"/>
        <family val="2"/>
      </rPr>
      <t>2</t>
    </r>
    <r>
      <rPr>
        <b/>
        <sz val="12"/>
        <color theme="1"/>
        <rFont val="Arial"/>
        <family val="2"/>
      </rPr>
      <t>]</t>
    </r>
    <phoneticPr fontId="7" type="noConversion"/>
  </si>
  <si>
    <t>P_j [mW]</t>
    <phoneticPr fontId="7" type="noConversion"/>
  </si>
  <si>
    <r>
      <t>k [i,j] [d</t>
    </r>
    <r>
      <rPr>
        <b/>
        <vertAlign val="superscript"/>
        <sz val="12"/>
        <color theme="5"/>
        <rFont val="Arial"/>
        <family val="2"/>
      </rPr>
      <t>-1</t>
    </r>
    <r>
      <rPr>
        <b/>
        <sz val="12"/>
        <color theme="5"/>
        <rFont val="Arial"/>
        <family val="2"/>
      </rPr>
      <t>]</t>
    </r>
    <phoneticPr fontId="7" type="noConversion"/>
  </si>
  <si>
    <r>
      <t>Assumptions or notes on the calculation of weight loss [%] or SA:V [cm</t>
    </r>
    <r>
      <rPr>
        <b/>
        <vertAlign val="superscript"/>
        <sz val="12"/>
        <color theme="1"/>
        <rFont val="Arial"/>
        <family val="2"/>
      </rPr>
      <t>-1</t>
    </r>
    <r>
      <rPr>
        <b/>
        <sz val="12"/>
        <color theme="1"/>
        <rFont val="Arial"/>
        <family val="2"/>
      </rPr>
      <t>]</t>
    </r>
    <phoneticPr fontId="7" type="noConversion"/>
  </si>
  <si>
    <r>
      <t>SA:V [cm</t>
    </r>
    <r>
      <rPr>
        <b/>
        <vertAlign val="superscript"/>
        <sz val="12"/>
        <color theme="1"/>
        <rFont val="Arial"/>
        <family val="2"/>
      </rPr>
      <t>-1</t>
    </r>
    <r>
      <rPr>
        <b/>
        <sz val="12"/>
        <color theme="1"/>
        <rFont val="Arial"/>
        <family val="2"/>
      </rPr>
      <t>]</t>
    </r>
    <phoneticPr fontId="7" type="noConversion"/>
  </si>
  <si>
    <t>PP</t>
    <phoneticPr fontId="7" type="noConversion"/>
  </si>
  <si>
    <r>
      <t>k</t>
    </r>
    <r>
      <rPr>
        <b/>
        <vertAlign val="subscript"/>
        <sz val="12"/>
        <color theme="1"/>
        <rFont val="Arial"/>
        <family val="2"/>
      </rPr>
      <t>frag</t>
    </r>
    <r>
      <rPr>
        <b/>
        <sz val="12"/>
        <color theme="1"/>
        <rFont val="Arial"/>
        <family val="2"/>
      </rPr>
      <t xml:space="preserve"> [d</t>
    </r>
    <r>
      <rPr>
        <b/>
        <vertAlign val="superscript"/>
        <sz val="12"/>
        <color theme="1"/>
        <rFont val="Arial"/>
        <family val="2"/>
      </rPr>
      <t>-1</t>
    </r>
    <r>
      <rPr>
        <b/>
        <sz val="12"/>
        <color theme="1"/>
        <rFont val="Arial"/>
        <family val="2"/>
      </rPr>
      <t>]</t>
    </r>
    <phoneticPr fontId="7" type="noConversion"/>
  </si>
  <si>
    <r>
      <t>k</t>
    </r>
    <r>
      <rPr>
        <b/>
        <vertAlign val="subscript"/>
        <sz val="12"/>
        <color theme="1"/>
        <rFont val="Arial"/>
        <family val="2"/>
      </rPr>
      <t>degr</t>
    </r>
    <r>
      <rPr>
        <b/>
        <sz val="12"/>
        <color theme="1"/>
        <rFont val="Arial"/>
        <family val="2"/>
      </rPr>
      <t>[d</t>
    </r>
    <r>
      <rPr>
        <b/>
        <vertAlign val="superscript"/>
        <sz val="12"/>
        <color theme="1"/>
        <rFont val="Arial"/>
        <family val="2"/>
      </rPr>
      <t>-1</t>
    </r>
    <r>
      <rPr>
        <b/>
        <sz val="12"/>
        <color theme="1"/>
        <rFont val="Arial"/>
        <family val="2"/>
      </rPr>
      <t>]</t>
    </r>
    <phoneticPr fontId="7" type="noConversion"/>
  </si>
  <si>
    <t>Macroplastics</t>
    <phoneticPr fontId="7" type="noConversion"/>
  </si>
  <si>
    <t>Film</t>
    <phoneticPr fontId="7" type="noConversion"/>
  </si>
  <si>
    <t>PS</t>
    <phoneticPr fontId="7" type="noConversion"/>
  </si>
  <si>
    <t>EPS</t>
    <phoneticPr fontId="7" type="noConversion"/>
  </si>
  <si>
    <t>LDPE</t>
    <phoneticPr fontId="7" type="noConversion"/>
  </si>
  <si>
    <t>Sait (2021)</t>
    <phoneticPr fontId="7" type="noConversion"/>
  </si>
  <si>
    <t>PA</t>
    <phoneticPr fontId="7" type="noConversion"/>
  </si>
  <si>
    <t>Fiber</t>
    <phoneticPr fontId="7" type="noConversion"/>
  </si>
  <si>
    <t>UV+MS</t>
    <phoneticPr fontId="7" type="noConversion"/>
  </si>
  <si>
    <t>F-LDPE-01</t>
    <phoneticPr fontId="7" type="noConversion"/>
  </si>
  <si>
    <t>D-HDPE-01</t>
    <phoneticPr fontId="7" type="noConversion"/>
  </si>
  <si>
    <t>F-HDPE-01</t>
    <phoneticPr fontId="7" type="noConversion"/>
  </si>
  <si>
    <t>D-LDPE-01</t>
    <phoneticPr fontId="7" type="noConversion"/>
  </si>
  <si>
    <t>Safdar (2024)</t>
    <phoneticPr fontId="7" type="noConversion"/>
  </si>
  <si>
    <t>PE</t>
    <phoneticPr fontId="7" type="noConversion"/>
  </si>
  <si>
    <t>PET</t>
    <phoneticPr fontId="7" type="noConversion"/>
  </si>
  <si>
    <t>N.A.</t>
    <phoneticPr fontId="7" type="noConversion"/>
  </si>
  <si>
    <t>Fragment</t>
    <phoneticPr fontId="7" type="noConversion"/>
  </si>
  <si>
    <t>D-PS-06</t>
  </si>
  <si>
    <t>D-PS-07</t>
  </si>
  <si>
    <t>D-PS-08</t>
  </si>
  <si>
    <t>Wichatham (2024)</t>
    <phoneticPr fontId="7" type="noConversion"/>
  </si>
  <si>
    <t>Jeon (2021)</t>
    <phoneticPr fontId="7" type="noConversion"/>
  </si>
  <si>
    <t>Auta (2018)</t>
    <phoneticPr fontId="7" type="noConversion"/>
  </si>
  <si>
    <t>Auta (2017)</t>
    <phoneticPr fontId="7" type="noConversion"/>
  </si>
  <si>
    <t>D-PS-05</t>
  </si>
  <si>
    <t>F-PP-06</t>
    <phoneticPr fontId="7" type="noConversion"/>
  </si>
  <si>
    <t>Plastic item</t>
    <phoneticPr fontId="7" type="noConversion"/>
  </si>
  <si>
    <t>Polymer</t>
    <phoneticPr fontId="7" type="noConversion"/>
  </si>
  <si>
    <t>Compartment</t>
    <phoneticPr fontId="7" type="noConversion"/>
  </si>
  <si>
    <t>Link</t>
    <phoneticPr fontId="7" type="noConversion"/>
  </si>
  <si>
    <t>0-1</t>
    <phoneticPr fontId="7" type="noConversion"/>
  </si>
  <si>
    <t>0-2</t>
    <phoneticPr fontId="7" type="noConversion"/>
  </si>
  <si>
    <t>0-3</t>
    <phoneticPr fontId="7" type="noConversion"/>
  </si>
  <si>
    <t>Node</t>
    <phoneticPr fontId="7" type="noConversion"/>
  </si>
  <si>
    <t>1-4</t>
    <phoneticPr fontId="7" type="noConversion"/>
  </si>
  <si>
    <t>1-5</t>
    <phoneticPr fontId="7" type="noConversion"/>
  </si>
  <si>
    <t>1-6</t>
    <phoneticPr fontId="7" type="noConversion"/>
  </si>
  <si>
    <t>2-5</t>
    <phoneticPr fontId="7" type="noConversion"/>
  </si>
  <si>
    <t>2-6</t>
    <phoneticPr fontId="7" type="noConversion"/>
  </si>
  <si>
    <t>3-6</t>
    <phoneticPr fontId="7" type="noConversion"/>
  </si>
  <si>
    <t>Initial mass [kg]</t>
    <phoneticPr fontId="7" type="noConversion"/>
  </si>
  <si>
    <t>Value [kg]</t>
    <phoneticPr fontId="7" type="noConversion"/>
  </si>
  <si>
    <r>
      <t>k_model [d</t>
    </r>
    <r>
      <rPr>
        <b/>
        <vertAlign val="superscript"/>
        <sz val="12"/>
        <color theme="1"/>
        <rFont val="Arial"/>
        <family val="2"/>
      </rPr>
      <t>-1</t>
    </r>
    <r>
      <rPr>
        <b/>
        <sz val="12"/>
        <color theme="1"/>
        <rFont val="Arial"/>
        <family val="2"/>
      </rPr>
      <t>]</t>
    </r>
    <phoneticPr fontId="7" type="noConversion"/>
  </si>
  <si>
    <r>
      <t>k [i,j] [d</t>
    </r>
    <r>
      <rPr>
        <b/>
        <vertAlign val="superscript"/>
        <sz val="12"/>
        <color theme="1"/>
        <rFont val="Arial"/>
        <family val="2"/>
      </rPr>
      <t>-1</t>
    </r>
    <r>
      <rPr>
        <b/>
        <sz val="12"/>
        <color theme="1"/>
        <rFont val="Arial"/>
        <family val="2"/>
      </rPr>
      <t>]</t>
    </r>
    <phoneticPr fontId="7" type="noConversion"/>
  </si>
  <si>
    <r>
      <t>s [cm</t>
    </r>
    <r>
      <rPr>
        <b/>
        <vertAlign val="superscript"/>
        <sz val="12"/>
        <color theme="1"/>
        <rFont val="Arial"/>
        <family val="2"/>
      </rPr>
      <t>-1</t>
    </r>
    <r>
      <rPr>
        <b/>
        <sz val="12"/>
        <color theme="1"/>
        <rFont val="Arial"/>
        <family val="2"/>
      </rPr>
      <t>]</t>
    </r>
    <phoneticPr fontId="7" type="noConversion"/>
  </si>
  <si>
    <r>
      <t>k_fast [d</t>
    </r>
    <r>
      <rPr>
        <b/>
        <vertAlign val="superscript"/>
        <sz val="12"/>
        <color theme="1"/>
        <rFont val="Arial"/>
        <family val="2"/>
      </rPr>
      <t>-1</t>
    </r>
    <r>
      <rPr>
        <b/>
        <sz val="12"/>
        <color theme="1"/>
        <rFont val="Arial"/>
        <family val="2"/>
      </rPr>
      <t>]</t>
    </r>
    <phoneticPr fontId="7" type="noConversion"/>
  </si>
  <si>
    <r>
      <t>k_medium [d</t>
    </r>
    <r>
      <rPr>
        <b/>
        <vertAlign val="superscript"/>
        <sz val="12"/>
        <color theme="1"/>
        <rFont val="Arial"/>
        <family val="2"/>
      </rPr>
      <t>-1</t>
    </r>
    <r>
      <rPr>
        <b/>
        <sz val="12"/>
        <color theme="1"/>
        <rFont val="Arial"/>
        <family val="2"/>
      </rPr>
      <t>]</t>
    </r>
    <phoneticPr fontId="7" type="noConversion"/>
  </si>
  <si>
    <r>
      <t>k_slow [d</t>
    </r>
    <r>
      <rPr>
        <b/>
        <vertAlign val="superscript"/>
        <sz val="12"/>
        <color theme="1"/>
        <rFont val="Arial"/>
        <family val="2"/>
      </rPr>
      <t>-1</t>
    </r>
    <r>
      <rPr>
        <b/>
        <sz val="12"/>
        <color theme="1"/>
        <rFont val="Arial"/>
        <family val="2"/>
      </rPr>
      <t>]</t>
    </r>
    <phoneticPr fontId="7" type="noConversion"/>
  </si>
  <si>
    <r>
      <t>k_WS [d</t>
    </r>
    <r>
      <rPr>
        <b/>
        <vertAlign val="superscript"/>
        <sz val="12"/>
        <color theme="1"/>
        <rFont val="Arial"/>
        <family val="2"/>
      </rPr>
      <t>-1</t>
    </r>
    <r>
      <rPr>
        <b/>
        <sz val="12"/>
        <color theme="1"/>
        <rFont val="Arial"/>
        <family val="2"/>
      </rPr>
      <t>]</t>
    </r>
    <phoneticPr fontId="7" type="noConversion"/>
  </si>
  <si>
    <r>
      <t>k_WC [d</t>
    </r>
    <r>
      <rPr>
        <b/>
        <vertAlign val="superscript"/>
        <sz val="12"/>
        <color theme="1"/>
        <rFont val="Arial"/>
        <family val="2"/>
      </rPr>
      <t>-1</t>
    </r>
    <r>
      <rPr>
        <b/>
        <sz val="12"/>
        <color theme="1"/>
        <rFont val="Arial"/>
        <family val="2"/>
      </rPr>
      <t>]</t>
    </r>
    <phoneticPr fontId="7" type="noConversion"/>
  </si>
  <si>
    <t>Polymer &amp; Size &amp; Shape</t>
    <phoneticPr fontId="7" type="noConversion"/>
  </si>
  <si>
    <t>Water surface</t>
    <phoneticPr fontId="7" type="noConversion"/>
  </si>
  <si>
    <t>Water column</t>
    <phoneticPr fontId="7" type="noConversion"/>
  </si>
  <si>
    <r>
      <t>I_j_WS [W/m</t>
    </r>
    <r>
      <rPr>
        <b/>
        <vertAlign val="superscript"/>
        <sz val="12"/>
        <color theme="1"/>
        <rFont val="Arial"/>
        <family val="2"/>
      </rPr>
      <t>2</t>
    </r>
    <r>
      <rPr>
        <b/>
        <sz val="12"/>
        <color theme="1"/>
        <rFont val="Arial"/>
        <family val="2"/>
      </rPr>
      <t>]</t>
    </r>
    <phoneticPr fontId="7" type="noConversion"/>
  </si>
  <si>
    <t>C_j_WS [CFU/ml]</t>
    <phoneticPr fontId="7" type="noConversion"/>
  </si>
  <si>
    <t xml:space="preserve">	C_j_WC [CFU/ml]</t>
    <phoneticPr fontId="7" type="noConversion"/>
  </si>
  <si>
    <r>
      <t>I_j_WC [W/m</t>
    </r>
    <r>
      <rPr>
        <b/>
        <vertAlign val="superscript"/>
        <sz val="12"/>
        <color theme="1"/>
        <rFont val="Arial"/>
        <family val="2"/>
      </rPr>
      <t>2</t>
    </r>
    <r>
      <rPr>
        <b/>
        <sz val="12"/>
        <color theme="1"/>
        <rFont val="Arial"/>
        <family val="2"/>
      </rPr>
      <t>]</t>
    </r>
    <phoneticPr fontId="7" type="noConversion"/>
  </si>
  <si>
    <t>WL_actual [%]</t>
    <phoneticPr fontId="7" type="noConversion"/>
  </si>
  <si>
    <t>WL_control [%]</t>
    <phoneticPr fontId="7" type="noConversion"/>
  </si>
  <si>
    <t>WL_test group [%]</t>
    <phoneticPr fontId="7" type="noConversion"/>
  </si>
  <si>
    <t>F-PP-05</t>
    <phoneticPr fontId="7" type="noConversion"/>
  </si>
  <si>
    <t>Reported</t>
    <phoneticPr fontId="7" type="noConversion"/>
  </si>
  <si>
    <t>Not available</t>
    <phoneticPr fontId="7" type="noConversion"/>
  </si>
  <si>
    <t>Accounted for</t>
    <phoneticPr fontId="7" type="noConversion"/>
  </si>
  <si>
    <t>D-PET-01</t>
    <phoneticPr fontId="7" type="noConversion"/>
  </si>
  <si>
    <t>D-PE-01</t>
    <phoneticPr fontId="7" type="noConversion"/>
  </si>
  <si>
    <t>HDPE</t>
    <phoneticPr fontId="7" type="noConversion"/>
  </si>
  <si>
    <t>D-PE-02</t>
  </si>
  <si>
    <t>D-PE-03</t>
  </si>
  <si>
    <t>D-PE-04</t>
  </si>
  <si>
    <t>D-PET-03</t>
  </si>
  <si>
    <t>D-PET-04</t>
  </si>
  <si>
    <t>D-PET-05</t>
  </si>
  <si>
    <t>D-PE-05</t>
  </si>
  <si>
    <t>D-PE-06</t>
  </si>
  <si>
    <t>D-PS-09</t>
  </si>
  <si>
    <t>D-PET-06</t>
  </si>
  <si>
    <t>D-LDPE-02</t>
  </si>
  <si>
    <t>Skariyachan (2018)</t>
    <phoneticPr fontId="7" type="noConversion"/>
  </si>
  <si>
    <t>D-PET-08</t>
  </si>
  <si>
    <t>D-HDPE-03</t>
  </si>
  <si>
    <t>D-HDPE-04</t>
  </si>
  <si>
    <t>D-LDPE-03</t>
  </si>
  <si>
    <t>D-PET-09</t>
  </si>
  <si>
    <t>F-PS-06</t>
  </si>
  <si>
    <t>D.P.I.</t>
    <phoneticPr fontId="7" type="noConversion"/>
  </si>
  <si>
    <t>D-PET-02</t>
  </si>
  <si>
    <t>D-PET-07</t>
  </si>
  <si>
    <t>PLA</t>
    <phoneticPr fontId="7" type="noConversion"/>
  </si>
  <si>
    <t>D-HDPE-05</t>
  </si>
  <si>
    <t>D-HDPE-06</t>
  </si>
  <si>
    <t>D-LDPE-04</t>
  </si>
  <si>
    <t>D-LDPE-05</t>
  </si>
  <si>
    <t>D-LDPE-06</t>
  </si>
  <si>
    <t>D-LDPE-07</t>
  </si>
  <si>
    <t>c_i</t>
    <phoneticPr fontId="7" type="noConversion"/>
  </si>
  <si>
    <t>F-PS-01</t>
    <phoneticPr fontId="7" type="noConversion"/>
  </si>
  <si>
    <t>y_i</t>
    <phoneticPr fontId="7" type="noConversion"/>
  </si>
  <si>
    <t>Time [yr]</t>
    <phoneticPr fontId="7" type="noConversion"/>
  </si>
  <si>
    <r>
      <t>k</t>
    </r>
    <r>
      <rPr>
        <b/>
        <vertAlign val="subscript"/>
        <sz val="12"/>
        <color theme="1"/>
        <rFont val="Arial"/>
        <family val="2"/>
      </rPr>
      <t>degr</t>
    </r>
    <r>
      <rPr>
        <b/>
        <sz val="12"/>
        <color theme="1"/>
        <rFont val="Arial"/>
        <family val="2"/>
      </rPr>
      <t xml:space="preserve"> [d</t>
    </r>
    <r>
      <rPr>
        <b/>
        <vertAlign val="superscript"/>
        <sz val="12"/>
        <color theme="1"/>
        <rFont val="Arial"/>
        <family val="2"/>
      </rPr>
      <t>-1</t>
    </r>
    <r>
      <rPr>
        <b/>
        <sz val="12"/>
        <color theme="1"/>
        <rFont val="Arial"/>
        <family val="2"/>
      </rPr>
      <t>]</t>
    </r>
    <phoneticPr fontId="7" type="noConversion"/>
  </si>
  <si>
    <t>Size category</t>
    <phoneticPr fontId="7" type="noConversion"/>
  </si>
  <si>
    <r>
      <t>SA:V [cm</t>
    </r>
    <r>
      <rPr>
        <b/>
        <vertAlign val="superscript"/>
        <sz val="12"/>
        <rFont val="Arial"/>
        <family val="2"/>
      </rPr>
      <t>-1</t>
    </r>
    <r>
      <rPr>
        <b/>
        <sz val="12"/>
        <rFont val="Arial"/>
        <family val="2"/>
      </rPr>
      <t>]</t>
    </r>
    <phoneticPr fontId="7" type="noConversion"/>
  </si>
  <si>
    <t>Model input to be chosen</t>
    <phoneticPr fontId="7" type="noConversion"/>
  </si>
  <si>
    <t>(Select an option)</t>
    <phoneticPr fontId="7" type="noConversion"/>
  </si>
  <si>
    <t>Mass of remaining macroplastics</t>
    <phoneticPr fontId="7" type="noConversion"/>
  </si>
  <si>
    <t>Mass of secondary microplastics</t>
    <phoneticPr fontId="7" type="noConversion"/>
  </si>
  <si>
    <t>Mass of degradation products</t>
    <phoneticPr fontId="7" type="noConversion"/>
  </si>
  <si>
    <t>Environmental stresses</t>
    <phoneticPr fontId="7" type="noConversion"/>
  </si>
  <si>
    <t>Empirical constants</t>
    <phoneticPr fontId="7" type="noConversion"/>
  </si>
  <si>
    <t>(Compartment-specific)</t>
    <phoneticPr fontId="7" type="noConversion"/>
  </si>
  <si>
    <t>(Polymer-specific)</t>
    <phoneticPr fontId="7" type="noConversion"/>
  </si>
  <si>
    <t>Degradation of PP</t>
    <phoneticPr fontId="7" type="noConversion"/>
  </si>
  <si>
    <t>Degradation of PS</t>
    <phoneticPr fontId="7" type="noConversion"/>
  </si>
  <si>
    <t>Degradation of PET</t>
    <phoneticPr fontId="7" type="noConversion"/>
  </si>
  <si>
    <t>Degradation of HDPE</t>
    <phoneticPr fontId="7" type="noConversion"/>
  </si>
  <si>
    <t>Degradation of LDPE</t>
    <phoneticPr fontId="7" type="noConversion"/>
  </si>
  <si>
    <r>
      <t>k_fast [yr</t>
    </r>
    <r>
      <rPr>
        <b/>
        <vertAlign val="superscript"/>
        <sz val="12"/>
        <color theme="7"/>
        <rFont val="Arial"/>
        <family val="2"/>
      </rPr>
      <t>-1</t>
    </r>
    <r>
      <rPr>
        <b/>
        <sz val="12"/>
        <color theme="7"/>
        <rFont val="Arial"/>
        <family val="2"/>
      </rPr>
      <t>]</t>
    </r>
    <phoneticPr fontId="7" type="noConversion"/>
  </si>
  <si>
    <r>
      <t>k_medium [yr</t>
    </r>
    <r>
      <rPr>
        <b/>
        <vertAlign val="superscript"/>
        <sz val="12"/>
        <color theme="7"/>
        <rFont val="Arial"/>
        <family val="2"/>
      </rPr>
      <t>-1</t>
    </r>
    <r>
      <rPr>
        <b/>
        <sz val="12"/>
        <color theme="7"/>
        <rFont val="Arial"/>
        <family val="2"/>
      </rPr>
      <t>]</t>
    </r>
    <phoneticPr fontId="7" type="noConversion"/>
  </si>
  <si>
    <r>
      <t>k_slow [yr</t>
    </r>
    <r>
      <rPr>
        <b/>
        <vertAlign val="superscript"/>
        <sz val="12"/>
        <color theme="7"/>
        <rFont val="Arial"/>
        <family val="2"/>
      </rPr>
      <t>-1</t>
    </r>
    <r>
      <rPr>
        <b/>
        <sz val="12"/>
        <color theme="7"/>
        <rFont val="Arial"/>
        <family val="2"/>
      </rPr>
      <t>]</t>
    </r>
    <phoneticPr fontId="7" type="noConversion"/>
  </si>
  <si>
    <t>D-HDPE-02</t>
  </si>
  <si>
    <t>R.E.S.</t>
    <phoneticPr fontId="7" type="noConversion"/>
  </si>
  <si>
    <t>F-PP-08</t>
  </si>
  <si>
    <t>F-PP-09</t>
  </si>
  <si>
    <t>D-PP-09</t>
  </si>
  <si>
    <t>D-PP-10</t>
  </si>
  <si>
    <t>Sediment</t>
    <phoneticPr fontId="7" type="noConversion"/>
  </si>
  <si>
    <t>Data point</t>
  </si>
  <si>
    <t>UV exposure</t>
  </si>
  <si>
    <t>Exposure to mechanical stress – Information</t>
  </si>
  <si>
    <t>Exposure to mechanical stress – Calculation</t>
  </si>
  <si>
    <t>Exposure to microbes</t>
  </si>
  <si>
    <t>Notes on environmental stresses</t>
    <phoneticPr fontId="7" type="noConversion"/>
  </si>
  <si>
    <r>
      <t>I_j [W/m</t>
    </r>
    <r>
      <rPr>
        <b/>
        <vertAlign val="superscript"/>
        <sz val="12"/>
        <rFont val="Arial"/>
        <family val="2"/>
      </rPr>
      <t>2</t>
    </r>
    <r>
      <rPr>
        <b/>
        <sz val="12"/>
        <rFont val="Arial"/>
        <family val="2"/>
      </rPr>
      <t>]</t>
    </r>
    <phoneticPr fontId="7" type="noConversion"/>
  </si>
  <si>
    <t>Reference</t>
    <phoneticPr fontId="7" type="noConversion"/>
  </si>
  <si>
    <r>
      <t>UVA [W/m</t>
    </r>
    <r>
      <rPr>
        <b/>
        <vertAlign val="superscript"/>
        <sz val="12"/>
        <rFont val="Arial"/>
        <family val="2"/>
      </rPr>
      <t>2</t>
    </r>
    <r>
      <rPr>
        <b/>
        <sz val="12"/>
        <rFont val="Arial"/>
        <family val="2"/>
      </rPr>
      <t>]</t>
    </r>
    <phoneticPr fontId="7" type="noConversion"/>
  </si>
  <si>
    <r>
      <t>UVB [W/m</t>
    </r>
    <r>
      <rPr>
        <b/>
        <vertAlign val="superscript"/>
        <sz val="12"/>
        <rFont val="Arial"/>
        <family val="2"/>
      </rPr>
      <t>2</t>
    </r>
    <r>
      <rPr>
        <b/>
        <sz val="12"/>
        <rFont val="Arial"/>
        <family val="2"/>
      </rPr>
      <t>]</t>
    </r>
    <phoneticPr fontId="7" type="noConversion"/>
  </si>
  <si>
    <r>
      <t>UVC [W/m</t>
    </r>
    <r>
      <rPr>
        <b/>
        <vertAlign val="superscript"/>
        <sz val="12"/>
        <rFont val="Arial"/>
        <family val="2"/>
      </rPr>
      <t>2</t>
    </r>
    <r>
      <rPr>
        <b/>
        <sz val="12"/>
        <rFont val="Arial"/>
        <family val="2"/>
      </rPr>
      <t>]</t>
    </r>
    <phoneticPr fontId="7" type="noConversion"/>
  </si>
  <si>
    <r>
      <t>Sunlight [W/m</t>
    </r>
    <r>
      <rPr>
        <b/>
        <vertAlign val="superscript"/>
        <sz val="12"/>
        <rFont val="Arial"/>
        <family val="2"/>
      </rPr>
      <t>2</t>
    </r>
    <r>
      <rPr>
        <b/>
        <sz val="12"/>
        <rFont val="Arial"/>
        <family val="2"/>
      </rPr>
      <t>]</t>
    </r>
    <phoneticPr fontId="7" type="noConversion"/>
  </si>
  <si>
    <t>UV index [-]</t>
  </si>
  <si>
    <r>
      <t>I [W/m</t>
    </r>
    <r>
      <rPr>
        <b/>
        <vertAlign val="superscript"/>
        <sz val="12"/>
        <rFont val="Arial"/>
        <family val="2"/>
      </rPr>
      <t>2</t>
    </r>
    <r>
      <rPr>
        <b/>
        <sz val="12"/>
        <rFont val="Arial"/>
        <family val="2"/>
      </rPr>
      <t>]</t>
    </r>
    <phoneticPr fontId="7" type="noConversion"/>
  </si>
  <si>
    <t>Shape and size of one item</t>
  </si>
  <si>
    <t>Information given</t>
  </si>
  <si>
    <t>Assumptions made</t>
  </si>
  <si>
    <t>m_plastic [g]</t>
  </si>
  <si>
    <t>r_pellet [m]</t>
  </si>
  <si>
    <t>RS [rpm]</t>
  </si>
  <si>
    <t>r_container [m]</t>
  </si>
  <si>
    <t>ω [rad/s]</t>
  </si>
  <si>
    <t>v_edge [m/s]</t>
  </si>
  <si>
    <t>m_sand [g]</t>
  </si>
  <si>
    <t>d_pellet [m]</t>
  </si>
  <si>
    <t>p_contact [-]</t>
  </si>
  <si>
    <r>
      <t>F</t>
    </r>
    <r>
      <rPr>
        <b/>
        <vertAlign val="subscript"/>
        <sz val="12"/>
        <color theme="1"/>
        <rFont val="Arial"/>
        <family val="2"/>
      </rPr>
      <t>N</t>
    </r>
    <r>
      <rPr>
        <b/>
        <sz val="12"/>
        <color theme="1"/>
        <rFont val="Arial"/>
        <family val="2"/>
      </rPr>
      <t xml:space="preserve"> [N]</t>
    </r>
    <phoneticPr fontId="7" type="noConversion"/>
  </si>
  <si>
    <t>CF [-]</t>
  </si>
  <si>
    <t>v_relative [m/s]</t>
  </si>
  <si>
    <r>
      <t>γ [s</t>
    </r>
    <r>
      <rPr>
        <b/>
        <vertAlign val="superscript"/>
        <sz val="12"/>
        <color theme="1"/>
        <rFont val="Arial"/>
        <family val="2"/>
      </rPr>
      <t>-1</t>
    </r>
    <r>
      <rPr>
        <b/>
        <sz val="12"/>
        <color theme="1"/>
        <rFont val="Arial"/>
        <family val="2"/>
      </rPr>
      <t>]</t>
    </r>
    <phoneticPr fontId="7" type="noConversion"/>
  </si>
  <si>
    <t>τ [Pa]</t>
  </si>
  <si>
    <t>D vs. D_water</t>
    <phoneticPr fontId="7" type="noConversion"/>
  </si>
  <si>
    <r>
      <t>CSA [m</t>
    </r>
    <r>
      <rPr>
        <b/>
        <vertAlign val="superscript"/>
        <sz val="12"/>
        <color theme="1"/>
        <rFont val="Arial"/>
        <family val="2"/>
      </rPr>
      <t>2</t>
    </r>
    <r>
      <rPr>
        <b/>
        <sz val="12"/>
        <color theme="1"/>
        <rFont val="Arial"/>
        <family val="2"/>
      </rPr>
      <t>]</t>
    </r>
    <phoneticPr fontId="7" type="noConversion"/>
  </si>
  <si>
    <r>
      <t>F</t>
    </r>
    <r>
      <rPr>
        <b/>
        <vertAlign val="subscript"/>
        <sz val="12"/>
        <color theme="1"/>
        <rFont val="Arial"/>
        <family val="2"/>
      </rPr>
      <t>F</t>
    </r>
    <r>
      <rPr>
        <b/>
        <sz val="12"/>
        <color theme="1"/>
        <rFont val="Arial"/>
        <family val="2"/>
      </rPr>
      <t>/F</t>
    </r>
    <r>
      <rPr>
        <b/>
        <vertAlign val="subscript"/>
        <sz val="12"/>
        <color theme="1"/>
        <rFont val="Arial"/>
        <family val="2"/>
      </rPr>
      <t>D</t>
    </r>
    <r>
      <rPr>
        <b/>
        <sz val="12"/>
        <color theme="1"/>
        <rFont val="Arial"/>
        <family val="2"/>
      </rPr>
      <t>/F</t>
    </r>
    <r>
      <rPr>
        <b/>
        <vertAlign val="subscript"/>
        <sz val="12"/>
        <color theme="1"/>
        <rFont val="Arial"/>
        <family val="2"/>
      </rPr>
      <t>S</t>
    </r>
    <r>
      <rPr>
        <b/>
        <sz val="12"/>
        <color theme="1"/>
        <rFont val="Arial"/>
        <family val="2"/>
      </rPr>
      <t xml:space="preserve"> [N]</t>
    </r>
    <phoneticPr fontId="7" type="noConversion"/>
  </si>
  <si>
    <t>P [mW]</t>
  </si>
  <si>
    <t>Given info</t>
    <phoneticPr fontId="7" type="noConversion"/>
  </si>
  <si>
    <t>Stage</t>
    <phoneticPr fontId="7" type="noConversion"/>
  </si>
  <si>
    <t>C [CFU/ml]</t>
  </si>
  <si>
    <r>
      <t>Sphere, V = 19 mm</t>
    </r>
    <r>
      <rPr>
        <vertAlign val="superscript"/>
        <sz val="12"/>
        <color theme="1"/>
        <rFont val="Arial"/>
        <family val="2"/>
      </rPr>
      <t>3</t>
    </r>
    <phoneticPr fontId="7" type="noConversion"/>
  </si>
  <si>
    <t>Block, 5 cm × 3 cm × 0.45 cm</t>
  </si>
  <si>
    <t>Sheet, 5 cm × 1.5 cm × 1 mm</t>
  </si>
  <si>
    <t>m_sand = 50 g, RS = 37 rpm, V_bottle = 60 mL</t>
  </si>
  <si>
    <t>F-PP-05</t>
  </si>
  <si>
    <t>V_water = 10 mL</t>
  </si>
  <si>
    <t>V_vial = 25 mL, RS = 3000 rpm, r_vial = 1 cm</t>
    <phoneticPr fontId="7" type="noConversion"/>
  </si>
  <si>
    <t>Fragment, 2 cm × 2 cm × 0.5 mm</t>
    <phoneticPr fontId="7" type="noConversion"/>
  </si>
  <si>
    <r>
      <t>V_container = 100 L, D_fragment = 0.86 g/cm</t>
    </r>
    <r>
      <rPr>
        <vertAlign val="superscript"/>
        <sz val="12"/>
        <rFont val="Arial"/>
        <family val="2"/>
      </rPr>
      <t>3</t>
    </r>
    <r>
      <rPr>
        <sz val="12"/>
        <rFont val="Arial"/>
        <family val="2"/>
      </rPr>
      <t>, m_sand = 40 kg, V_water = 20 L, RS = 30 rpm</t>
    </r>
    <phoneticPr fontId="7" type="noConversion"/>
  </si>
  <si>
    <t>r_container = 0.25 m</t>
    <phoneticPr fontId="7" type="noConversion"/>
  </si>
  <si>
    <t>Zha (2023)</t>
    <phoneticPr fontId="7" type="noConversion"/>
  </si>
  <si>
    <t>Sheet, 4 mm × 4 mm × 0.5 mm</t>
    <phoneticPr fontId="7" type="noConversion"/>
  </si>
  <si>
    <t>RS = 100 rpm, V_flask = 250 mL, V_medium = 100 mL</t>
    <phoneticPr fontId="7" type="noConversion"/>
  </si>
  <si>
    <t>r_flask = 4 cm</t>
    <phoneticPr fontId="7" type="noConversion"/>
  </si>
  <si>
    <t>Sphere, d = 3.5 ~ 4.5 mm (4 mm)</t>
  </si>
  <si>
    <r>
      <t>m_sand = 20 g, V_water = 15 mL, V_flask = 100 mL, RS =130 rpm, D_pellet = 0.910 g/cm</t>
    </r>
    <r>
      <rPr>
        <vertAlign val="superscript"/>
        <sz val="12"/>
        <rFont val="Arial"/>
        <family val="2"/>
      </rPr>
      <t>3</t>
    </r>
    <phoneticPr fontId="7" type="noConversion"/>
  </si>
  <si>
    <t>r_flask = 3 cm</t>
  </si>
  <si>
    <t>Average</t>
    <phoneticPr fontId="7" type="noConversion"/>
  </si>
  <si>
    <t>Sphere, d = 3.079 μm</t>
  </si>
  <si>
    <t>Sphere, d = 2.4 mm</t>
    <phoneticPr fontId="7" type="noConversion"/>
  </si>
  <si>
    <t>Sphere, d = 200 μm</t>
    <phoneticPr fontId="7" type="noConversion"/>
  </si>
  <si>
    <t>RS = 150 rpm, V_medium = 300 mL, D_particle= 0.9 g/mL</t>
    <phoneticPr fontId="7" type="noConversion"/>
  </si>
  <si>
    <t>V_flask = 500 mL, r_flask = 5 cm</t>
    <phoneticPr fontId="7" type="noConversion"/>
  </si>
  <si>
    <t>Skariyachan (2018)</t>
  </si>
  <si>
    <t>Sphere, d = 2.5 mm</t>
    <phoneticPr fontId="7" type="noConversion"/>
  </si>
  <si>
    <t>Start</t>
    <phoneticPr fontId="7" type="noConversion"/>
  </si>
  <si>
    <t>Fragment, 1 cm × 1 cm × 0.5 mm</t>
    <phoneticPr fontId="7" type="noConversion"/>
  </si>
  <si>
    <t>V_medium = 90 mL</t>
    <phoneticPr fontId="7" type="noConversion"/>
  </si>
  <si>
    <t>RS = 100 rpm, V_flask = 250 mL, r_flask = 4 cm</t>
    <phoneticPr fontId="7" type="noConversion"/>
  </si>
  <si>
    <t>Film, 15 cm × 15 cm × 0.05 mm</t>
    <phoneticPr fontId="7" type="noConversion"/>
  </si>
  <si>
    <t>Cuboid, average size = 2.75 mm</t>
    <phoneticPr fontId="7" type="noConversion"/>
  </si>
  <si>
    <t>Film, 1.5 cm × 1.5 cm × 0.05 mm</t>
  </si>
  <si>
    <t>V_medium = 20 mL, RS = 180 rpm</t>
  </si>
  <si>
    <t>Film, 1 cm × 1 cm × 0.03 mm</t>
    <phoneticPr fontId="7" type="noConversion"/>
  </si>
  <si>
    <t>RS = 100 rpm, V_flask = 250 mL, V_medium = 50 mL</t>
    <phoneticPr fontId="7" type="noConversion"/>
  </si>
  <si>
    <t>r_flask = 4 cm, D_film &gt; 1.0 g/cm3</t>
    <phoneticPr fontId="7" type="noConversion"/>
  </si>
  <si>
    <t>Block, 5 cm × 3 cm × 0.4 cm</t>
  </si>
  <si>
    <t>F-PS-02</t>
    <phoneticPr fontId="7" type="noConversion"/>
  </si>
  <si>
    <t>Sheet, 1 cm × 1 cm × 0.5 mm</t>
    <phoneticPr fontId="7" type="noConversion"/>
  </si>
  <si>
    <t>Pfohl (2025)</t>
    <phoneticPr fontId="7" type="noConversion"/>
  </si>
  <si>
    <t>Film, th = 0.7 mm</t>
    <phoneticPr fontId="7" type="noConversion"/>
  </si>
  <si>
    <r>
      <t>V_container = 100 L, D_fragment = 1.05 g/cm</t>
    </r>
    <r>
      <rPr>
        <vertAlign val="superscript"/>
        <sz val="12"/>
        <rFont val="Arial"/>
        <family val="2"/>
      </rPr>
      <t>3</t>
    </r>
    <r>
      <rPr>
        <sz val="12"/>
        <rFont val="Arial"/>
        <family val="2"/>
      </rPr>
      <t>, m_sand = 40 kg, V_water = 20 L, RS = 30 rpm</t>
    </r>
    <phoneticPr fontId="7" type="noConversion"/>
  </si>
  <si>
    <t>Sphere, d = 3.0 ~ 4.0 mm (3.5 mm)</t>
  </si>
  <si>
    <r>
      <t>m_sand = 20 g, V_water = 15 mL, V_flask = 100 mL, RS =130 rpm, D_pellet = 1.050 g/cm</t>
    </r>
    <r>
      <rPr>
        <vertAlign val="superscript"/>
        <sz val="12"/>
        <rFont val="Arial"/>
        <family val="2"/>
      </rPr>
      <t>3</t>
    </r>
    <phoneticPr fontId="7" type="noConversion"/>
  </si>
  <si>
    <t>Cuboid, 3.361 μm = L = W = 3 × H</t>
    <phoneticPr fontId="7" type="noConversion"/>
  </si>
  <si>
    <t>Film, 8 cm × 1.5 cm × 196 μm</t>
    <phoneticPr fontId="7" type="noConversion"/>
  </si>
  <si>
    <t>Film, 8 cm × 1.5 cm × 56 μm</t>
    <phoneticPr fontId="7" type="noConversion"/>
  </si>
  <si>
    <r>
      <t>r_flask = 4 cm, D_film &gt; 1.0 g/cm</t>
    </r>
    <r>
      <rPr>
        <vertAlign val="superscript"/>
        <sz val="12"/>
        <rFont val="Arial"/>
        <family val="2"/>
      </rPr>
      <t>3</t>
    </r>
    <phoneticPr fontId="7" type="noConversion"/>
  </si>
  <si>
    <t>Fragment, 4 mm × 4 mm × 0.5 mm</t>
    <phoneticPr fontId="7" type="noConversion"/>
  </si>
  <si>
    <r>
      <t>RS = 120 rpm, V_flask = 250 mL, V_medium = 100 mL, D_fragment = 0.98 g/cm</t>
    </r>
    <r>
      <rPr>
        <vertAlign val="superscript"/>
        <sz val="12"/>
        <rFont val="Arial"/>
        <family val="2"/>
      </rPr>
      <t>3</t>
    </r>
    <phoneticPr fontId="7" type="noConversion"/>
  </si>
  <si>
    <t>End</t>
    <phoneticPr fontId="7" type="noConversion"/>
  </si>
  <si>
    <t>RS = 150 rpm, V_medium = 300 mL, D_particle= 1.59 g/mL</t>
    <phoneticPr fontId="7" type="noConversion"/>
  </si>
  <si>
    <t>V_flask = 500 mL, r_flask = 5 cm</t>
  </si>
  <si>
    <t>F-EPS-01</t>
  </si>
  <si>
    <r>
      <t>Sphere, V = 22 mm</t>
    </r>
    <r>
      <rPr>
        <vertAlign val="superscript"/>
        <sz val="12"/>
        <color theme="1"/>
        <rFont val="Arial"/>
        <family val="2"/>
      </rPr>
      <t>3</t>
    </r>
    <phoneticPr fontId="7" type="noConversion"/>
  </si>
  <si>
    <t>F-EPS-02</t>
    <phoneticPr fontId="7" type="noConversion"/>
  </si>
  <si>
    <t>Block, 3 cm × 3 cm × 2.5 cm</t>
    <phoneticPr fontId="7" type="noConversion"/>
  </si>
  <si>
    <t>F-EPS-03</t>
    <phoneticPr fontId="7" type="noConversion"/>
  </si>
  <si>
    <t>Block, 2 cm × 2 cm × 2 cm</t>
  </si>
  <si>
    <r>
      <t>V_container = 100 L, D_block = 0.01 g/cm</t>
    </r>
    <r>
      <rPr>
        <vertAlign val="superscript"/>
        <sz val="12"/>
        <rFont val="Arial"/>
        <family val="2"/>
      </rPr>
      <t>3</t>
    </r>
    <r>
      <rPr>
        <sz val="12"/>
        <rFont val="Arial"/>
        <family val="2"/>
      </rPr>
      <t>, m_sand = 40 kg, V_water = 20 L, RS = 30 rpm</t>
    </r>
    <phoneticPr fontId="7" type="noConversion"/>
  </si>
  <si>
    <t>F-EPS-06</t>
  </si>
  <si>
    <t>Sheet, 4 mm × 4 mm × 1 mm</t>
    <phoneticPr fontId="7" type="noConversion"/>
  </si>
  <si>
    <t>D-EPS-01</t>
  </si>
  <si>
    <t>D-EPS-02</t>
  </si>
  <si>
    <t>Cuboid, average size = 3.32 mm</t>
    <phoneticPr fontId="7" type="noConversion"/>
  </si>
  <si>
    <t>F-PET-01</t>
    <phoneticPr fontId="7" type="noConversion"/>
  </si>
  <si>
    <t>Sphere, d = 3.0 ~ 3.5 mm (3.25 mm)</t>
    <phoneticPr fontId="7" type="noConversion"/>
  </si>
  <si>
    <r>
      <t>m_sand = 20 g, V_water = 15 mL, V_flask = 100 mL, RS =130 rpm, D_pellet = 1.340 g/cm</t>
    </r>
    <r>
      <rPr>
        <vertAlign val="superscript"/>
        <sz val="12"/>
        <rFont val="Arial"/>
        <family val="2"/>
      </rPr>
      <t>3</t>
    </r>
    <phoneticPr fontId="7" type="noConversion"/>
  </si>
  <si>
    <t>Bhat (2024)</t>
    <phoneticPr fontId="7" type="noConversion"/>
  </si>
  <si>
    <t>Cuboid, 3.525 μm = L = W = 3 × H</t>
    <phoneticPr fontId="7" type="noConversion"/>
  </si>
  <si>
    <t>Fiber, l = 1.346 mm, d = 0.01 mm</t>
    <phoneticPr fontId="7" type="noConversion"/>
  </si>
  <si>
    <t>Fragment, 4 mm × 4 mm × 0.3 mm</t>
    <phoneticPr fontId="7" type="noConversion"/>
  </si>
  <si>
    <r>
      <t>RS = 120 rpm, V_flask = 250 mL, V_medium = 100 mL, D_fragment = 1.35 g/cm</t>
    </r>
    <r>
      <rPr>
        <vertAlign val="superscript"/>
        <sz val="12"/>
        <rFont val="Arial"/>
        <family val="2"/>
      </rPr>
      <t>3</t>
    </r>
    <phoneticPr fontId="7" type="noConversion"/>
  </si>
  <si>
    <t>r_flask = 4 cm</t>
  </si>
  <si>
    <t>RS = 150 rpm, V_medium = 300 mL, D_particle= 1.68 g/mL</t>
    <phoneticPr fontId="7" type="noConversion"/>
  </si>
  <si>
    <t>Auta (2022)</t>
    <phoneticPr fontId="7" type="noConversion"/>
  </si>
  <si>
    <t>Sphere, d = 2 mm</t>
    <phoneticPr fontId="7" type="noConversion"/>
  </si>
  <si>
    <t>Sphere, d = 3.5 ~ 4.5 mm (4.0 mm)</t>
    <phoneticPr fontId="7" type="noConversion"/>
  </si>
  <si>
    <r>
      <t>m_sand = 20 g, V_water = 15 mL, V_flask = 100 mL, RS =130 rpm, D_pellet = 0.955 g/cm</t>
    </r>
    <r>
      <rPr>
        <vertAlign val="superscript"/>
        <sz val="12"/>
        <rFont val="Arial"/>
        <family val="2"/>
      </rPr>
      <t>3</t>
    </r>
    <phoneticPr fontId="7" type="noConversion"/>
  </si>
  <si>
    <t>Sphere, d = 4.430 μm</t>
    <phoneticPr fontId="7" type="noConversion"/>
  </si>
  <si>
    <t>D-HDPE-03</t>
    <phoneticPr fontId="7" type="noConversion"/>
  </si>
  <si>
    <t>Sharma (2024)</t>
    <phoneticPr fontId="7" type="noConversion"/>
  </si>
  <si>
    <t>Film, 2 cm × 2 cm × 0.05 mm</t>
    <phoneticPr fontId="7" type="noConversion"/>
  </si>
  <si>
    <t>RS = 180 rpm, V_medium = 100 mL</t>
    <phoneticPr fontId="7" type="noConversion"/>
  </si>
  <si>
    <t>V_flask = 250 mL, r_flask = 4 cm</t>
    <phoneticPr fontId="7" type="noConversion"/>
  </si>
  <si>
    <t>Song (2022)</t>
    <phoneticPr fontId="7" type="noConversion"/>
  </si>
  <si>
    <t>Block, 5 cm × 3 cm × 0.48 cm</t>
    <phoneticPr fontId="7" type="noConversion"/>
  </si>
  <si>
    <t>F-LDPE-02</t>
  </si>
  <si>
    <t>Sphere, d = 4.613 μm</t>
    <phoneticPr fontId="7" type="noConversion"/>
  </si>
  <si>
    <t>Rad (2022)</t>
  </si>
  <si>
    <t>Sphere, d = 338 μm</t>
    <phoneticPr fontId="7" type="noConversion"/>
  </si>
  <si>
    <t>RS = 160 rpm, V_medium = 20 mL, D_particle= 0.92 g/mL</t>
    <phoneticPr fontId="7" type="noConversion"/>
  </si>
  <si>
    <t>V_flask = 100 mL, r_flask = 3 cm</t>
    <phoneticPr fontId="7" type="noConversion"/>
  </si>
  <si>
    <t>Hou (2022)</t>
    <phoneticPr fontId="7" type="noConversion"/>
  </si>
  <si>
    <t>Sheet, 1.5 cm × 1 cm × 0.008 mm</t>
    <phoneticPr fontId="7" type="noConversion"/>
  </si>
  <si>
    <r>
      <t>RS = 180 rpm, V_flask = 50 mL, V_medium = 30 mL, D_sheet = 0.92 g/cm</t>
    </r>
    <r>
      <rPr>
        <vertAlign val="superscript"/>
        <sz val="12"/>
        <rFont val="Arial"/>
        <family val="2"/>
      </rPr>
      <t>3</t>
    </r>
    <phoneticPr fontId="7" type="noConversion"/>
  </si>
  <si>
    <t>r_flask = 2.5 cm</t>
    <phoneticPr fontId="7" type="noConversion"/>
  </si>
  <si>
    <t>Gupta (2020)</t>
    <phoneticPr fontId="7" type="noConversion"/>
  </si>
  <si>
    <t>Film, 3 cm × 3 cm × 0.05 mm</t>
    <phoneticPr fontId="7" type="noConversion"/>
  </si>
  <si>
    <t>Kavitha (2021)</t>
  </si>
  <si>
    <t>Film, 3 cm × 3 cm × 0.02 mm</t>
    <phoneticPr fontId="7" type="noConversion"/>
  </si>
  <si>
    <t>D-LDPE-08</t>
  </si>
  <si>
    <t>Sphere, d = 4.040 μm</t>
    <phoneticPr fontId="7" type="noConversion"/>
  </si>
  <si>
    <t>Film, 4 mm × 4 mm × 0.02 mm</t>
    <phoneticPr fontId="7" type="noConversion"/>
  </si>
  <si>
    <r>
      <t>RS = 120 rpm, V_flask = 250 mL, V_medium = 100 mL, D_film = 0.94 g/cm</t>
    </r>
    <r>
      <rPr>
        <vertAlign val="superscript"/>
        <sz val="12"/>
        <rFont val="Arial"/>
        <family val="2"/>
      </rPr>
      <t>3</t>
    </r>
    <phoneticPr fontId="7" type="noConversion"/>
  </si>
  <si>
    <t>Sphere, d = 75 μm</t>
    <phoneticPr fontId="7" type="noConversion"/>
  </si>
  <si>
    <t>RS = 150 rpm, V_medium = 300 mL, D_particle= 0.94 g/mL</t>
    <phoneticPr fontId="7" type="noConversion"/>
  </si>
  <si>
    <t>Zhu (2020)</t>
    <phoneticPr fontId="7" type="noConversion"/>
  </si>
  <si>
    <t>Cuboid, average size = 3.08 mm</t>
    <phoneticPr fontId="7" type="noConversion"/>
  </si>
  <si>
    <t>F-PVC-01</t>
    <phoneticPr fontId="7" type="noConversion"/>
  </si>
  <si>
    <t>Sphere, d = 3.8 ~ 4.2 mm (4.0 mm)</t>
    <phoneticPr fontId="7" type="noConversion"/>
  </si>
  <si>
    <r>
      <t>m_sand = 20 g, V_water = 15 mL, V_flask = 100 mL, RS =130 rpm, D_pellet = 1.560 g/cm</t>
    </r>
    <r>
      <rPr>
        <vertAlign val="superscript"/>
        <sz val="12"/>
        <rFont val="Arial"/>
        <family val="2"/>
      </rPr>
      <t>3</t>
    </r>
    <phoneticPr fontId="7" type="noConversion"/>
  </si>
  <si>
    <t>D-PVC-01</t>
    <phoneticPr fontId="7" type="noConversion"/>
  </si>
  <si>
    <t>D-PVC-02</t>
  </si>
  <si>
    <t>Sphere, d = 338 μm</t>
  </si>
  <si>
    <t>RS =160 rpm, V_medium = 20 mL, D_particle= 0.54 g/mL</t>
    <phoneticPr fontId="7" type="noConversion"/>
  </si>
  <si>
    <t>Wang (2014)</t>
    <phoneticPr fontId="7" type="noConversion"/>
  </si>
  <si>
    <t>Film, 4 cm × 4 cm × 0.04 mm</t>
    <phoneticPr fontId="7" type="noConversion"/>
  </si>
  <si>
    <t>D-PLA-01</t>
    <phoneticPr fontId="7" type="noConversion"/>
  </si>
  <si>
    <t>Boonluksiri (2021)</t>
  </si>
  <si>
    <t>Sheet, 3 cm × 2 cm × 0.4 mm</t>
    <phoneticPr fontId="7" type="noConversion"/>
  </si>
  <si>
    <t>D-PLA-02</t>
  </si>
  <si>
    <t>Mistry (2022)</t>
    <phoneticPr fontId="7" type="noConversion"/>
  </si>
  <si>
    <t>Film, 2.5 cm × 2 cm × 0.035 mm</t>
    <phoneticPr fontId="7" type="noConversion"/>
  </si>
  <si>
    <t>RS =120 rpm, V_medium = 25 mL, V_flask = 50 mL, D_film= 1.24 g/mL</t>
    <phoneticPr fontId="7" type="noConversion"/>
  </si>
  <si>
    <t>D-PLA-03</t>
  </si>
  <si>
    <t>D-PLA-04</t>
  </si>
  <si>
    <t>Yottakot (2019)</t>
  </si>
  <si>
    <t>Film, 1 cm × 1 cm × 0.05 mm</t>
    <phoneticPr fontId="7" type="noConversion"/>
  </si>
  <si>
    <t>F-PA-01</t>
  </si>
  <si>
    <t>Pfohl (2022)</t>
    <phoneticPr fontId="7" type="noConversion"/>
  </si>
  <si>
    <t>D-PA-01</t>
    <phoneticPr fontId="7" type="noConversion"/>
  </si>
  <si>
    <t>Fiber, l = 1.453 mm, d = 0.01 mm</t>
    <phoneticPr fontId="7" type="noConversion"/>
  </si>
  <si>
    <t>D-PA-02</t>
  </si>
  <si>
    <t>F-PU-01</t>
    <phoneticPr fontId="7" type="noConversion"/>
  </si>
  <si>
    <t>F-PU-02</t>
  </si>
  <si>
    <r>
      <t>s [cm</t>
    </r>
    <r>
      <rPr>
        <b/>
        <vertAlign val="superscript"/>
        <sz val="12"/>
        <color theme="5"/>
        <rFont val="Arial"/>
        <family val="2"/>
      </rPr>
      <t>-1</t>
    </r>
    <r>
      <rPr>
        <b/>
        <sz val="12"/>
        <color theme="5"/>
        <rFont val="Arial"/>
        <family val="2"/>
      </rPr>
      <t>]</t>
    </r>
    <phoneticPr fontId="7" type="noConversion"/>
  </si>
  <si>
    <r>
      <t>I_j [W/m</t>
    </r>
    <r>
      <rPr>
        <b/>
        <vertAlign val="superscript"/>
        <sz val="12"/>
        <color theme="5"/>
        <rFont val="Arial"/>
        <family val="2"/>
      </rPr>
      <t>2</t>
    </r>
    <r>
      <rPr>
        <b/>
        <sz val="12"/>
        <color theme="5"/>
        <rFont val="Arial"/>
        <family val="2"/>
      </rPr>
      <t>]</t>
    </r>
    <phoneticPr fontId="7" type="noConversion"/>
  </si>
  <si>
    <t>UV</t>
    <phoneticPr fontId="7" type="noConversion"/>
  </si>
  <si>
    <t>Not available</t>
  </si>
  <si>
    <r>
      <t>10 pellets (V = 19 mm</t>
    </r>
    <r>
      <rPr>
        <vertAlign val="superscript"/>
        <sz val="12"/>
        <color theme="1"/>
        <rFont val="Arial"/>
        <family val="2"/>
      </rPr>
      <t>3</t>
    </r>
    <r>
      <rPr>
        <sz val="12"/>
        <color theme="1"/>
        <rFont val="Arial"/>
        <family val="2"/>
      </rPr>
      <t>)</t>
    </r>
    <phoneticPr fontId="7" type="noConversion"/>
  </si>
  <si>
    <t>Sphere</t>
    <phoneticPr fontId="7" type="noConversion"/>
  </si>
  <si>
    <t>6 months</t>
  </si>
  <si>
    <t>2-month MA following 180 d and 360 d UV exposure has led to the same weight loss (FRAG) of plastics. Mass loss (180 d; 360 d): 1.2%, 2.1%.</t>
    <phoneticPr fontId="7" type="noConversion"/>
  </si>
  <si>
    <t>F-PP-02</t>
    <phoneticPr fontId="7" type="noConversion"/>
  </si>
  <si>
    <t>Reported</t>
  </si>
  <si>
    <t>1 block (5 cm × 3 cm × 0.45 cm)</t>
  </si>
  <si>
    <t>180 days</t>
  </si>
  <si>
    <t xml:space="preserve">GPs: 2.10E+05 (1.8 μm) + 2.70E+07 (236 nm). GPs (control): 2.10E+03 (4.4 μm) + 8.00E+05 (323 nm).. </t>
    <phoneticPr fontId="7" type="noConversion"/>
  </si>
  <si>
    <t>F-PP-03</t>
    <phoneticPr fontId="7" type="noConversion"/>
  </si>
  <si>
    <t>1 sheet (5 cm × 1.5 cm × 1 mm)</t>
  </si>
  <si>
    <t>176 days</t>
  </si>
  <si>
    <t>Half the water was removed to assess the GPs from FRAG by UV only. GPs: 7.50E+05 (1.9 μm) + 2.70E+07 (296 nm). GPs (control): 3.60E+05 (1.7 μm) + 1.30E+07 (281 nm).</t>
    <phoneticPr fontId="7" type="noConversion"/>
  </si>
  <si>
    <t>F-PP-04</t>
    <phoneticPr fontId="7" type="noConversion"/>
  </si>
  <si>
    <t>MS</t>
    <phoneticPr fontId="7" type="noConversion"/>
  </si>
  <si>
    <t>2 months</t>
  </si>
  <si>
    <t>–</t>
    <phoneticPr fontId="7" type="noConversion"/>
  </si>
  <si>
    <t>Accounted for</t>
  </si>
  <si>
    <t>30 seconds</t>
  </si>
  <si>
    <t>The remaining half + the plastic item was used to assess the GPs from FRAG by UV followed by MA. GPs: 2.50E+06 (1.3 μm) + 1.10E+08 (253 nm). The effect of impurities has already been accounted for through subtraction.</t>
    <phoneticPr fontId="7" type="noConversion"/>
  </si>
  <si>
    <t>1 fragment (2 cm × 2 cm × 0.5 mm)</t>
    <phoneticPr fontId="7" type="noConversion"/>
  </si>
  <si>
    <t>24 hours</t>
  </si>
  <si>
    <t>Thickness of the fragment assumed (cut from single-use beverage cups): 0.5 mm.</t>
    <phoneticPr fontId="7" type="noConversion"/>
  </si>
  <si>
    <t>25 sheets (4 mm × 4 mm × 0.5 mm)</t>
    <phoneticPr fontId="7" type="noConversion"/>
  </si>
  <si>
    <t>Sheet</t>
    <phoneticPr fontId="7" type="noConversion"/>
  </si>
  <si>
    <t>30 days</t>
    <phoneticPr fontId="7" type="noConversion"/>
  </si>
  <si>
    <t>Thickness of the fragment assumed (cut from disposable deli containers): 0.5 mm. GPs: 11.67 million/g in 0.15 g (0.76524 μm).</t>
    <phoneticPr fontId="7" type="noConversion"/>
  </si>
  <si>
    <t>Thickness of the fragment assumed (cut from disposable deli containers): 0.5 mm. GPs: 96.34 million/g in 0.15 g (0.53576 μm).</t>
    <phoneticPr fontId="7" type="noConversion"/>
  </si>
  <si>
    <t>55.2 pellets (d = 4 mm)</t>
  </si>
  <si>
    <r>
      <t>Mass of GPs = 0.00447 g. PP pellets have a diameter of 4 mm and a density of 0.910 g/cm</t>
    </r>
    <r>
      <rPr>
        <vertAlign val="superscript"/>
        <sz val="12"/>
        <color theme="1"/>
        <rFont val="Arial"/>
        <family val="2"/>
      </rPr>
      <t>3</t>
    </r>
    <r>
      <rPr>
        <sz val="12"/>
        <color theme="1"/>
        <rFont val="Arial"/>
        <family val="2"/>
      </rPr>
      <t>. At first, 100 pellets were added to each flask, while 5 pellets were taken from each flask after exposure of 1, 2, 3, 4, 6 weeks and 2, 3, 4, 6, 9, 12, 15 months (equals to 55.2 pellets exposed from beginning to end).</t>
    </r>
    <phoneticPr fontId="7" type="noConversion"/>
  </si>
  <si>
    <t>Uses the data from the "Baltic Sea" scenario in order to be consistent (across the five polymers)!</t>
    <phoneticPr fontId="7" type="noConversion"/>
  </si>
  <si>
    <t>2-month MA following 0 d and 60 d UV exposure has led to the same weight loss (DEGR) of plastics. Mass loss (0 d; 60 d): 1.6%, 4.2%.</t>
    <phoneticPr fontId="7" type="noConversion"/>
  </si>
  <si>
    <t>2 months</t>
    <phoneticPr fontId="7" type="noConversion"/>
  </si>
  <si>
    <t>pellets (d = 3.079 μm)</t>
    <phoneticPr fontId="7" type="noConversion"/>
  </si>
  <si>
    <t>1 year</t>
  </si>
  <si>
    <t>Aging in duplicates. Mass variation (outdoor; indoor): 18.52% and 1.34%; 0.39% and 0.04%.</t>
    <phoneticPr fontId="7" type="noConversion"/>
  </si>
  <si>
    <t>MC</t>
    <phoneticPr fontId="7" type="noConversion"/>
  </si>
  <si>
    <t>particles (d = 2.4 mm)</t>
    <phoneticPr fontId="7" type="noConversion"/>
  </si>
  <si>
    <t>40 days</t>
    <phoneticPr fontId="7" type="noConversion"/>
  </si>
  <si>
    <t>Weight loss for Bacillus sp.: 4.0%, for Rhodococcus sp.: 6.4% (take the average value).</t>
    <phoneticPr fontId="7" type="noConversion"/>
  </si>
  <si>
    <t>particles (d = 200 μm)</t>
    <phoneticPr fontId="7" type="noConversion"/>
  </si>
  <si>
    <t>The grated plastic obtained was passed through a 250 μm sieve to screen large debris. Thus, we assume PP microplastics have a spherical shape and an average diameter of 200 μm.</t>
    <phoneticPr fontId="7" type="noConversion"/>
  </si>
  <si>
    <t>pellets (d = 2.5 mm)</t>
    <phoneticPr fontId="7" type="noConversion"/>
  </si>
  <si>
    <t>140 days</t>
    <phoneticPr fontId="7" type="noConversion"/>
  </si>
  <si>
    <t>Weight loss is the average of eight values that corresponding to eight different isolates (refer to the paper for details).</t>
    <phoneticPr fontId="7" type="noConversion"/>
  </si>
  <si>
    <t>Wichatham (2024)</t>
  </si>
  <si>
    <t>3 fragments (1 cm × 1 cm × 0.5 mm)</t>
    <phoneticPr fontId="7" type="noConversion"/>
  </si>
  <si>
    <t>90 days</t>
    <phoneticPr fontId="7" type="noConversion"/>
  </si>
  <si>
    <t>Jeon (2021)</t>
  </si>
  <si>
    <t>1 film (15 cm × 15 cm × 0.05 mm)</t>
    <phoneticPr fontId="7" type="noConversion"/>
  </si>
  <si>
    <t>28 days</t>
    <phoneticPr fontId="7" type="noConversion"/>
  </si>
  <si>
    <t>Thickness of the packaging film assumed: 0.05 mm. Weight loss (in triplicates): 3.11%, 3.77%, 2.47%.</t>
    <phoneticPr fontId="7" type="noConversion"/>
  </si>
  <si>
    <t>UV+MC</t>
    <phoneticPr fontId="7" type="noConversion"/>
  </si>
  <si>
    <t>240 particles (d = 2.75 mm)</t>
  </si>
  <si>
    <t>54 days</t>
  </si>
  <si>
    <t>The value of SA:V is given in the article.</t>
    <phoneticPr fontId="7" type="noConversion"/>
  </si>
  <si>
    <t xml:space="preserve"> </t>
  </si>
  <si>
    <t>40 pellets (d = 4 mm)</t>
  </si>
  <si>
    <t>Weight of the 40 pellets before and after exposure: 0.02610 g, 0.02483 g. Weight loss_FRAG see F-PP-06.</t>
    <phoneticPr fontId="7" type="noConversion"/>
  </si>
  <si>
    <t>films (1 cm × 1 cm × 0.03 mm)</t>
    <phoneticPr fontId="7" type="noConversion"/>
  </si>
  <si>
    <t>1 block (5 cm × 3 cm × 0.4 cm)</t>
  </si>
  <si>
    <t>GPs: 2.60E+04 (1.6 μm) + 1.30E+07 (166 nm). GPs (control): 8.80E+02 (3.0 μm) + 5.80E+05 (201 nm).</t>
    <phoneticPr fontId="7" type="noConversion"/>
  </si>
  <si>
    <t>1 sheet (1 cm × 1 cm × 0.5 mm)</t>
    <phoneticPr fontId="7" type="noConversion"/>
  </si>
  <si>
    <t>56 days</t>
  </si>
  <si>
    <t>GPs: 1.26E+08 particles/ml (224 nm). GPs (control): 0.41E+08 particles/ml (216 nm). 20 ml water was added to the glass vial.</t>
    <phoneticPr fontId="7" type="noConversion"/>
  </si>
  <si>
    <t>1 powder layer (h = 0.7 mm)</t>
    <phoneticPr fontId="7" type="noConversion"/>
  </si>
  <si>
    <t>2000 hours</t>
    <phoneticPr fontId="7" type="noConversion"/>
  </si>
  <si>
    <t>Assuming the length and width of the powder layer is much greater than its height.</t>
    <phoneticPr fontId="7" type="noConversion"/>
  </si>
  <si>
    <t>Thickness of the fragment assumed (cut from disposable plates): 0.5 mm.</t>
    <phoneticPr fontId="7" type="noConversion"/>
  </si>
  <si>
    <t>Same study &amp; same setup regarding the mechanical stress but without bacterial inoculation.</t>
    <phoneticPr fontId="7" type="noConversion"/>
  </si>
  <si>
    <t>55.2 pellets (d = 3.5 mm)</t>
  </si>
  <si>
    <r>
      <t>Mass of GPs = 0.00056 g. PS pellets have a diameter of 3.5 mm and a density of 1.050 g/cm</t>
    </r>
    <r>
      <rPr>
        <vertAlign val="superscript"/>
        <sz val="12"/>
        <color theme="1"/>
        <rFont val="Arial"/>
        <family val="2"/>
      </rPr>
      <t>3</t>
    </r>
    <r>
      <rPr>
        <sz val="12"/>
        <color theme="1"/>
        <rFont val="Arial"/>
        <family val="2"/>
      </rPr>
      <t>. 55.2 pellets were exposed from beginning to end (the same as F-PP-06).</t>
    </r>
    <phoneticPr fontId="7" type="noConversion"/>
  </si>
  <si>
    <t>fragments (3.361 μm)</t>
    <phoneticPr fontId="7" type="noConversion"/>
  </si>
  <si>
    <t>PS fragments have a rectangular shape (assume size = length = width = 3 × height). Aging in duplicates. Mass variation (outdoor; indoor): 3.36% and 3.08%; 0.06% and 0.29%.</t>
    <phoneticPr fontId="7" type="noConversion"/>
  </si>
  <si>
    <t>1 film (8 cm × 1.5 cm × 196 μm)</t>
  </si>
  <si>
    <t>9 hours</t>
  </si>
  <si>
    <r>
      <t>First-order DEGR rate calculated and directly provided by the authors: 9.7E-06 h</t>
    </r>
    <r>
      <rPr>
        <vertAlign val="superscript"/>
        <sz val="12"/>
        <color theme="1"/>
        <rFont val="Arial"/>
        <family val="2"/>
      </rPr>
      <t>-1</t>
    </r>
    <r>
      <rPr>
        <sz val="12"/>
        <color theme="1"/>
        <rFont val="Arial"/>
        <family val="2"/>
      </rPr>
      <t>.</t>
    </r>
    <phoneticPr fontId="7" type="noConversion"/>
  </si>
  <si>
    <t>1 film (8 cm × 1.5 cm × 56 μm)</t>
  </si>
  <si>
    <t>12 hours</t>
  </si>
  <si>
    <r>
      <t>First-order DEGR rate calculated and directly provided by the authors: 2.9E-05 h</t>
    </r>
    <r>
      <rPr>
        <vertAlign val="superscript"/>
        <sz val="12"/>
        <color theme="1"/>
        <rFont val="Arial"/>
        <family val="2"/>
      </rPr>
      <t>-1</t>
    </r>
    <r>
      <rPr>
        <sz val="12"/>
        <color theme="1"/>
        <rFont val="Arial"/>
        <family val="2"/>
      </rPr>
      <t>.</t>
    </r>
    <phoneticPr fontId="7" type="noConversion"/>
  </si>
  <si>
    <t>D-PS-04</t>
    <phoneticPr fontId="7" type="noConversion"/>
  </si>
  <si>
    <t>Weight loss for A. xenomutans: 4.5%, for H. titanicae: 1.9% (take the average value).</t>
    <phoneticPr fontId="7" type="noConversion"/>
  </si>
  <si>
    <t>fragments (4 mm × 4 mm × 0.5 mm)</t>
    <phoneticPr fontId="7" type="noConversion"/>
  </si>
  <si>
    <t>Thickness of the fragment assumed (cut from disposable food plates): 0.5 mm.</t>
    <phoneticPr fontId="7" type="noConversion"/>
  </si>
  <si>
    <t>We assume PS microplastics have a spherical shape and an average diameter of 200 μm (the same as D-PP-08). Weight loss for B. cereus: 7.4%, for B. gottheilii: 5.8% (take the average value).</t>
    <phoneticPr fontId="7" type="noConversion"/>
  </si>
  <si>
    <t>D-PS-09</t>
    <phoneticPr fontId="7" type="noConversion"/>
  </si>
  <si>
    <t>40 pellets (d = 3.5 mm)</t>
  </si>
  <si>
    <t>Weight of the 40 pellets before and after exposure: 0.01812 g, 0.01793 g. Weight loss_FRAG see F-PS-02.</t>
    <phoneticPr fontId="7" type="noConversion"/>
  </si>
  <si>
    <r>
      <t>10 pellets (V = 22 mm</t>
    </r>
    <r>
      <rPr>
        <vertAlign val="superscript"/>
        <sz val="12"/>
        <rFont val="Arial"/>
        <family val="2"/>
      </rPr>
      <t>3</t>
    </r>
    <r>
      <rPr>
        <sz val="12"/>
        <rFont val="Arial"/>
        <family val="2"/>
      </rPr>
      <t>)</t>
    </r>
    <phoneticPr fontId="7" type="noConversion"/>
  </si>
  <si>
    <t>2-month MA following 0 d and 60 d UV exposure has led to the same weight loss (FRAG) of plastics. Mass loss (0 d; 60 d): 5.4%, 12%.</t>
    <phoneticPr fontId="7" type="noConversion"/>
  </si>
  <si>
    <t>1 block (3 cm × 3 cm × 2.5 cm)</t>
  </si>
  <si>
    <t>371 days</t>
  </si>
  <si>
    <t>1 block (2 cm × 2 cm × 2 cm)</t>
  </si>
  <si>
    <t>This studys uses sand from beach sediments; however, the microbial concentration is ignored for now!</t>
  </si>
  <si>
    <t>25 sheets (4 mm × 4 mm × 1 mm)</t>
    <phoneticPr fontId="7" type="noConversion"/>
  </si>
  <si>
    <t>Thickness of the fragment assumed (cut from disposable food containers): 1 mm. GPs: 42.22 million/g in 0.025 g (1.42476 μm).</t>
    <phoneticPr fontId="7" type="noConversion"/>
  </si>
  <si>
    <t>10 days</t>
    <phoneticPr fontId="7" type="noConversion"/>
  </si>
  <si>
    <t>Thickness of the fragment assumed (cut from disposable food containers): 1 mm. GPs: 122.38 million/g in 0.025 g (1.23153 μm).</t>
    <phoneticPr fontId="7" type="noConversion"/>
  </si>
  <si>
    <t>2-month MA following 0 d and 60 d UV exposure has led to the same weight loss (FRAG) of plastics. Mass loss (0 d; 60 d): 17%, 53%.</t>
    <phoneticPr fontId="7" type="noConversion"/>
  </si>
  <si>
    <t>240 cuboids (size = 3.32 mm)</t>
    <phoneticPr fontId="7" type="noConversion"/>
  </si>
  <si>
    <t>Cuboid</t>
    <phoneticPr fontId="7" type="noConversion"/>
  </si>
  <si>
    <t>54 days</t>
    <phoneticPr fontId="7" type="noConversion"/>
  </si>
  <si>
    <t>55.2 pellets (d = 3.25 mm)</t>
    <phoneticPr fontId="7" type="noConversion"/>
  </si>
  <si>
    <t>18 months</t>
    <phoneticPr fontId="7" type="noConversion"/>
  </si>
  <si>
    <r>
      <t>Mass of GPs = 0.00007 g. PET pellets have a diameter of 3.25 mm and a density of 1.340 g/cm</t>
    </r>
    <r>
      <rPr>
        <vertAlign val="superscript"/>
        <sz val="12"/>
        <color theme="1"/>
        <rFont val="Arial"/>
        <family val="2"/>
      </rPr>
      <t>3</t>
    </r>
    <r>
      <rPr>
        <sz val="12"/>
        <color theme="1"/>
        <rFont val="Arial"/>
        <family val="2"/>
      </rPr>
      <t>. 55.2 pellets were exposed from beginning to end (the same as F-PP-06).</t>
    </r>
    <phoneticPr fontId="7" type="noConversion"/>
  </si>
  <si>
    <t>fragments (3.525 μm)</t>
    <phoneticPr fontId="7" type="noConversion"/>
  </si>
  <si>
    <t>1 year</t>
    <phoneticPr fontId="7" type="noConversion"/>
  </si>
  <si>
    <t>PET fragments have a rectangular shape (assume size = length = width = 3 × height). Aging in duplicates. Mass variation (outdoor; indoor): 1.58% and 1.51%; 0.04% and 0.76%.</t>
    <phoneticPr fontId="7" type="noConversion"/>
  </si>
  <si>
    <t xml:space="preserve">fibers (l = 1.346 mm, d = 0.01 mm) </t>
    <phoneticPr fontId="7" type="noConversion"/>
  </si>
  <si>
    <t>291 days</t>
    <phoneticPr fontId="7" type="noConversion"/>
  </si>
  <si>
    <t>We assume the change in the fibers's weight equals that of their length, and the fibers' diameter is 0.01 mm. Length (black PET, μm, original, control, exposed): 1303, 1248, 103.2; length (white PET, …): 1388, 1206, 19.07. Take the average value.</t>
    <phoneticPr fontId="7" type="noConversion"/>
  </si>
  <si>
    <t>fragments (4 mm × 4 mm × 0.3 mm)</t>
    <phoneticPr fontId="7" type="noConversion"/>
  </si>
  <si>
    <t>Thickness of the fragment assumed (cut from single-use water bottles): 0.3 mm.</t>
    <phoneticPr fontId="7" type="noConversion"/>
  </si>
  <si>
    <t>We assume PET microplastics have a spherical shape and an average diameter of 200 μm (the same as D-PP-08). Weight loss for B. cereus: 6.6%, for B. gottheilii: 3.0% (take the average value).</t>
    <phoneticPr fontId="7" type="noConversion"/>
  </si>
  <si>
    <t>particles (d = 2 mm)</t>
    <phoneticPr fontId="7" type="noConversion"/>
  </si>
  <si>
    <t>The PET microplastics obtained by grating has a size larger than 1.8 mm but smaller than 2 mm. We assume these microplastics have a spherical shape and an average diameter of 2 mm.</t>
    <phoneticPr fontId="7" type="noConversion"/>
  </si>
  <si>
    <t>We assume the change in the fibers's weight equals that of their length, and the fibers' diameter is 0.01 mm. Length (black PET, μm, original, control, exposed): 1303, 1387, 93.69; length (white PET, …): 1388, 1205, 42.60. Take the average value.</t>
    <phoneticPr fontId="7" type="noConversion"/>
  </si>
  <si>
    <t>Weight of the 40 pellets before and after exposure: 0.01983 g, 0.01922 g. Weight loss_FRAG see F-PET-01.</t>
    <phoneticPr fontId="7" type="noConversion"/>
  </si>
  <si>
    <t>55.2 pellets (d = 4.0 mm)</t>
    <phoneticPr fontId="7" type="noConversion"/>
  </si>
  <si>
    <r>
      <t>Mass of GPs = 0.00020 g. PE pellets have a diameter of 4 mm and a density of 0.955 g/cm</t>
    </r>
    <r>
      <rPr>
        <vertAlign val="superscript"/>
        <sz val="12"/>
        <color theme="1"/>
        <rFont val="Arial"/>
        <family val="2"/>
      </rPr>
      <t>3</t>
    </r>
    <r>
      <rPr>
        <sz val="12"/>
        <color theme="1"/>
        <rFont val="Arial"/>
        <family val="2"/>
      </rPr>
      <t>. 55.2 pellets were exposed from beginning to end (the same as F-PP-06).</t>
    </r>
    <phoneticPr fontId="7" type="noConversion"/>
  </si>
  <si>
    <t>pellets (d = 4.430 μm)</t>
    <phoneticPr fontId="7" type="noConversion"/>
  </si>
  <si>
    <t>Aging in duplicates. Mass variation (outdoor; indoor): 3.53% and 1.21%; 1.67% and 1.11%.</t>
    <phoneticPr fontId="7" type="noConversion"/>
  </si>
  <si>
    <t>films (2 cm × 2 cm × 0.05 mm)</t>
    <phoneticPr fontId="7" type="noConversion"/>
  </si>
  <si>
    <t>Thickness of the film assumed: 0.05 mm.</t>
    <phoneticPr fontId="7" type="noConversion"/>
  </si>
  <si>
    <t>Weight of the 40 pellets before and after exposure: 0.02199 g, 0.02130 g. Weight loss_FRAG see F-PE-01.</t>
    <phoneticPr fontId="7" type="noConversion"/>
  </si>
  <si>
    <t>1 block (5 cm × 3 cm × 0.48 cm)</t>
    <phoneticPr fontId="7" type="noConversion"/>
  </si>
  <si>
    <t>Block</t>
    <phoneticPr fontId="7" type="noConversion"/>
  </si>
  <si>
    <t>180 days</t>
    <phoneticPr fontId="7" type="noConversion"/>
  </si>
  <si>
    <t>GPs: 9.00E+03 (2.2 μm) + 5.40E+06 (154 nm). GPs (control): 2.40E+03 (1.5 μm) + 8.70E+05 (178 nm).</t>
    <phoneticPr fontId="7" type="noConversion"/>
  </si>
  <si>
    <t>pellets (d = 4.613 μm)</t>
    <phoneticPr fontId="7" type="noConversion"/>
  </si>
  <si>
    <t>Aging in duplicates. Mass variation (outdoor; indoor): 3.19% and 11.94%; 0.42% and 6.54%.</t>
    <phoneticPr fontId="7" type="noConversion"/>
  </si>
  <si>
    <t>Rad (2022)</t>
    <phoneticPr fontId="7" type="noConversion"/>
  </si>
  <si>
    <t>particles (d = 338 μm)</t>
    <phoneticPr fontId="7" type="noConversion"/>
  </si>
  <si>
    <t>1 month</t>
    <phoneticPr fontId="7" type="noConversion"/>
  </si>
  <si>
    <t>Size of grounded LDPE pieces: 250~425 μm (assuming spherical shape).</t>
    <phoneticPr fontId="7" type="noConversion"/>
  </si>
  <si>
    <t>sheets (1.5 cm × 1 cm × 0.008 mm)</t>
    <phoneticPr fontId="7" type="noConversion"/>
  </si>
  <si>
    <t>8 weeks</t>
    <phoneticPr fontId="7" type="noConversion"/>
  </si>
  <si>
    <t>Weight loss for P. knackmussii: 5.95%, for P. aeruginosa: 3.62% (take the average value).</t>
    <phoneticPr fontId="7" type="noConversion"/>
  </si>
  <si>
    <t>films (3 cm × 3 cm × 0.05 mm)</t>
    <phoneticPr fontId="7" type="noConversion"/>
  </si>
  <si>
    <t>60 days</t>
    <phoneticPr fontId="7" type="noConversion"/>
  </si>
  <si>
    <t>Kavitha (2021)</t>
    <phoneticPr fontId="7" type="noConversion"/>
  </si>
  <si>
    <t>films (3 cm × 3 cm × 0.02 mm)</t>
    <phoneticPr fontId="7" type="noConversion"/>
  </si>
  <si>
    <t>Weight loss for Bacillus sp. strain PE3: 6.68%, for Bacillus sp. strain PE2: 6.48% (take the average value).</t>
    <phoneticPr fontId="7" type="noConversion"/>
  </si>
  <si>
    <t>Thickness of the packaging film assumed: 0.05 mm. Weight loss (in triplicates): 6.51%, 7.95%, 8.11%.</t>
    <phoneticPr fontId="7" type="noConversion"/>
  </si>
  <si>
    <t>pellets (d = 4.040 μm)</t>
    <phoneticPr fontId="7" type="noConversion"/>
  </si>
  <si>
    <t>Aging in duplicates. Mass variation (outdoor; indoor): 0.69% and 0.79%; 0.3% and 0.26%.</t>
    <phoneticPr fontId="7" type="noConversion"/>
  </si>
  <si>
    <t>D-PE-02</t>
    <phoneticPr fontId="7" type="noConversion"/>
  </si>
  <si>
    <t>fragments (4 mm × 4 mm × 0.02 mm)</t>
    <phoneticPr fontId="7" type="noConversion"/>
  </si>
  <si>
    <t>Thickness of the fragment assumed (cut from shopping bags): 0.02 mm.</t>
    <phoneticPr fontId="7" type="noConversion"/>
  </si>
  <si>
    <t>powder (d = 75 μm)</t>
    <phoneticPr fontId="7" type="noConversion"/>
  </si>
  <si>
    <t>240 cuboids (size = 3.08 mm)</t>
    <phoneticPr fontId="7" type="noConversion"/>
  </si>
  <si>
    <t>PVC</t>
    <phoneticPr fontId="7" type="noConversion"/>
  </si>
  <si>
    <r>
      <t>Mass of GPs = 0.00039 g. PVC pellets have a diameter of 4 mm and a density of 1.560 g/cm</t>
    </r>
    <r>
      <rPr>
        <vertAlign val="superscript"/>
        <sz val="12"/>
        <color theme="1"/>
        <rFont val="Arial"/>
        <family val="2"/>
      </rPr>
      <t>3</t>
    </r>
    <r>
      <rPr>
        <sz val="12"/>
        <color theme="1"/>
        <rFont val="Arial"/>
        <family val="2"/>
      </rPr>
      <t>. 55.2 pellets were exposed from beginning to end (the same as F-PP-06).</t>
    </r>
    <phoneticPr fontId="7" type="noConversion"/>
  </si>
  <si>
    <t>Weight of the 40 pellets before and after exposure: 0.05169 g, 0.05002 g. Weight loss_FRAG see F-PVC-01.</t>
    <phoneticPr fontId="7" type="noConversion"/>
  </si>
  <si>
    <t>Size of grounded PVC pieces: 250~425 μm (assuming spherical shape).</t>
    <phoneticPr fontId="7" type="noConversion"/>
  </si>
  <si>
    <t>1 film (4 cm × 4 cm × 0.04 mm)</t>
    <phoneticPr fontId="7" type="noConversion"/>
  </si>
  <si>
    <t>120 min</t>
    <phoneticPr fontId="7" type="noConversion"/>
  </si>
  <si>
    <t>Boonluksiri (2021)</t>
    <phoneticPr fontId="7" type="noConversion"/>
  </si>
  <si>
    <t>sheets (3 cm × 2 cm × 0.4 mm)</t>
    <phoneticPr fontId="7" type="noConversion"/>
  </si>
  <si>
    <r>
      <t>Biodegradation (%) calculated in terms of CO</t>
    </r>
    <r>
      <rPr>
        <vertAlign val="subscript"/>
        <sz val="12"/>
        <rFont val="Arial"/>
        <family val="2"/>
      </rPr>
      <t>2</t>
    </r>
    <r>
      <rPr>
        <sz val="12"/>
        <rFont val="Arial"/>
        <family val="2"/>
      </rPr>
      <t xml:space="preserve"> production (still use weight loss still since organics were ignored). Soil burial condition.</t>
    </r>
    <phoneticPr fontId="7" type="noConversion"/>
  </si>
  <si>
    <t>D-PLA-02</t>
    <phoneticPr fontId="7" type="noConversion"/>
  </si>
  <si>
    <t>films (2.5 cm × 2 cm × 0.035 mm)</t>
    <phoneticPr fontId="7" type="noConversion"/>
  </si>
  <si>
    <t>35 days</t>
    <phoneticPr fontId="7" type="noConversion"/>
  </si>
  <si>
    <t>Weight loss for S. pavanii EA33: 4.02%, for N. zeae EA12: 2.82% (take the average value).</t>
    <phoneticPr fontId="7" type="noConversion"/>
  </si>
  <si>
    <t>Weight loss for C. jiangningensis EA02: 1.41%, for G. desulfuricans EA63: 0.53% (take the average value).</t>
    <phoneticPr fontId="7" type="noConversion"/>
  </si>
  <si>
    <t>Yottakot (2019)</t>
    <phoneticPr fontId="7" type="noConversion"/>
  </si>
  <si>
    <t>films (1 cm × 1 cm × 0.05 mm)</t>
    <phoneticPr fontId="7" type="noConversion"/>
  </si>
  <si>
    <t>4 weeks</t>
    <phoneticPr fontId="7" type="noConversion"/>
  </si>
  <si>
    <t>Thickness of the film assumed: 0.05 mm (cut from the packaging of dairy products). Species: Streptomyces sp. KKU215.</t>
    <phoneticPr fontId="7" type="noConversion"/>
  </si>
  <si>
    <t>F-PA-01</t>
    <phoneticPr fontId="7" type="noConversion"/>
  </si>
  <si>
    <t>PA-6. Released total mass: 2.235E-09 g, original mass: 4.655E-08 g, released DOC: 46.1 mg/g.</t>
    <phoneticPr fontId="7" type="noConversion"/>
  </si>
  <si>
    <t xml:space="preserve">fibers (l = 1.453 mm, d = 0.01 mm) </t>
    <phoneticPr fontId="7" type="noConversion"/>
  </si>
  <si>
    <t>PA-6. We assume the change in the fibers's weight equals that of their length, and the fibers' diameter is 0.01 mm. Length (original, control group, exposed group): 1453 μm, 1229 μm, 208.9 μm.</t>
    <phoneticPr fontId="7" type="noConversion"/>
  </si>
  <si>
    <t>PA-6. We assume the change in the fibers's weight equals that of their length, and the fibers' diameter is 0.01 mm. Length (original, control group, exposed group): 1453 μm, 1191 μm, 160.9 μm.</t>
    <phoneticPr fontId="7" type="noConversion"/>
  </si>
  <si>
    <t>PU</t>
    <phoneticPr fontId="7" type="noConversion"/>
  </si>
  <si>
    <t>TPU_ether_arom. Assuming the length and width of the powder layer is much greater than its height.</t>
    <phoneticPr fontId="7" type="noConversion"/>
  </si>
  <si>
    <t>TPU_ether_arom. Released total mass: 1.465E-07 g, original mass: 8.730E-06 g, released DOC: 15.6 mg/g.</t>
    <phoneticPr fontId="7" type="noConversion"/>
  </si>
  <si>
    <t>Polymer (FRAG)</t>
    <phoneticPr fontId="7" type="noConversion"/>
  </si>
  <si>
    <t>Polymer (DEGR)</t>
    <phoneticPr fontId="7" type="noConversion"/>
  </si>
  <si>
    <t>Air</t>
    <phoneticPr fontId="7" type="noConversion"/>
  </si>
  <si>
    <t>Beach</t>
    <phoneticPr fontId="7" type="noConversion"/>
  </si>
  <si>
    <t>Parameter</t>
    <phoneticPr fontId="7" type="noConversion"/>
  </si>
  <si>
    <t>HDPE fragmentation</t>
    <phoneticPr fontId="7" type="noConversion"/>
  </si>
  <si>
    <t>a_i</t>
    <phoneticPr fontId="7" type="noConversion"/>
  </si>
  <si>
    <t>delta_i</t>
    <phoneticPr fontId="7" type="noConversion"/>
  </si>
  <si>
    <t>b_i</t>
    <phoneticPr fontId="7" type="noConversion"/>
  </si>
  <si>
    <t>alpha_i</t>
    <phoneticPr fontId="7" type="noConversion"/>
  </si>
  <si>
    <t>beta_i</t>
    <phoneticPr fontId="7" type="noConversion"/>
  </si>
  <si>
    <t>Rel. uncertainty (%)</t>
    <phoneticPr fontId="7" type="noConversion"/>
  </si>
  <si>
    <t>HDPE degradation</t>
    <phoneticPr fontId="7" type="noConversion"/>
  </si>
  <si>
    <t>Process</t>
    <phoneticPr fontId="7" type="noConversion"/>
  </si>
  <si>
    <t>x_i</t>
    <phoneticPr fontId="7" type="noConversion"/>
  </si>
  <si>
    <t>tau_i</t>
    <phoneticPr fontId="7" type="noConversion"/>
  </si>
  <si>
    <t>theta_i</t>
    <phoneticPr fontId="7" type="noConversion"/>
  </si>
  <si>
    <t>z_i</t>
    <phoneticPr fontId="7" type="noConversion"/>
  </si>
  <si>
    <t>eta_i</t>
    <phoneticPr fontId="7" type="noConversion"/>
  </si>
  <si>
    <t>LDPE fragmentation</t>
    <phoneticPr fontId="7" type="noConversion"/>
  </si>
  <si>
    <t>LDPE degradation</t>
    <phoneticPr fontId="7" type="noConversion"/>
  </si>
  <si>
    <t>PE fragmentation</t>
    <phoneticPr fontId="7" type="noConversion"/>
  </si>
  <si>
    <t>PE degradation</t>
    <phoneticPr fontId="7" type="noConversion"/>
  </si>
  <si>
    <t>PP fragmentation</t>
    <phoneticPr fontId="7" type="noConversion"/>
  </si>
  <si>
    <t>PP degradation</t>
    <phoneticPr fontId="7" type="noConversion"/>
  </si>
  <si>
    <t>PS fragmentation</t>
    <phoneticPr fontId="7" type="noConversion"/>
  </si>
  <si>
    <t>PS degradation</t>
    <phoneticPr fontId="7" type="noConversion"/>
  </si>
  <si>
    <t>EPS fragmentation</t>
    <phoneticPr fontId="7" type="noConversion"/>
  </si>
  <si>
    <t>EPS degradation</t>
    <phoneticPr fontId="7" type="noConversion"/>
  </si>
  <si>
    <t>PET fragmentation</t>
    <phoneticPr fontId="7" type="noConversion"/>
  </si>
  <si>
    <t>PET degradation</t>
    <phoneticPr fontId="7" type="noConversion"/>
  </si>
  <si>
    <t>PVC fragmentation</t>
    <phoneticPr fontId="7" type="noConversion"/>
  </si>
  <si>
    <t>PVC degradation</t>
    <phoneticPr fontId="7" type="noConversion"/>
  </si>
  <si>
    <t>PLA fragmentation</t>
    <phoneticPr fontId="7" type="noConversion"/>
  </si>
  <si>
    <t>PLA degradation</t>
    <phoneticPr fontId="7" type="noConversion"/>
  </si>
  <si>
    <t>PA fragmentation</t>
    <phoneticPr fontId="7" type="noConversion"/>
  </si>
  <si>
    <t>PA degradation</t>
    <phoneticPr fontId="7" type="noConversion"/>
  </si>
  <si>
    <t>Standard deviation</t>
    <phoneticPr fontId="7" type="noConversion"/>
  </si>
  <si>
    <t>F-EPS-01</t>
    <phoneticPr fontId="7" type="noConversion"/>
  </si>
  <si>
    <t>F-EPS-02</t>
  </si>
  <si>
    <t>F-EPS-05</t>
  </si>
  <si>
    <t>Degradation of PE</t>
    <phoneticPr fontId="7" type="noConversion"/>
  </si>
  <si>
    <t>Artificial UV</t>
    <phoneticPr fontId="7" type="noConversion"/>
  </si>
  <si>
    <t>Shear force</t>
    <phoneticPr fontId="7" type="noConversion"/>
  </si>
  <si>
    <t>Kumari (2019)</t>
    <phoneticPr fontId="7" type="noConversion"/>
  </si>
  <si>
    <t>films (1 cm × 1 cm × 0.01 mm)</t>
    <phoneticPr fontId="7" type="noConversion"/>
  </si>
  <si>
    <t>Film, 1 cm × 1 cm × 0.01 mm</t>
    <phoneticPr fontId="7" type="noConversion"/>
  </si>
  <si>
    <t>RS = 180 rpm, V_medium = 30 mL, V_tube = 50 mL</t>
    <phoneticPr fontId="7" type="noConversion"/>
  </si>
  <si>
    <t>r_tube = 1.5 cm</t>
    <phoneticPr fontId="7" type="noConversion"/>
  </si>
  <si>
    <t>D-HDPE-07</t>
  </si>
  <si>
    <t>D-PVC-02</t>
    <phoneticPr fontId="7" type="noConversion"/>
  </si>
  <si>
    <t>D-PVC-04</t>
    <phoneticPr fontId="7" type="noConversion"/>
  </si>
  <si>
    <t>D-PVC-03</t>
  </si>
  <si>
    <t>UV pretreatment (20 min)</t>
    <phoneticPr fontId="7" type="noConversion"/>
  </si>
  <si>
    <t>films (1 cm × 1 cm × 0.2 mm)</t>
    <phoneticPr fontId="7" type="noConversion"/>
  </si>
  <si>
    <t>Film, 1 cm × 1 cm × 0.2 mm</t>
    <phoneticPr fontId="7" type="noConversion"/>
  </si>
  <si>
    <t>Original article written in Chinese</t>
    <phoneticPr fontId="7" type="noConversion"/>
  </si>
  <si>
    <r>
      <t>t</t>
    </r>
    <r>
      <rPr>
        <b/>
        <vertAlign val="subscript"/>
        <sz val="12"/>
        <color theme="1"/>
        <rFont val="Arial"/>
        <family val="2"/>
      </rPr>
      <t>total</t>
    </r>
    <r>
      <rPr>
        <b/>
        <sz val="12"/>
        <color theme="1"/>
        <rFont val="Arial"/>
        <family val="2"/>
      </rPr>
      <t xml:space="preserve"> [yr]</t>
    </r>
    <phoneticPr fontId="7" type="noConversion"/>
  </si>
  <si>
    <r>
      <t>t</t>
    </r>
    <r>
      <rPr>
        <b/>
        <vertAlign val="subscript"/>
        <sz val="12"/>
        <color theme="1"/>
        <rFont val="Arial"/>
        <family val="2"/>
      </rPr>
      <t>macro</t>
    </r>
    <r>
      <rPr>
        <b/>
        <sz val="12"/>
        <color theme="1"/>
        <rFont val="Arial"/>
        <family val="2"/>
      </rPr>
      <t xml:space="preserve"> [yr]</t>
    </r>
    <phoneticPr fontId="7" type="noConversion"/>
  </si>
  <si>
    <r>
      <t>k</t>
    </r>
    <r>
      <rPr>
        <b/>
        <vertAlign val="subscript"/>
        <sz val="12"/>
        <color theme="1"/>
        <rFont val="Arial"/>
        <family val="2"/>
      </rPr>
      <t>frag</t>
    </r>
    <r>
      <rPr>
        <b/>
        <sz val="12"/>
        <color theme="1"/>
        <rFont val="Arial"/>
        <family val="2"/>
      </rPr>
      <t>_LL [d</t>
    </r>
    <r>
      <rPr>
        <b/>
        <vertAlign val="superscript"/>
        <sz val="12"/>
        <color theme="1"/>
        <rFont val="Arial"/>
        <family val="2"/>
      </rPr>
      <t>-1</t>
    </r>
    <r>
      <rPr>
        <b/>
        <sz val="12"/>
        <color theme="1"/>
        <rFont val="Arial"/>
        <family val="2"/>
      </rPr>
      <t>]</t>
    </r>
    <phoneticPr fontId="7" type="noConversion"/>
  </si>
  <si>
    <r>
      <t>k</t>
    </r>
    <r>
      <rPr>
        <b/>
        <vertAlign val="subscript"/>
        <sz val="12"/>
        <color theme="1"/>
        <rFont val="Arial"/>
        <family val="2"/>
      </rPr>
      <t>frag</t>
    </r>
    <r>
      <rPr>
        <b/>
        <sz val="12"/>
        <color theme="1"/>
        <rFont val="Arial"/>
        <family val="2"/>
      </rPr>
      <t>_UL [d</t>
    </r>
    <r>
      <rPr>
        <b/>
        <vertAlign val="superscript"/>
        <sz val="12"/>
        <color theme="1"/>
        <rFont val="Arial"/>
        <family val="2"/>
      </rPr>
      <t>-1</t>
    </r>
    <r>
      <rPr>
        <b/>
        <sz val="12"/>
        <color theme="1"/>
        <rFont val="Arial"/>
        <family val="2"/>
      </rPr>
      <t>]</t>
    </r>
    <phoneticPr fontId="7" type="noConversion"/>
  </si>
  <si>
    <r>
      <t>k</t>
    </r>
    <r>
      <rPr>
        <b/>
        <vertAlign val="subscript"/>
        <sz val="12"/>
        <color theme="1"/>
        <rFont val="Arial"/>
        <family val="2"/>
      </rPr>
      <t>degr</t>
    </r>
    <r>
      <rPr>
        <b/>
        <sz val="12"/>
        <color theme="1"/>
        <rFont val="Arial"/>
        <family val="2"/>
      </rPr>
      <t>_LL[d</t>
    </r>
    <r>
      <rPr>
        <b/>
        <vertAlign val="superscript"/>
        <sz val="12"/>
        <color theme="1"/>
        <rFont val="Arial"/>
        <family val="2"/>
      </rPr>
      <t>-1</t>
    </r>
    <r>
      <rPr>
        <b/>
        <sz val="12"/>
        <color theme="1"/>
        <rFont val="Arial"/>
        <family val="2"/>
      </rPr>
      <t>]</t>
    </r>
    <phoneticPr fontId="7" type="noConversion"/>
  </si>
  <si>
    <r>
      <t>k</t>
    </r>
    <r>
      <rPr>
        <b/>
        <vertAlign val="subscript"/>
        <sz val="12"/>
        <color theme="1"/>
        <rFont val="Arial"/>
        <family val="2"/>
      </rPr>
      <t>degr</t>
    </r>
    <r>
      <rPr>
        <b/>
        <sz val="12"/>
        <color theme="1"/>
        <rFont val="Arial"/>
        <family val="2"/>
      </rPr>
      <t>_UL[d</t>
    </r>
    <r>
      <rPr>
        <b/>
        <vertAlign val="superscript"/>
        <sz val="12"/>
        <color theme="1"/>
        <rFont val="Arial"/>
        <family val="2"/>
      </rPr>
      <t>-1</t>
    </r>
    <r>
      <rPr>
        <b/>
        <sz val="12"/>
        <color theme="1"/>
        <rFont val="Arial"/>
        <family val="2"/>
      </rPr>
      <t>]</t>
    </r>
    <phoneticPr fontId="7" type="noConversion"/>
  </si>
  <si>
    <t>Fragmentation</t>
    <phoneticPr fontId="7" type="noConversion"/>
  </si>
  <si>
    <t>Degradation</t>
    <phoneticPr fontId="7" type="noConversion"/>
  </si>
  <si>
    <t>WSur</t>
    <phoneticPr fontId="7" type="noConversion"/>
  </si>
  <si>
    <t>WCol</t>
    <phoneticPr fontId="7" type="noConversion"/>
  </si>
  <si>
    <t>Sedm</t>
    <phoneticPr fontId="7" type="noConversion"/>
  </si>
  <si>
    <t>240 granules (d = 2 mm)</t>
    <phoneticPr fontId="7" type="noConversion"/>
  </si>
  <si>
    <t>Granule, d = 2 mm</t>
    <phoneticPr fontId="7" type="noConversion"/>
  </si>
  <si>
    <r>
      <t>k_WS_LL [d</t>
    </r>
    <r>
      <rPr>
        <b/>
        <vertAlign val="superscript"/>
        <sz val="12"/>
        <color theme="1"/>
        <rFont val="Arial"/>
        <family val="2"/>
      </rPr>
      <t>-1</t>
    </r>
    <r>
      <rPr>
        <b/>
        <sz val="12"/>
        <color theme="1"/>
        <rFont val="Arial"/>
        <family val="2"/>
      </rPr>
      <t>]</t>
    </r>
    <phoneticPr fontId="7" type="noConversion"/>
  </si>
  <si>
    <r>
      <t>k_WS_UL [d</t>
    </r>
    <r>
      <rPr>
        <b/>
        <vertAlign val="superscript"/>
        <sz val="12"/>
        <color theme="1"/>
        <rFont val="Arial"/>
        <family val="2"/>
      </rPr>
      <t>-1</t>
    </r>
    <r>
      <rPr>
        <b/>
        <sz val="12"/>
        <color theme="1"/>
        <rFont val="Arial"/>
        <family val="2"/>
      </rPr>
      <t>]</t>
    </r>
    <phoneticPr fontId="7" type="noConversion"/>
  </si>
  <si>
    <r>
      <t>t</t>
    </r>
    <r>
      <rPr>
        <b/>
        <vertAlign val="subscript"/>
        <sz val="12"/>
        <color theme="1"/>
        <rFont val="Arial"/>
        <family val="2"/>
      </rPr>
      <t>total</t>
    </r>
    <r>
      <rPr>
        <b/>
        <sz val="12"/>
        <color theme="1"/>
        <rFont val="Arial"/>
        <family val="2"/>
      </rPr>
      <t>_LL [yr]</t>
    </r>
    <phoneticPr fontId="7" type="noConversion"/>
  </si>
  <si>
    <r>
      <t>t</t>
    </r>
    <r>
      <rPr>
        <b/>
        <vertAlign val="subscript"/>
        <sz val="12"/>
        <color theme="1"/>
        <rFont val="Arial"/>
        <family val="2"/>
      </rPr>
      <t>total</t>
    </r>
    <r>
      <rPr>
        <b/>
        <sz val="12"/>
        <color theme="1"/>
        <rFont val="Arial"/>
        <family val="2"/>
      </rPr>
      <t>_UL [yr]</t>
    </r>
    <phoneticPr fontId="7" type="noConversion"/>
  </si>
  <si>
    <t>Ratio</t>
    <phoneticPr fontId="7" type="noConversion"/>
  </si>
  <si>
    <t>Air / Beach</t>
    <phoneticPr fontId="7" type="noConversion"/>
  </si>
  <si>
    <t>Air / WSur</t>
    <phoneticPr fontId="7" type="noConversion"/>
  </si>
  <si>
    <t>Air / Sedm</t>
    <phoneticPr fontId="7" type="noConversion"/>
  </si>
  <si>
    <t>Beach / Sedm</t>
    <phoneticPr fontId="7" type="noConversion"/>
  </si>
  <si>
    <t>WSur / Beach</t>
    <phoneticPr fontId="7" type="noConversion"/>
  </si>
  <si>
    <t>WSur / Sedm</t>
    <phoneticPr fontId="7" type="noConversion"/>
  </si>
  <si>
    <t>WCol / Air</t>
    <phoneticPr fontId="7" type="noConversion"/>
  </si>
  <si>
    <t>WCol / Beach</t>
    <phoneticPr fontId="7" type="noConversion"/>
  </si>
  <si>
    <t>WCol / Sedm</t>
    <phoneticPr fontId="7" type="noConversion"/>
  </si>
  <si>
    <t>Sedm / Air</t>
    <phoneticPr fontId="7" type="noConversion"/>
  </si>
  <si>
    <t>Sedm / Beach</t>
    <phoneticPr fontId="7" type="noConversion"/>
  </si>
  <si>
    <t>Sedm / WSur</t>
    <phoneticPr fontId="7" type="noConversion"/>
  </si>
  <si>
    <t>Sedm / WCol</t>
    <phoneticPr fontId="7" type="noConversion"/>
  </si>
  <si>
    <t>Geom. Mean</t>
    <phoneticPr fontId="7" type="noConversion"/>
  </si>
  <si>
    <t>WSur / WCol</t>
    <phoneticPr fontId="7" type="noConversion"/>
  </si>
  <si>
    <t>WCol / WSur</t>
    <phoneticPr fontId="7" type="noConversion"/>
  </si>
  <si>
    <r>
      <t>k_WC_LL [d</t>
    </r>
    <r>
      <rPr>
        <b/>
        <vertAlign val="superscript"/>
        <sz val="12"/>
        <color theme="1"/>
        <rFont val="Arial"/>
        <family val="2"/>
      </rPr>
      <t>-1</t>
    </r>
    <r>
      <rPr>
        <b/>
        <sz val="12"/>
        <color theme="1"/>
        <rFont val="Arial"/>
        <family val="2"/>
      </rPr>
      <t>]</t>
    </r>
    <phoneticPr fontId="7" type="noConversion"/>
  </si>
  <si>
    <r>
      <t>k_WC_UL [d</t>
    </r>
    <r>
      <rPr>
        <b/>
        <vertAlign val="superscript"/>
        <sz val="12"/>
        <color theme="1"/>
        <rFont val="Arial"/>
        <family val="2"/>
      </rPr>
      <t>-1</t>
    </r>
    <r>
      <rPr>
        <b/>
        <sz val="12"/>
        <color theme="1"/>
        <rFont val="Arial"/>
        <family val="2"/>
      </rPr>
      <t>]</t>
    </r>
    <phoneticPr fontId="7" type="noConversion"/>
  </si>
  <si>
    <r>
      <t>t</t>
    </r>
    <r>
      <rPr>
        <b/>
        <vertAlign val="subscript"/>
        <sz val="12"/>
        <color theme="1"/>
        <rFont val="Arial"/>
        <family val="2"/>
      </rPr>
      <t>macro</t>
    </r>
    <r>
      <rPr>
        <b/>
        <sz val="12"/>
        <color theme="1"/>
        <rFont val="Arial"/>
        <family val="2"/>
      </rPr>
      <t>_LL [yr]</t>
    </r>
    <phoneticPr fontId="7" type="noConversion"/>
  </si>
  <si>
    <r>
      <t>t</t>
    </r>
    <r>
      <rPr>
        <b/>
        <vertAlign val="subscript"/>
        <sz val="12"/>
        <color theme="1"/>
        <rFont val="Arial"/>
        <family val="2"/>
      </rPr>
      <t>macro</t>
    </r>
    <r>
      <rPr>
        <b/>
        <sz val="12"/>
        <color theme="1"/>
        <rFont val="Arial"/>
        <family val="2"/>
      </rPr>
      <t>_UL [yr]</t>
    </r>
    <phoneticPr fontId="7" type="noConversion"/>
  </si>
  <si>
    <t>Food containers</t>
    <phoneticPr fontId="7" type="noConversion"/>
  </si>
  <si>
    <t>Ratio</t>
  </si>
  <si>
    <t>Geom. Mean</t>
  </si>
  <si>
    <t>Residence time (total) [yr]</t>
    <phoneticPr fontId="7" type="noConversion"/>
  </si>
  <si>
    <t>Residence time (macro) [yr]</t>
    <phoneticPr fontId="7" type="noConversion"/>
  </si>
  <si>
    <t>N/A</t>
    <phoneticPr fontId="7" type="noConversion"/>
  </si>
  <si>
    <r>
      <t>r_bottle = 1.5 cm, D_pellet = 0.9 g/cm</t>
    </r>
    <r>
      <rPr>
        <vertAlign val="superscript"/>
        <sz val="12"/>
        <color theme="1"/>
        <rFont val="Arial"/>
        <family val="2"/>
      </rPr>
      <t>3</t>
    </r>
    <phoneticPr fontId="7" type="noConversion"/>
  </si>
  <si>
    <r>
      <t>Abbreviations/symbols and their meanings: CoF–Coefficient of friction, CF–conversion factor, CSA–cross-sectional area, D–density, d–diameter, exp.–experimental, F</t>
    </r>
    <r>
      <rPr>
        <vertAlign val="subscript"/>
        <sz val="12"/>
        <rFont val="Arial"/>
        <family val="2"/>
      </rPr>
      <t>D</t>
    </r>
    <r>
      <rPr>
        <sz val="12"/>
        <rFont val="Arial"/>
        <family val="2"/>
      </rPr>
      <t>–drag force, F</t>
    </r>
    <r>
      <rPr>
        <vertAlign val="subscript"/>
        <sz val="12"/>
        <rFont val="Arial"/>
        <family val="2"/>
      </rPr>
      <t>F</t>
    </r>
    <r>
      <rPr>
        <sz val="12"/>
        <rFont val="Arial"/>
        <family val="2"/>
      </rPr>
      <t>–frictional force, F</t>
    </r>
    <r>
      <rPr>
        <vertAlign val="subscript"/>
        <sz val="12"/>
        <rFont val="Arial"/>
        <family val="2"/>
      </rPr>
      <t>N</t>
    </r>
    <r>
      <rPr>
        <sz val="12"/>
        <rFont val="Arial"/>
        <family val="2"/>
      </rPr>
      <t>–normal force, F</t>
    </r>
    <r>
      <rPr>
        <vertAlign val="subscript"/>
        <sz val="12"/>
        <rFont val="Arial"/>
        <family val="2"/>
      </rPr>
      <t>S</t>
    </r>
    <r>
      <rPr>
        <sz val="12"/>
        <rFont val="Arial"/>
        <family val="2"/>
      </rPr>
      <t>–shear force, h–height, m–mass, P–power, p–proportion, r–radius, RS–rotation speed, RSI–relative spectral irradiance, rpm–revolutions per minute, th–thickness, V–volume, v–velocity, W–work, ω–angular velocity, μ–dynamic viscosity, γ–shear rate, τ–shear stress.</t>
    </r>
    <phoneticPr fontId="7" type="noConversion"/>
  </si>
  <si>
    <r>
      <t>r_bottle = 1.5 cm, D_pellet = 0.015 g/cm</t>
    </r>
    <r>
      <rPr>
        <vertAlign val="superscript"/>
        <sz val="12"/>
        <color theme="1"/>
        <rFont val="Arial"/>
        <family val="2"/>
      </rPr>
      <t>3</t>
    </r>
    <phoneticPr fontId="7" type="noConversion"/>
  </si>
  <si>
    <t>We assume PE powder have a spherical shape. Weight loss for B. cereus: 1.6%, for B. gottheilii: 6.2% (take the average value).</t>
    <phoneticPr fontId="7" type="noConversion"/>
  </si>
  <si>
    <t>D-HDPE-05</t>
    <phoneticPr fontId="7" type="noConversion"/>
  </si>
  <si>
    <t>OD600</t>
    <phoneticPr fontId="7" type="noConversion"/>
  </si>
  <si>
    <t>Assume initial OD600 = 1.0 for the inoculum (with strain AIIW2)</t>
    <phoneticPr fontId="7" type="noConversion"/>
  </si>
  <si>
    <t>Microbial concentration taken from Table S3 (water surface). Assume a microbial removal rate of 90% by the 0.7 μm microfiber filter.</t>
    <phoneticPr fontId="7" type="noConversion"/>
  </si>
  <si>
    <t>UV radiation in natural seawater (MC taken from Table S3_water surface).</t>
    <phoneticPr fontId="7" type="noConversion"/>
  </si>
  <si>
    <t>UV radiation in artificial freshwater (MC assumed to be 0).</t>
    <phoneticPr fontId="7" type="noConversion"/>
  </si>
  <si>
    <t>Shape</t>
    <phoneticPr fontId="7" type="noConversion"/>
  </si>
  <si>
    <t>Irregular</t>
  </si>
  <si>
    <t>Irregular</t>
    <phoneticPr fontId="7" type="noConversion"/>
  </si>
  <si>
    <r>
      <t>Surface area [cm</t>
    </r>
    <r>
      <rPr>
        <b/>
        <vertAlign val="superscript"/>
        <sz val="12"/>
        <color theme="1"/>
        <rFont val="Arial"/>
        <family val="2"/>
      </rPr>
      <t>2</t>
    </r>
    <r>
      <rPr>
        <b/>
        <sz val="12"/>
        <color theme="1"/>
        <rFont val="Arial"/>
        <family val="2"/>
      </rPr>
      <t>]</t>
    </r>
    <phoneticPr fontId="7" type="noConversion"/>
  </si>
  <si>
    <r>
      <t>Volume [cm</t>
    </r>
    <r>
      <rPr>
        <b/>
        <vertAlign val="superscript"/>
        <sz val="12"/>
        <color theme="1"/>
        <rFont val="Arial"/>
        <family val="2"/>
      </rPr>
      <t>3</t>
    </r>
    <r>
      <rPr>
        <b/>
        <sz val="12"/>
        <color theme="1"/>
        <rFont val="Arial"/>
        <family val="2"/>
      </rPr>
      <t>]</t>
    </r>
    <phoneticPr fontId="7" type="noConversion"/>
  </si>
  <si>
    <r>
      <t>Density [g/cm</t>
    </r>
    <r>
      <rPr>
        <b/>
        <vertAlign val="superscript"/>
        <sz val="12"/>
        <color theme="1"/>
        <rFont val="Arial"/>
        <family val="2"/>
      </rPr>
      <t>-3</t>
    </r>
    <r>
      <rPr>
        <b/>
        <sz val="12"/>
        <color theme="1"/>
        <rFont val="Arial"/>
        <family val="2"/>
      </rPr>
      <t>]</t>
    </r>
    <phoneticPr fontId="7" type="noConversion"/>
  </si>
  <si>
    <t>Additional results</t>
    <phoneticPr fontId="7" type="noConversion"/>
  </si>
  <si>
    <t>Micro/Nanoplastics</t>
    <phoneticPr fontId="7" type="noConversion"/>
  </si>
  <si>
    <t>Sunlight (Intensity)</t>
    <phoneticPr fontId="7" type="noConversion"/>
  </si>
  <si>
    <t>Sunlight (UV Index)</t>
    <phoneticPr fontId="7" type="noConversion"/>
  </si>
  <si>
    <t>UV + Sunlight</t>
    <phoneticPr fontId="7" type="noConversion"/>
  </si>
  <si>
    <t>Info on control</t>
  </si>
  <si>
    <t>Info on control</t>
    <phoneticPr fontId="7" type="noConversion"/>
  </si>
  <si>
    <t>Quantification of environmental stresses and weight loss</t>
    <phoneticPr fontId="7" type="noConversion"/>
  </si>
  <si>
    <t>Value</t>
    <phoneticPr fontId="7" type="noConversion"/>
  </si>
  <si>
    <t>Input parameters for calculating P_j</t>
    <phoneticPr fontId="7" type="noConversion"/>
  </si>
  <si>
    <r>
      <t>ρ_air [kg/m</t>
    </r>
    <r>
      <rPr>
        <vertAlign val="superscript"/>
        <sz val="12"/>
        <color theme="1"/>
        <rFont val="Arial"/>
        <family val="2"/>
      </rPr>
      <t>3</t>
    </r>
    <r>
      <rPr>
        <sz val="12"/>
        <color theme="1"/>
        <rFont val="Arial"/>
        <family val="2"/>
      </rPr>
      <t>]</t>
    </r>
    <phoneticPr fontId="7" type="noConversion"/>
  </si>
  <si>
    <r>
      <t>g [m/s</t>
    </r>
    <r>
      <rPr>
        <vertAlign val="superscript"/>
        <sz val="12"/>
        <color theme="1"/>
        <rFont val="Arial"/>
        <family val="2"/>
      </rPr>
      <t>2</t>
    </r>
    <r>
      <rPr>
        <sz val="12"/>
        <color theme="1"/>
        <rFont val="Arial"/>
        <family val="2"/>
      </rPr>
      <t>]</t>
    </r>
    <phoneticPr fontId="7" type="noConversion"/>
  </si>
  <si>
    <t>v_wind [m/s]</t>
    <phoneticPr fontId="7" type="noConversion"/>
  </si>
  <si>
    <t>v_beach [m/s]</t>
    <phoneticPr fontId="7" type="noConversion"/>
  </si>
  <si>
    <r>
      <t>ρ_water [kg/m</t>
    </r>
    <r>
      <rPr>
        <vertAlign val="superscript"/>
        <sz val="12"/>
        <color theme="1"/>
        <rFont val="Arial"/>
        <family val="2"/>
      </rPr>
      <t>3</t>
    </r>
    <r>
      <rPr>
        <sz val="12"/>
        <color theme="1"/>
        <rFont val="Arial"/>
        <family val="2"/>
      </rPr>
      <t>]</t>
    </r>
    <phoneticPr fontId="7" type="noConversion"/>
  </si>
  <si>
    <t>Other parameters</t>
    <phoneticPr fontId="7" type="noConversion"/>
  </si>
  <si>
    <r>
      <t>Drag coefficient (C</t>
    </r>
    <r>
      <rPr>
        <b/>
        <vertAlign val="subscript"/>
        <sz val="12"/>
        <color theme="1"/>
        <rFont val="Arial"/>
        <family val="2"/>
      </rPr>
      <t>d</t>
    </r>
    <r>
      <rPr>
        <b/>
        <sz val="12"/>
        <color theme="1"/>
        <rFont val="Arial"/>
        <family val="2"/>
      </rPr>
      <t>)</t>
    </r>
    <phoneticPr fontId="7" type="noConversion"/>
  </si>
  <si>
    <t>Cube</t>
    <phoneticPr fontId="7" type="noConversion"/>
  </si>
  <si>
    <t>Size class</t>
    <phoneticPr fontId="7" type="noConversion"/>
  </si>
  <si>
    <t>Additional input</t>
    <phoneticPr fontId="7" type="noConversion"/>
  </si>
  <si>
    <t>Additional model input</t>
    <phoneticPr fontId="7" type="noConversion"/>
  </si>
  <si>
    <t>Examples</t>
    <phoneticPr fontId="7" type="noConversion"/>
  </si>
  <si>
    <t>f_C</t>
    <phoneticPr fontId="7" type="noConversion"/>
  </si>
  <si>
    <t>μ_beach [-]</t>
    <phoneticPr fontId="7" type="noConversion"/>
  </si>
  <si>
    <t>Mulching films, fishing nets</t>
    <phoneticPr fontId="7" type="noConversion"/>
  </si>
  <si>
    <t>Large (&gt; 50 cm)</t>
    <phoneticPr fontId="7" type="noConversion"/>
  </si>
  <si>
    <t>(Selece an option)</t>
    <phoneticPr fontId="7" type="noConversion"/>
  </si>
  <si>
    <t>Note: 'Irregular' includes all other unlisted shapes.</t>
    <phoneticPr fontId="7" type="noConversion"/>
  </si>
  <si>
    <t>Topsoil</t>
    <phoneticPr fontId="7" type="noConversion"/>
  </si>
  <si>
    <t>Subsoil</t>
    <phoneticPr fontId="7" type="noConversion"/>
  </si>
  <si>
    <t>μ_topsoil [-]</t>
    <phoneticPr fontId="7" type="noConversion"/>
  </si>
  <si>
    <t>v_topsoil [m/s]</t>
    <phoneticPr fontId="7" type="noConversion"/>
  </si>
  <si>
    <t>D-PE-06</t>
    <phoneticPr fontId="7" type="noConversion"/>
  </si>
  <si>
    <t>D-PE-07</t>
    <phoneticPr fontId="7" type="noConversion"/>
  </si>
  <si>
    <t>He (2025)</t>
    <phoneticPr fontId="7" type="noConversion"/>
  </si>
  <si>
    <t>particles (d = 75 μm)</t>
    <phoneticPr fontId="7" type="noConversion"/>
  </si>
  <si>
    <t>RS = 200 rpm, V_medium = 120 mL</t>
    <phoneticPr fontId="7" type="noConversion"/>
  </si>
  <si>
    <t>Drag force</t>
    <phoneticPr fontId="7" type="noConversion"/>
  </si>
  <si>
    <t>We assume PE particles have a spherical shape. Weight loss calculated by taking the average value for the four strains.</t>
    <phoneticPr fontId="7" type="noConversion"/>
  </si>
  <si>
    <t>Initial OD600 = 0.9, 4% dilution (0.036), ∆OD600 = 0.115</t>
    <phoneticPr fontId="7" type="noConversion"/>
  </si>
  <si>
    <t>D-PE-07</t>
  </si>
  <si>
    <t>Representative environmental stresses in each compartment</t>
    <phoneticPr fontId="7" type="noConversion"/>
  </si>
  <si>
    <t>Aravinthan (2016)</t>
    <phoneticPr fontId="7" type="noConversion"/>
  </si>
  <si>
    <t>V_flask = 50 mL, r_flask = 2.5 cm</t>
    <phoneticPr fontId="7" type="noConversion"/>
  </si>
  <si>
    <t>CFU/ml</t>
    <phoneticPr fontId="7" type="noConversion"/>
  </si>
  <si>
    <t>12 months</t>
    <phoneticPr fontId="7" type="noConversion"/>
  </si>
  <si>
    <t>Assuming the length and width of the powder layer is much greater than its height (HIPS–PS+rubber).</t>
    <phoneticPr fontId="7" type="noConversion"/>
  </si>
  <si>
    <r>
      <t>CFU/cm</t>
    </r>
    <r>
      <rPr>
        <vertAlign val="superscript"/>
        <sz val="12"/>
        <rFont val="Arial"/>
        <family val="2"/>
      </rPr>
      <t>2</t>
    </r>
    <r>
      <rPr>
        <sz val="12"/>
        <rFont val="Arial"/>
        <family val="2"/>
      </rPr>
      <t xml:space="preserve"> provided in the paper (10 cm</t>
    </r>
    <r>
      <rPr>
        <vertAlign val="superscript"/>
        <sz val="12"/>
        <rFont val="Arial"/>
        <family val="2"/>
      </rPr>
      <t>2</t>
    </r>
    <r>
      <rPr>
        <sz val="12"/>
        <rFont val="Arial"/>
        <family val="2"/>
      </rPr>
      <t>, 25 mL).</t>
    </r>
    <phoneticPr fontId="7" type="noConversion"/>
  </si>
  <si>
    <t>TopS</t>
    <phoneticPr fontId="7" type="noConversion"/>
  </si>
  <si>
    <t>SubS</t>
    <phoneticPr fontId="7" type="noConversion"/>
  </si>
  <si>
    <t>Fragmentation of PP</t>
    <phoneticPr fontId="7" type="noConversion"/>
  </si>
  <si>
    <t>Fragmentation of PS</t>
    <phoneticPr fontId="7" type="noConversion"/>
  </si>
  <si>
    <t>Fragmentation of EPS</t>
    <phoneticPr fontId="7" type="noConversion"/>
  </si>
  <si>
    <t>PP, 7.5cm*15cm*0.05mm, film</t>
    <phoneticPr fontId="7" type="noConversion"/>
  </si>
  <si>
    <t>PS, 7.5cm*15cm*0.05mm, film</t>
    <phoneticPr fontId="7" type="noConversion"/>
  </si>
  <si>
    <r>
      <t>k_frag [d</t>
    </r>
    <r>
      <rPr>
        <b/>
        <vertAlign val="superscript"/>
        <sz val="12"/>
        <color theme="1"/>
        <rFont val="Arial"/>
        <family val="2"/>
      </rPr>
      <t>-1</t>
    </r>
    <r>
      <rPr>
        <b/>
        <sz val="12"/>
        <color theme="1"/>
        <rFont val="Arial"/>
        <family val="2"/>
      </rPr>
      <t>]</t>
    </r>
    <phoneticPr fontId="7" type="noConversion"/>
  </si>
  <si>
    <r>
      <t>k_degr [d</t>
    </r>
    <r>
      <rPr>
        <b/>
        <vertAlign val="superscript"/>
        <sz val="12"/>
        <color theme="1"/>
        <rFont val="Arial"/>
        <family val="2"/>
      </rPr>
      <t>-1</t>
    </r>
    <r>
      <rPr>
        <b/>
        <sz val="12"/>
        <color theme="1"/>
        <rFont val="Arial"/>
        <family val="2"/>
      </rPr>
      <t>]</t>
    </r>
    <phoneticPr fontId="7" type="noConversion"/>
  </si>
  <si>
    <t>WL_model [%]</t>
    <phoneticPr fontId="7" type="noConversion"/>
  </si>
  <si>
    <t>WL_reported [%]</t>
    <phoneticPr fontId="7" type="noConversion"/>
  </si>
  <si>
    <r>
      <t>k_F+D_m [d</t>
    </r>
    <r>
      <rPr>
        <b/>
        <vertAlign val="superscript"/>
        <sz val="12"/>
        <color theme="1"/>
        <rFont val="Arial"/>
        <family val="2"/>
      </rPr>
      <t>-1</t>
    </r>
    <r>
      <rPr>
        <b/>
        <sz val="12"/>
        <color theme="1"/>
        <rFont val="Arial"/>
        <family val="2"/>
      </rPr>
      <t>]</t>
    </r>
    <phoneticPr fontId="7" type="noConversion"/>
  </si>
  <si>
    <r>
      <t>k_F+D_r [d</t>
    </r>
    <r>
      <rPr>
        <b/>
        <vertAlign val="superscript"/>
        <sz val="12"/>
        <color theme="1"/>
        <rFont val="Arial"/>
        <family val="2"/>
      </rPr>
      <t>-1</t>
    </r>
    <r>
      <rPr>
        <b/>
        <sz val="12"/>
        <color theme="1"/>
        <rFont val="Arial"/>
        <family val="2"/>
      </rPr>
      <t>]</t>
    </r>
    <phoneticPr fontId="7" type="noConversion"/>
  </si>
  <si>
    <t>h=4cm, d=11cm, th=0.8mm</t>
    <phoneticPr fontId="7" type="noConversion"/>
  </si>
  <si>
    <t>PlasticFADE: A predictive model for plastic fragmentation and degradation in the environment</t>
  </si>
  <si>
    <t>PP (GeoMean)</t>
    <phoneticPr fontId="7" type="noConversion"/>
  </si>
  <si>
    <t>PS (GeoMean)</t>
    <phoneticPr fontId="7" type="noConversion"/>
  </si>
  <si>
    <t>PET (GeoMean)</t>
    <phoneticPr fontId="7" type="noConversion"/>
  </si>
  <si>
    <t>HDPE (GeoMean)</t>
    <phoneticPr fontId="7" type="noConversion"/>
  </si>
  <si>
    <t>LDPE (GeoMean)</t>
    <phoneticPr fontId="7" type="noConversion"/>
  </si>
  <si>
    <t>PE (GeoMean)</t>
    <phoneticPr fontId="7" type="noConversion"/>
  </si>
  <si>
    <t>Please choose an option from the list provided</t>
    <phoneticPr fontId="7" type="noConversion"/>
  </si>
  <si>
    <t>Please specify the total SA of one plastic item</t>
    <phoneticPr fontId="7" type="noConversion"/>
  </si>
  <si>
    <t>Please specify the total volume of one plastic item</t>
    <phoneticPr fontId="7" type="noConversion"/>
  </si>
  <si>
    <t>Please specify the density of the polymer</t>
    <phoneticPr fontId="7" type="noConversion"/>
  </si>
  <si>
    <t>(Opt.) Specify the initial mass of the emitted plastic</t>
    <phoneticPr fontId="7" type="noConversion"/>
  </si>
  <si>
    <t>(Opt.) Specify the duration following the emission</t>
    <phoneticPr fontId="7" type="noConversion"/>
  </si>
  <si>
    <t>Polymer-specific empirical constants</t>
    <phoneticPr fontId="7" type="noConversion"/>
  </si>
  <si>
    <t>SA:V</t>
    <phoneticPr fontId="7" type="noConversion"/>
  </si>
  <si>
    <t>Mass balance equations of  the system</t>
    <phoneticPr fontId="7" type="noConversion"/>
  </si>
  <si>
    <t>Input</t>
    <phoneticPr fontId="7" type="noConversion"/>
  </si>
  <si>
    <t>Instruction</t>
    <phoneticPr fontId="7" type="noConversion"/>
  </si>
  <si>
    <t>Dependence</t>
    <phoneticPr fontId="7" type="noConversion"/>
  </si>
  <si>
    <t>P_j in air and water (via the drag coefficient)</t>
    <phoneticPr fontId="7" type="noConversion"/>
  </si>
  <si>
    <t>P_j in topsoil and beach (via the item's mass)</t>
    <phoneticPr fontId="7" type="noConversion"/>
  </si>
  <si>
    <t>SA:V; P_j in topsoil and beach (via the item's mass)</t>
    <phoneticPr fontId="7" type="noConversion"/>
  </si>
  <si>
    <t>Environmental stresses—rep. values &amp; equations</t>
    <phoneticPr fontId="7" type="noConversion"/>
  </si>
  <si>
    <t>Input variables</t>
    <phoneticPr fontId="7" type="noConversion"/>
  </si>
  <si>
    <t>Fitted parameters</t>
    <phoneticPr fontId="7" type="noConversion"/>
  </si>
  <si>
    <t>Notes: 1. For the underlying data and calculations, please refer to other Excel sheets. 2. The residence time provides a rough estimate by assuming first-order kinetics and excluding the transfer of plastics between compartments. The lifespan of macroplastics is defined as the time until their mass declines to 0.1% of the initial value, while the total plastic lifespan is the time when only 0.1% of the initial mass remains in plastic form.</t>
    <phoneticPr fontId="7" type="noConversion"/>
  </si>
  <si>
    <r>
      <rPr>
        <b/>
        <sz val="12"/>
        <color theme="1"/>
        <rFont val="Arial"/>
        <family val="2"/>
      </rPr>
      <t>Note</t>
    </r>
    <r>
      <rPr>
        <sz val="12"/>
        <color theme="1"/>
        <rFont val="Arial"/>
        <family val="2"/>
      </rPr>
      <t>: P_j in air, water surface, and water column is quantified using the drag equation (ρ</t>
    </r>
    <r>
      <rPr>
        <vertAlign val="subscript"/>
        <sz val="12"/>
        <color theme="1"/>
        <rFont val="Arial"/>
        <family val="2"/>
      </rPr>
      <t>medium</t>
    </r>
    <r>
      <rPr>
        <sz val="12"/>
        <color theme="1"/>
        <rFont val="Arial"/>
        <family val="2"/>
      </rPr>
      <t>, C</t>
    </r>
    <r>
      <rPr>
        <vertAlign val="subscript"/>
        <sz val="12"/>
        <color theme="1"/>
        <rFont val="Arial"/>
        <family val="2"/>
      </rPr>
      <t>d</t>
    </r>
    <r>
      <rPr>
        <sz val="12"/>
        <color theme="1"/>
        <rFont val="Arial"/>
        <family val="2"/>
      </rPr>
      <t>, A, and v required), while P_j in topsoil and beach is quantified using the equation of friction (ρ</t>
    </r>
    <r>
      <rPr>
        <vertAlign val="subscript"/>
        <sz val="12"/>
        <color theme="1"/>
        <rFont val="Arial"/>
        <family val="2"/>
      </rPr>
      <t>medium</t>
    </r>
    <r>
      <rPr>
        <sz val="12"/>
        <color theme="1"/>
        <rFont val="Arial"/>
        <family val="2"/>
      </rPr>
      <t>, g, and volume &amp; density of the plastic object required).</t>
    </r>
    <phoneticPr fontId="7" type="noConversion"/>
  </si>
  <si>
    <t>Model inputs</t>
    <phoneticPr fontId="7" type="noConversion"/>
  </si>
  <si>
    <t>Abbreviation</t>
    <phoneticPr fontId="7" type="noConversion"/>
  </si>
  <si>
    <r>
      <t>General assumptions: The kinetic CoF between dry sand and plastics is 0.4; μ_water = 0.001 Pa∙s; D_dry sand = 1.6 g/cm</t>
    </r>
    <r>
      <rPr>
        <vertAlign val="superscript"/>
        <sz val="12"/>
        <rFont val="Arial"/>
        <family val="2"/>
      </rPr>
      <t>3</t>
    </r>
    <r>
      <rPr>
        <sz val="12"/>
        <rFont val="Arial"/>
        <family val="2"/>
      </rPr>
      <t>; the relative velocity of plastics moving against sand or water equals 20% of the container's linear velocity at the edge; the effective thickness of the water layer shearing against the film or sheet is 1 mm (0.001 m); the radius of the container is assumed according to its volumn.</t>
    </r>
    <phoneticPr fontId="7" type="noConversion"/>
  </si>
  <si>
    <t>Abbreviations and their meanings: DEGR: degradation, D.P.I.: data point index, Exposure_CA: exposure duration reported in the corresponding article, FRAG: fragmentation, GPs: generated particles, MC: microbes, MS: mechanical stress, R.E.S.: related environmental stress, SA:V: surface area to volume ratio, UV: ultraviolet, WL: weight loss.</t>
    <phoneticPr fontId="7" type="noConversion"/>
  </si>
  <si>
    <t>v_surface [m/s]</t>
  </si>
  <si>
    <t>v_column [m/s]</t>
  </si>
  <si>
    <r>
      <t>Annual UV irradiance [MJ/m</t>
    </r>
    <r>
      <rPr>
        <b/>
        <vertAlign val="superscript"/>
        <sz val="12"/>
        <color theme="1"/>
        <rFont val="Arial"/>
        <family val="2"/>
      </rPr>
      <t>2</t>
    </r>
    <r>
      <rPr>
        <b/>
        <sz val="12"/>
        <color theme="1"/>
        <rFont val="Arial"/>
        <family val="2"/>
      </rPr>
      <t>]</t>
    </r>
  </si>
  <si>
    <t>Central Europe</t>
  </si>
  <si>
    <t>Central Africa</t>
  </si>
  <si>
    <t>Northern Australia</t>
  </si>
  <si>
    <t>Nordic Countries</t>
  </si>
  <si>
    <t>Southeast China</t>
  </si>
  <si>
    <t>New Zealand</t>
  </si>
  <si>
    <t>Republic of Korea</t>
  </si>
  <si>
    <t>Republic of Cuba</t>
  </si>
  <si>
    <t>Region / Country</t>
  </si>
  <si>
    <t>SimpleBox4Plastic</t>
  </si>
  <si>
    <t>Fragmentation</t>
  </si>
  <si>
    <t>Model</t>
  </si>
  <si>
    <t>Water</t>
  </si>
  <si>
    <t>Process</t>
  </si>
  <si>
    <t>Degradation</t>
  </si>
  <si>
    <r>
      <t>s</t>
    </r>
    <r>
      <rPr>
        <vertAlign val="superscript"/>
        <sz val="12"/>
        <color theme="1"/>
        <rFont val="Arial"/>
        <family val="2"/>
      </rPr>
      <t>-1</t>
    </r>
  </si>
  <si>
    <t>Unspecified</t>
  </si>
  <si>
    <t>Size and shape</t>
  </si>
  <si>
    <t>1000 μm, sphere</t>
  </si>
  <si>
    <r>
      <t>t</t>
    </r>
    <r>
      <rPr>
        <vertAlign val="subscript"/>
        <sz val="12"/>
        <color theme="1"/>
        <rFont val="Arial"/>
        <family val="2"/>
      </rPr>
      <t>frag_gen</t>
    </r>
    <r>
      <rPr>
        <sz val="12"/>
        <color theme="1"/>
        <rFont val="Arial"/>
        <family val="2"/>
      </rPr>
      <t xml:space="preserve"> (d)</t>
    </r>
  </si>
  <si>
    <r>
      <t>t</t>
    </r>
    <r>
      <rPr>
        <vertAlign val="subscript"/>
        <sz val="12"/>
        <color theme="1"/>
        <rFont val="Arial"/>
        <family val="2"/>
      </rPr>
      <t>half</t>
    </r>
    <r>
      <rPr>
        <sz val="12"/>
        <color theme="1"/>
        <rFont val="Arial"/>
        <family val="2"/>
      </rPr>
      <t xml:space="preserve"> (d)</t>
    </r>
  </si>
  <si>
    <t>The Full Multi</t>
  </si>
  <si>
    <t>Water surface</t>
  </si>
  <si>
    <t>Water column</t>
  </si>
  <si>
    <t>Any size and shape</t>
  </si>
  <si>
    <t>Any size (micro) and shape</t>
  </si>
  <si>
    <t>Air (UV only)</t>
  </si>
  <si>
    <t>21 (%)</t>
  </si>
  <si>
    <t>equation</t>
  </si>
  <si>
    <t>Quik (2023)</t>
  </si>
  <si>
    <t>Domercq (2022)</t>
  </si>
  <si>
    <t>An (2021)</t>
  </si>
  <si>
    <t>Kaandorp (2021)</t>
  </si>
  <si>
    <r>
      <t>11.5 (g/m</t>
    </r>
    <r>
      <rPr>
        <vertAlign val="superscript"/>
        <sz val="12"/>
        <rFont val="Arial"/>
        <family val="2"/>
      </rPr>
      <t>3</t>
    </r>
    <r>
      <rPr>
        <sz val="12"/>
        <rFont val="Arial"/>
        <family val="2"/>
      </rPr>
      <t>)</t>
    </r>
  </si>
  <si>
    <r>
      <t>k_frag_LL  [d</t>
    </r>
    <r>
      <rPr>
        <b/>
        <vertAlign val="superscript"/>
        <sz val="12"/>
        <color theme="1"/>
        <rFont val="Arial"/>
        <family val="2"/>
      </rPr>
      <t>-1</t>
    </r>
    <r>
      <rPr>
        <b/>
        <sz val="12"/>
        <color theme="1"/>
        <rFont val="Arial"/>
        <family val="2"/>
      </rPr>
      <t>]</t>
    </r>
  </si>
  <si>
    <r>
      <t>k_frag_UL [d</t>
    </r>
    <r>
      <rPr>
        <b/>
        <vertAlign val="superscript"/>
        <sz val="12"/>
        <color theme="1"/>
        <rFont val="Arial"/>
        <family val="2"/>
      </rPr>
      <t>-1</t>
    </r>
    <r>
      <rPr>
        <b/>
        <sz val="12"/>
        <color theme="1"/>
        <rFont val="Arial"/>
        <family val="2"/>
      </rPr>
      <t>]</t>
    </r>
  </si>
  <si>
    <r>
      <t>k_degr_LL [d</t>
    </r>
    <r>
      <rPr>
        <b/>
        <vertAlign val="superscript"/>
        <sz val="12"/>
        <color theme="1"/>
        <rFont val="Arial"/>
        <family val="2"/>
      </rPr>
      <t>-1</t>
    </r>
    <r>
      <rPr>
        <b/>
        <sz val="12"/>
        <color theme="1"/>
        <rFont val="Arial"/>
        <family val="2"/>
      </rPr>
      <t>]</t>
    </r>
  </si>
  <si>
    <r>
      <t>k_degr_UL [d</t>
    </r>
    <r>
      <rPr>
        <b/>
        <vertAlign val="superscript"/>
        <sz val="12"/>
        <color theme="1"/>
        <rFont val="Arial"/>
        <family val="2"/>
      </rPr>
      <t>-1</t>
    </r>
    <r>
      <rPr>
        <b/>
        <sz val="12"/>
        <color theme="1"/>
        <rFont val="Arial"/>
        <family val="2"/>
      </rPr>
      <t>]</t>
    </r>
  </si>
  <si>
    <t>WL_m_LL [%]</t>
  </si>
  <si>
    <t>WL_m_UL [%]</t>
  </si>
  <si>
    <t>Multifactor Aging</t>
  </si>
  <si>
    <t>Cascading FRAG</t>
  </si>
  <si>
    <r>
      <t>1 (mW/cm</t>
    </r>
    <r>
      <rPr>
        <vertAlign val="superscript"/>
        <sz val="12"/>
        <rFont val="Arial"/>
        <family val="2"/>
      </rPr>
      <t>2</t>
    </r>
    <r>
      <rPr>
        <sz val="12"/>
        <rFont val="Arial"/>
        <family val="2"/>
      </rPr>
      <t>)</t>
    </r>
  </si>
  <si>
    <t>SA:V</t>
  </si>
  <si>
    <r>
      <t>* f (yr</t>
    </r>
    <r>
      <rPr>
        <vertAlign val="superscript"/>
        <sz val="12"/>
        <color theme="1"/>
        <rFont val="Arial"/>
        <family val="2"/>
      </rPr>
      <t>-1</t>
    </r>
    <r>
      <rPr>
        <sz val="12"/>
        <color theme="1"/>
        <rFont val="Arial"/>
        <family val="2"/>
      </rPr>
      <t>)</t>
    </r>
  </si>
  <si>
    <t>Soil</t>
  </si>
  <si>
    <r>
      <t>I_j [W/m</t>
    </r>
    <r>
      <rPr>
        <b/>
        <vertAlign val="superscript"/>
        <sz val="12"/>
        <rFont val="Arial"/>
        <family val="2"/>
      </rPr>
      <t>2</t>
    </r>
    <r>
      <rPr>
        <b/>
        <sz val="12"/>
        <rFont val="Arial"/>
        <family val="2"/>
      </rPr>
      <t>]</t>
    </r>
  </si>
  <si>
    <t>Original data</t>
  </si>
  <si>
    <t>Unit</t>
  </si>
  <si>
    <t>-</t>
  </si>
  <si>
    <t>Specified stresses</t>
  </si>
  <si>
    <r>
      <t>k_m_LL [d</t>
    </r>
    <r>
      <rPr>
        <b/>
        <vertAlign val="superscript"/>
        <sz val="12"/>
        <color theme="1"/>
        <rFont val="Arial"/>
        <family val="2"/>
      </rPr>
      <t>-1</t>
    </r>
    <r>
      <rPr>
        <b/>
        <sz val="12"/>
        <color theme="1"/>
        <rFont val="Arial"/>
        <family val="2"/>
      </rPr>
      <t>]</t>
    </r>
  </si>
  <si>
    <r>
      <t>k_m_UL [d</t>
    </r>
    <r>
      <rPr>
        <b/>
        <vertAlign val="superscript"/>
        <sz val="12"/>
        <color theme="1"/>
        <rFont val="Arial"/>
        <family val="2"/>
      </rPr>
      <t>-1</t>
    </r>
    <r>
      <rPr>
        <b/>
        <sz val="12"/>
        <color theme="1"/>
        <rFont val="Arial"/>
        <family val="2"/>
      </rPr>
      <t>]</t>
    </r>
  </si>
  <si>
    <r>
      <t>k_model [d</t>
    </r>
    <r>
      <rPr>
        <b/>
        <vertAlign val="superscript"/>
        <sz val="12"/>
        <color theme="1"/>
        <rFont val="Arial"/>
        <family val="2"/>
      </rPr>
      <t>-1</t>
    </r>
    <r>
      <rPr>
        <b/>
        <sz val="12"/>
        <color theme="1"/>
        <rFont val="Arial"/>
        <family val="2"/>
      </rPr>
      <t>]</t>
    </r>
  </si>
  <si>
    <r>
      <t>k_l_LL [d</t>
    </r>
    <r>
      <rPr>
        <b/>
        <vertAlign val="superscript"/>
        <sz val="12"/>
        <color theme="1"/>
        <rFont val="Arial"/>
        <family val="2"/>
      </rPr>
      <t>-1</t>
    </r>
    <r>
      <rPr>
        <b/>
        <sz val="12"/>
        <color theme="1"/>
        <rFont val="Arial"/>
        <family val="2"/>
      </rPr>
      <t>]</t>
    </r>
  </si>
  <si>
    <r>
      <t>k_l_UL [d</t>
    </r>
    <r>
      <rPr>
        <b/>
        <vertAlign val="superscript"/>
        <sz val="12"/>
        <color theme="1"/>
        <rFont val="Arial"/>
        <family val="2"/>
      </rPr>
      <t>-1</t>
    </r>
    <r>
      <rPr>
        <b/>
        <sz val="12"/>
        <color theme="1"/>
        <rFont val="Arial"/>
        <family val="2"/>
      </rPr>
      <t>]</t>
    </r>
  </si>
  <si>
    <t>Model input</t>
  </si>
  <si>
    <t>N.S., Micro, N.S., Wsur</t>
  </si>
  <si>
    <t>N.S., Micro, N.S., TopS</t>
  </si>
  <si>
    <t>N.S., Micro, N.S., WSur</t>
  </si>
  <si>
    <t>N.S., Micro, N.S., Sedm</t>
  </si>
  <si>
    <t>N.S., 1000 μm, Sphere, WSur</t>
  </si>
  <si>
    <t>N.S., 1000 μm, Sphere, WCol</t>
  </si>
  <si>
    <t>N.S., 1000 μm, Sphere, Sedm</t>
  </si>
  <si>
    <t>PP, Micro, Sphere, N/A</t>
  </si>
  <si>
    <t>PP, 375 μm, Film, Air</t>
  </si>
  <si>
    <t>PE, 375 μm, Film, Air</t>
  </si>
  <si>
    <t>PP, 1000 μm, Sphere</t>
  </si>
  <si>
    <t>PP, 100 μm, Sphere</t>
  </si>
  <si>
    <t>PP, 10 μm, Sphere</t>
  </si>
  <si>
    <t>PS, 1000 μm, Sphere</t>
  </si>
  <si>
    <t>PS, 100 μm, Sphere</t>
  </si>
  <si>
    <t>PS, 10 μm, Sphere</t>
  </si>
  <si>
    <t>PET, 1000 μm, Sphere</t>
  </si>
  <si>
    <t>PET, 100 μm, Sphere</t>
  </si>
  <si>
    <t>PET, 10 μm, Sphere</t>
  </si>
  <si>
    <t>HDPE, 1000 μm, Sphere</t>
  </si>
  <si>
    <t>HDPE, 100 μm, Sphere</t>
  </si>
  <si>
    <t>HDPE, 10 μm, Sphere</t>
  </si>
  <si>
    <t>LDPE, 1000 μm, Sphere</t>
  </si>
  <si>
    <t>LDPE, 100 μm, Sphere</t>
  </si>
  <si>
    <t>LDPE, 10 μm, Sphere</t>
  </si>
  <si>
    <t>Conversion between UV index and UV intensity</t>
  </si>
  <si>
    <t>Reference list</t>
  </si>
  <si>
    <t>Air / TopS</t>
  </si>
  <si>
    <t>Air / SubS</t>
  </si>
  <si>
    <t>TopS / Air</t>
  </si>
  <si>
    <t>TopS / SubS</t>
  </si>
  <si>
    <t>TopS / Beach</t>
  </si>
  <si>
    <t>TopS / Sedm</t>
  </si>
  <si>
    <t>SubS / Air</t>
  </si>
  <si>
    <t>SubS / TopS</t>
  </si>
  <si>
    <t>SubS / Beach</t>
  </si>
  <si>
    <t>SubS / Sedm</t>
  </si>
  <si>
    <t>Beach / Air</t>
  </si>
  <si>
    <t>Beach / SubS</t>
  </si>
  <si>
    <t>Beach / TopS</t>
  </si>
  <si>
    <t>WSur / Air</t>
  </si>
  <si>
    <t>WSur / TopS</t>
  </si>
  <si>
    <t>WSur / SubS</t>
  </si>
  <si>
    <t>WCol / TopS</t>
  </si>
  <si>
    <t>WCol / SubS</t>
  </si>
  <si>
    <t>Air / WCol</t>
  </si>
  <si>
    <t>TopS / WSur</t>
  </si>
  <si>
    <t>TopS / WCol</t>
  </si>
  <si>
    <t>SubS / WSur</t>
  </si>
  <si>
    <t>SubS / WCol</t>
  </si>
  <si>
    <t>Beach / WSur</t>
  </si>
  <si>
    <t>Beach / WCol</t>
  </si>
  <si>
    <t>WSur / WCol</t>
  </si>
  <si>
    <t>WCol / WSur</t>
  </si>
  <si>
    <t>Sedm / TopS</t>
  </si>
  <si>
    <t>Sedm / SubS</t>
  </si>
  <si>
    <t>Auta, H. S., Abioye, O. P., Aransiola, S. A., Bala, J. D., Chukwuemeka, V. I., Hassan, A., Aziz, A., &amp; Fauziah, S. H. (2022). Enhanced microbial degradation of PET and PS microplastics under natural conditions in mangrove environment. Journal of Environmental Management, 304, 114273. https://doi.org/10.1016/j.jenvman.2021.114273</t>
  </si>
  <si>
    <t>Aravinthan, A., Arkatkar, A., Juwarkar, A. A., &amp; Doble, M. (2016). Synergistic growth of Bacillus and Pseudomonas and its degradation potential on pretreated polypropylene. Preparative Biochemistry &amp; Biotechnology, 46(2), 109–115. https://doi.org/10.1080/10826068.2014.985836</t>
  </si>
  <si>
    <t>Auta, H. S., Emenike, C. U., Jayanthi, B., &amp; Fauziah, S. H. (2018). Growth kinetics and biodeterioration of polypropylene microplastics by Bacillus sp. And Rhodococcus sp. Isolated from mangrove sediment. Marine Pollution Bulletin, 127, 15–21. https://doi.org/10.1016/j.marpolbul.2017.11.036</t>
  </si>
  <si>
    <t>Bhat, M. A., Gedik, K., &amp; Gaga, E. O. (2024). A preliminary study on the natural aging behavior of microplastics in indoor and outdoor environments. International Journal of Environmental Science and Technology, 21(2), 1923–1936. https://doi.org/10.1007/s13762-023-05319-4</t>
  </si>
  <si>
    <t>Boonluksiri, Y., Prapagdee, B., &amp; Sombatsompop, N. (2021). Promotion of polylactic acid biodegradation by a combined addition of PLA-degrading bacterium and nitrogen source under submerged and soil burial conditions. Polymer Degradation and Stability, 188, 109562. https://doi.org/10.1016/j.polymdegradstab.2021.109562</t>
  </si>
  <si>
    <t>Chubarenko, I., Efimova, I., Bagaeva, M., Bagaev, A., &amp; Isachenko, I. (2020). On mechanical fragmentation of single-use plastics in the sea swash zone with different types of bottom sediments: Insights from laboratory experiments. Marine Pollution Bulletin, 150, 110726. https://doi.org/10.1016/j.marpolbul.2019.110726</t>
  </si>
  <si>
    <t>Gupta, K. K., &amp; Devi, D. (2020). Characteristics investigation on biofilm formation and biodegradation activities of Pseudomonas aeruginosa strain ISJ14 colonizing low density polyethylene (LDPE) surface. Heliyon, 6(7), e04398. https://doi.org/10.1016/j.heliyon.2020.e04398</t>
  </si>
  <si>
    <t>Reference details</t>
  </si>
  <si>
    <t>He, Y., Fang, C., Zeng, Z., Fu, B., Cui, Z., Wang, J., &amp; Yang, H. (2025). Screening and isolation of polyethylene microplastic degrading bacteria from mangrove sediments in southern China. Science of The Total Environment, 962, 178488. https://doi.org/10.1016/j.scitotenv.2025.178488</t>
  </si>
  <si>
    <t>Hou, L., Xi, J., Liu, J., Wang, P., Xu, T., Liu, T., Qu, W., &amp; Lin, Y. B. (2022). Biodegradability of polyethylene mulching film by two Pseudomonas bacteria and their potential degradation mechanism. Chemosphere, 286, 131758. https://doi.org/10.1016/j.chemosphere.2021.131758</t>
  </si>
  <si>
    <t>Jeon, J.-M., Park, S.-J., Choi, T.-R., Park, J.-H., Yang, Y.-H., &amp; Yoon, J.-J. (2021). Biodegradation of polyethylene and polypropylene by Lysinibacillus species JJY0216 isolated from soil grove. Polymer Degradation and Stability, 191, 109662. https://doi.org/10.1016/j.polymdegradstab.2021.109662</t>
  </si>
  <si>
    <t>Kavitha, R., &amp; Bhuvaneswari, V. (2021). Assessment of polyethylene degradation by biosurfactant producing ligninolytic bacterium. Biodegradation, 32(5), 531–549. https://doi.org/10.1007/s10532-021-09949-8</t>
  </si>
  <si>
    <t>Kumari, A., Chaudhary, D. R., &amp; Jha, B. (2019). Destabilization of polyethylene and polyvinylchloride structure by marine bacterial strain. Environmental Science and Pollution Research, 26(2), 1507–1516. https://doi.org/10.1007/s11356-018-3465-1</t>
  </si>
  <si>
    <t>Lambert, S., &amp; Wagner, M. (2016). Characterisation of nanoplastics during the degradation of polystyrene. Chemosphere, 145, 265–268. https://doi.org/10.1016/j.chemosphere.2015.11.078</t>
  </si>
  <si>
    <t>Lv, S., Cui, K., Zhao, S., Li, Y., Liu, R., Hu, R., Zhi, B., Gu, L., Wang, L., Wang, Q., &amp; Shao, Z. (2024). Continuous generation and release of microplastics and nanoplastics from polystyrene by plastic-degrading marine bacteria. Journal of Hazardous Materials, 465, 133339. https://doi.org/10.1016/j.jhazmat.2023.133339</t>
  </si>
  <si>
    <t>Mistry, A. N., Kachenchart, B., Wongthanaroj, A., Somwangthanaroj, A., &amp; Luepromchai, E. (2022). Rapid biodegradation of high molecular weight semi-crystalline polylactic acid at ambient temperature via enzymatic and alkaline hydrolysis by a defined bacterial consortium. Polymer Degradation and Stability, 202, 110051. https://doi.org/10.1016/j.polymdegradstab.2022.110051</t>
  </si>
  <si>
    <t>Pfohl, P., Wagner, M., Meyer, L., Domercq, P., Praetorius, A., Hüffer, T., Hofmann, T., &amp; Wohlleben, W. (2022). Environmental Degradation of Microplastics: How to Measure Fragmentation Rates to Secondary Micro- and Nanoplastic Fragments and Dissociation into Dissolved Organics. Environmental Science &amp; Technology, 56(16), 11323–11334. https://doi.org/10.1021/acs.est.2c01228</t>
  </si>
  <si>
    <t>Pfohl, P., Santizo, K., Sipe, J., Wiesner, M., Harrison, S., Svendsen, C., &amp; Wohlleben, W. (2025). Environmental degradation and fragmentation of microplastics: Dependence on polymer type, humidity, UV dose and temperature. Microplastics and Nanoplastics, 5(1), 7. https://doi.org/10.1186/s43591-025-00118-9</t>
  </si>
  <si>
    <t>Maleki Rad, M., Moghimi, H., &amp; Azin, E. (2022). Biodegradation of thermo-oxidative pretreated low-density polyethylene (LDPE) and polyvinyl chloride (PVC) microplastics by Achromobacter denitrificans Ebl13. Marine Pollution Bulletin, 181, 113830. https://doi.org/10.1016/j.marpolbul.2022.113830</t>
  </si>
  <si>
    <t>Reineccius, J., Schönke, M., &amp; Waniek, J. J. (2023). Abiotic Long-Term Simulation of Microplastic Weathering Pathways under Different Aqueous Conditions. Environmental Science &amp; Technology, 57(2), 963–975. https://doi.org/10.1021/acs.est.2c05746</t>
  </si>
  <si>
    <t>Safdar, A., Ismail, F., Iftikhar, H., Majid Khokhar, A., Javed, A., Imran, M., &amp; Safdar, B. (2024). Determination of Biodegradation Potential of Aspergillus niger , Candida albicans , and Acremonium sclerotigenum on Polyethylene, Polyethylene Terephthalate, and Polystyrene Microplastics. International Journal of Microbiology, 2024(1), 7682762. https://doi.org/10.1155/2024/7682762</t>
  </si>
  <si>
    <t>Sait, S. T. L., Sørensen, L., Kubowicz, S., Vike-Jonas, K., Gonzalez, S. V., Asimakopoulos, A. G., &amp; Booth, A. M. (2021). Microplastic fibres from synthetic textiles: Environmental degradation and additive chemical content. Environmental Pollution, 268, 115745. https://doi.org/10.1016/j.envpol.2020.115745</t>
  </si>
  <si>
    <t>Song, Y. K., Hong, S. H., Jang, M., Han, G. M., Jung, S. W., &amp; Shim, W. J. (2017). Combined Effects of UV Exposure Duration and Mechanical Abrasion on Microplastic Fragmentation by Polymer Type. Environmental Science &amp; Technology, 51(8), 4368–4376. https://doi.org/10.1021/acs.est.6b06155</t>
  </si>
  <si>
    <t>Song, Y. K., Hong, S. H., Eo, S., Han, G. M., &amp; Shim, W. J. (2020). Rapid Production of Micro- and Nanoplastics by Fragmentation of Expanded Polystyrene Exposed to Sunlight. Environmental Science &amp; Technology, 54(18), 11191–11200. https://doi.org/10.1021/acs.est.0c02288</t>
  </si>
  <si>
    <t>Song, Y. K., Hong, S. H., Eo, S., &amp; Shim, W. J. (2022). The fragmentation of nano- and microplastic particles from thermoplastics accelerated by simulated-sunlight-mediated photooxidation. Environmental Pollution, 311, 119847. https://doi.org/10.1016/j.envpol.2022.119847</t>
  </si>
  <si>
    <t>Song, Y. K., Hong, S. H., Eo, S., &amp; Shim, W. J. (2023). Fragmentation of nano- and microplastics from virgin- and additive-containing polypropylene by accelerated photooxidation. Environmental Pollution, 327, 121590. https://doi.org/10.1016/j.envpol.2023.121590</t>
  </si>
  <si>
    <t>Sharma, K. K., Panwar, H., &amp; Gupta, K. K. (2024). Isolation and characterization of bio-prospecting gut strains Bacillus safensis CGK192 and Bacillus australimaris CGK221 for plastic (HDPE) degradation. Biotechnology Letters, 46(4), 671–689. https://doi.org/10.1007/s10529-024-03486-z</t>
  </si>
  <si>
    <t>Ward, C. P., Armstrong, C. J., Walsh, A. N., Jackson, J. H., &amp; Reddy, C. M. (2019). Sunlight Converts Polystyrene to Carbon Dioxide and Dissolved Organic Carbon. Environmental Science &amp; Technology Letters, 6(11), 669–674. https://doi.org/10.1021/acs.estlett.9b00532</t>
  </si>
  <si>
    <t>Wichatham, K., Piyaviriyakul, P., Boontanon, N., Surinkul, N., Visvanathan, C., Fujii, S., &amp; Boontanon, S. K. (2024). Biodegradation of polypropylene plastics in vitro and natural condition by Streptomyces sp. Isolated from plastic-contaminated sites. Environmental Technology &amp; Innovation, 35, 103681. https://doi.org/10.1016/j.eti.2024.103681</t>
  </si>
  <si>
    <t>Zhu, L., Zhao, S., Bittar, T. B., Stubbins, A., &amp; Li, D. (2020). Photochemical dissolution of buoyant microplastics to dissolved organic carbon: Rates and microbial impacts. Journal of Hazardous Materials, 383, 121065. https://doi.org/10.1016/j.jhazmat.2019.121065</t>
  </si>
  <si>
    <t>Zha, F., Dai, J., Han, Y., Liu, P., Wang, M., Liu, H., &amp; Guo, X. (2023). Release of millions of micro(nano)plastic fragments from photooxidation of disposable plastic boxes. Science of The Total Environment, 858, 160044. https://doi.org/10.1016/j.scitotenv.2022.160044</t>
  </si>
  <si>
    <t>Wang, D., Liu, J., Chang, H., &amp; Tang, shanshan. (2014). Visible Photocatalytic Degradation of Polyvinyl Chloride Film by AgNbO3 Photocatalyst. Chemical Journal of Chinese Universities, 35(9), 1975–1981. https://doi.org/10.7503/cjcu20140185</t>
  </si>
  <si>
    <t>Yottakot, S., &amp; Leelavatcharamas, V. (2019). Isolation and Optimisation of Polylactic Acid (PLA)-packagingdegrading Actinomycete for PLA-packaging Degradation. Pertanika Journal of Tropical Agricultural Science, 42(3), 1111–1129.</t>
  </si>
  <si>
    <t>Skariyachan, S., Patil, A. A., Shankar, A., Manjunath, M., Bachappanavar, N., &amp; Kiran, S. (2018). Enhanced polymer degradation of polyethylene and polypropylene by novel thermophilic consortia of Brevibacillus sps. and Aneurinibacillus sp. screened from waste management landfills and sewage treatment plants. Polymer Degradation and Stability, 149, 52–68. https://doi.org/10.1016/j.polymdegradstab.2018.01.018</t>
  </si>
  <si>
    <t>Medium (5 – 50 cm)</t>
    <phoneticPr fontId="7" type="noConversion"/>
  </si>
  <si>
    <t>Beverage bottles, food containers</t>
    <phoneticPr fontId="7" type="noConversion"/>
  </si>
  <si>
    <t>Small (5 mm – 5 cm)</t>
    <phoneticPr fontId="7" type="noConversion"/>
  </si>
  <si>
    <t>Cigarette butts, bottle caps</t>
    <phoneticPr fontId="7" type="noConversion"/>
  </si>
  <si>
    <t>Micro (1 μm – 5 mm)</t>
    <phoneticPr fontId="7" type="noConversion"/>
  </si>
  <si>
    <t>Microbeads, microfibers</t>
    <phoneticPr fontId="7" type="noConversion"/>
  </si>
  <si>
    <t>Nano (&lt; 1 μm)</t>
    <phoneticPr fontId="7" type="noConversion"/>
  </si>
  <si>
    <t>Nanobeads, nanofibers</t>
    <phoneticPr fontId="7" type="noConversion"/>
  </si>
  <si>
    <r>
      <t>A [m</t>
    </r>
    <r>
      <rPr>
        <vertAlign val="superscript"/>
        <sz val="12"/>
        <color theme="1"/>
        <rFont val="Arial"/>
        <family val="2"/>
      </rPr>
      <t>2</t>
    </r>
    <r>
      <rPr>
        <sz val="12"/>
        <color theme="1"/>
        <rFont val="Arial"/>
        <family val="2"/>
      </rPr>
      <t>] (*)</t>
    </r>
  </si>
  <si>
    <t>Size class (**)</t>
    <phoneticPr fontId="7" type="noConversion"/>
  </si>
  <si>
    <t>* Please specify the projected area oriented in the direction of wind, waves, or currents.</t>
    <phoneticPr fontId="7" type="noConversion"/>
  </si>
  <si>
    <t>** Please select the size class that most accurately represents the emitted plastic objects.</t>
    <phoneticPr fontId="7" type="noConversion"/>
  </si>
  <si>
    <t>Inputs</t>
    <phoneticPr fontId="7" type="noConversion"/>
  </si>
  <si>
    <t>Medium (5 – 50 cm)</t>
  </si>
  <si>
    <t>Plastic emission: Microwave-safe food containers without lids (height: 4 cm, diameter: 11 cm, thickness: 0.8 mm, product details: https://www.uline.ca/Product/Detail/S-24984/Take-Out-Containers/Deli-Containers-8-oz)</t>
  </si>
  <si>
    <t>PP (Geomean)</t>
  </si>
  <si>
    <t>PS (Geomean)</t>
  </si>
  <si>
    <t>EPS (Geomean)</t>
  </si>
  <si>
    <t>Ratio of degradation rate constants between compartments</t>
  </si>
  <si>
    <t>Ratio of fragmentation rate constants between compartments</t>
  </si>
  <si>
    <t>Minimum</t>
  </si>
  <si>
    <t>Maximum</t>
  </si>
  <si>
    <t>No. Geom. &gt; 1</t>
  </si>
  <si>
    <t>Corresponding author: Anne-Marie Boulay, anne-marie.boulay@polymtl.ca, CIRAIG, Department of Chemical Engineering, Polytechnique Montréal, 3333 Queen Mary Road, suite 310, Montréal, Québec, H3V 1A2, Canada</t>
  </si>
  <si>
    <r>
      <t xml:space="preserve">Notes: 1. UV-A accounts for approximately 95% of the UV radiation that reaches the Earth's surface and UV-B accounts for the remaining 5%. I_j is equivalent to UVe, as defined in Supporting Information 1. 2. Regarding the column "Info on control": </t>
    </r>
    <r>
      <rPr>
        <i/>
        <sz val="12"/>
        <color theme="7"/>
        <rFont val="Arial"/>
        <family val="2"/>
      </rPr>
      <t>Reported</t>
    </r>
    <r>
      <rPr>
        <sz val="12"/>
        <color theme="7"/>
        <rFont val="Arial"/>
        <family val="2"/>
      </rPr>
      <t xml:space="preserve">–Values of the control groups are given in the article; </t>
    </r>
    <r>
      <rPr>
        <i/>
        <sz val="12"/>
        <color theme="7"/>
        <rFont val="Arial"/>
        <family val="2"/>
      </rPr>
      <t>Not available</t>
    </r>
    <r>
      <rPr>
        <sz val="12"/>
        <color theme="7"/>
        <rFont val="Arial"/>
        <family val="2"/>
      </rPr>
      <t xml:space="preserve">–No appropriate control groups are set or information on the weight loss in the control groups is missing; </t>
    </r>
    <r>
      <rPr>
        <i/>
        <sz val="12"/>
        <color theme="7"/>
        <rFont val="Arial"/>
        <family val="2"/>
      </rPr>
      <t>Accounted for</t>
    </r>
    <r>
      <rPr>
        <sz val="12"/>
        <color theme="7"/>
        <rFont val="Arial"/>
        <family val="2"/>
      </rPr>
      <t>–Influence of the control groups have already been offset in the reported results.</t>
    </r>
  </si>
  <si>
    <t>Comparison of modeled rate constants with original data points (grouped by polymer type)</t>
  </si>
  <si>
    <t>Fitted model parameters, entries in the drop-down lists, and additional model input</t>
  </si>
  <si>
    <t>Calculation details for the magnitudes of environmental stresses</t>
  </si>
  <si>
    <t>Converted data points for model calibration</t>
  </si>
  <si>
    <t>Modeled rate constants and estimated lifespans in different environmental compartments (grouped by polymer type)</t>
  </si>
  <si>
    <t>Standard deviation and relative uncertainty for each model parameter</t>
  </si>
  <si>
    <t>Fitted value</t>
  </si>
  <si>
    <t>Comparison of modeled rate constants among polymers and among environmental compartments (rate constants extracted from the "Results" spreadsheet)</t>
  </si>
  <si>
    <t>Comparion of degradation rate constants computed by PlasticFADE with estimates provided by Corella-Puertas et al. (2023)</t>
  </si>
  <si>
    <t>Comparion of weight loss from PlasticFADE with reported values in the study by Hoseini et al. (2023)</t>
  </si>
  <si>
    <t>Note: "_m" refers to modeled values, "_r" refers to reported values.</t>
  </si>
  <si>
    <t>Note: Although the plastic item here differs (a 1000 μm pellet), the intercompartment ratios remain identical to those reported in the "Results" spreadsheet. This is because each compartment is assigned the same default environmental stresses; consequently, the relative differences between compartments are preserved.</t>
  </si>
  <si>
    <t>Predicted formation of plastic fragmentation and degradation products (after 5 and 10 years)</t>
  </si>
  <si>
    <t>Comparison of rate constants modeled by PlasticFADE with those from existing models</t>
  </si>
  <si>
    <r>
      <t>k_literature [d</t>
    </r>
    <r>
      <rPr>
        <b/>
        <vertAlign val="superscript"/>
        <sz val="12"/>
        <color theme="1"/>
        <rFont val="Arial"/>
        <family val="2"/>
      </rPr>
      <t>-1</t>
    </r>
    <r>
      <rPr>
        <b/>
        <sz val="12"/>
        <color theme="1"/>
        <rFont val="Arial"/>
        <family val="2"/>
      </rPr>
      <t>]</t>
    </r>
  </si>
  <si>
    <t>Song (2017) – UV: 12 months</t>
  </si>
  <si>
    <t>Song (2017) – UV: 0 months</t>
  </si>
  <si>
    <t>This document contains the PlasticFADE model ("Model interface" and "Drop-down lists"), calculation details for the environmental stresses ("Env. stresses"), data points used for model calibration ("Calibration"), uncertainty in the model parameters ("Uncertainty"), model results with associated uncertainty ("Results"), data used to create Figs. 1 and 2 ("Rate constants"), Fig. 3 ("Sankey"), Fig. 4 ("Elena2023"), Fig. 5 ("Comparison"), Fig. S2 ("Fig.S2"), and Figs. S3 and S4 ("Scatterplot"), rate constants and predicted lifespans derived using Equation Set 2 ("EQS 2"), as well as the full list of references for the experimental studies from which data were extracted ("References").</t>
  </si>
  <si>
    <t>Topsoil</t>
  </si>
  <si>
    <t>Subsoil</t>
  </si>
  <si>
    <t>Rate constants and predicted lifespans derived using Equation Set 2</t>
  </si>
  <si>
    <t>SUPPORTING INFORMATION 2</t>
  </si>
  <si>
    <r>
      <t>Notes: 1. D.P.I. is short for data point index (F: fragmentation, D: degradation) and is used to keep track of the converted data points. 2. The listed mechanical power represents the power acting on a single plastic item. 3. Frictional force is considered dominant for solid-solid interactions, while shear and drag forces are dominant for solid-liquid interactions (films in water–shear force, pellets in water–drag force). 4. The CSA of plastic films exposed to shear force depends on the density of the plastics, i.e., we consider one or two sides to be exposed for floating or submerged films, respectively. Moreover, shear force that acts on the surfaces perpendicular to the movement of water is ignored. 5. PE samples were further classified into PE (density = 0.94 g/cm</t>
    </r>
    <r>
      <rPr>
        <vertAlign val="superscript"/>
        <sz val="12"/>
        <color theme="7"/>
        <rFont val="Arial"/>
        <family val="2"/>
      </rPr>
      <t>3</t>
    </r>
    <r>
      <rPr>
        <sz val="12"/>
        <color theme="7"/>
        <rFont val="Arial"/>
        <family val="2"/>
      </rPr>
      <t>), HDPE (density &gt; 0.94 g/cm</t>
    </r>
    <r>
      <rPr>
        <vertAlign val="superscript"/>
        <sz val="12"/>
        <color theme="7"/>
        <rFont val="Arial"/>
        <family val="2"/>
      </rPr>
      <t>3</t>
    </r>
    <r>
      <rPr>
        <sz val="12"/>
        <color theme="7"/>
        <rFont val="Arial"/>
        <family val="2"/>
      </rPr>
      <t>), and LDPE (density &lt; 0.94 g/cm</t>
    </r>
    <r>
      <rPr>
        <vertAlign val="superscript"/>
        <sz val="12"/>
        <color theme="7"/>
        <rFont val="Arial"/>
        <family val="2"/>
      </rPr>
      <t>3</t>
    </r>
    <r>
      <rPr>
        <sz val="12"/>
        <color theme="7"/>
        <rFont val="Arial"/>
        <family val="2"/>
      </rPr>
      <t>).</t>
    </r>
  </si>
  <si>
    <t>Note: The calculation of P_j requires additional input (see "Drop-down lists").</t>
  </si>
  <si>
    <t>Notes: Default settings for unspecified polymer, size, and shape for computing rate constants using PlasticFADE: PP, 1000 μm, sphere; P_j values were obtained from the "Drop-down lists" by modifying the model inputs accordingly.</t>
  </si>
  <si>
    <t>Notes: This table complements Table S7 in Supporting Information 1. The values are NOT model results generated by PlasticFADE. Implausible values are highlighted in red.</t>
  </si>
  <si>
    <t>Yibo Tang, Nadim Saadi, Jérôme Lavoie, Anne-Marie Boulay</t>
  </si>
  <si>
    <t>Note</t>
  </si>
  <si>
    <t>SA:V=</t>
  </si>
  <si>
    <t>95_min</t>
  </si>
  <si>
    <t>95_max</t>
  </si>
  <si>
    <t>Highest higher limit of 95CI values (for the dots on the right)</t>
  </si>
  <si>
    <t>Lowest lower limit of 95CI values (for the dots on the right)</t>
  </si>
  <si>
    <t>k_all_pp_1</t>
  </si>
  <si>
    <t>k_all_pp_10</t>
  </si>
  <si>
    <t>k_all_pp_100</t>
  </si>
  <si>
    <t>k_all_pp_1000</t>
  </si>
  <si>
    <t>k_all_pp_5000</t>
  </si>
  <si>
    <t>k_all_ps_1</t>
  </si>
  <si>
    <t>k_all_ps_10</t>
  </si>
  <si>
    <t>k_all_ps_100</t>
  </si>
  <si>
    <t>k_all_ps_1000</t>
  </si>
  <si>
    <t>k_all_ps_5000</t>
  </si>
  <si>
    <t>k_all_eps_1</t>
  </si>
  <si>
    <t>k_all_eps_10</t>
  </si>
  <si>
    <t>k_all_eps_100</t>
  </si>
  <si>
    <t>k_all_eps_1000</t>
  </si>
  <si>
    <t>k_all_eps_5000</t>
  </si>
  <si>
    <t>k_all_hdpe_1</t>
  </si>
  <si>
    <t>k_all_hdpe_5000</t>
  </si>
  <si>
    <t>k_all_hdpe_1000</t>
  </si>
  <si>
    <t>k_all_hdpe_100</t>
  </si>
  <si>
    <t>k_all_hdpe_10</t>
  </si>
  <si>
    <t>k_all_ldpe_1</t>
  </si>
  <si>
    <t>k_all_ldpe_10</t>
  </si>
  <si>
    <t>k_all_ldpe_100</t>
  </si>
  <si>
    <t>k_all_ldpe_1000</t>
  </si>
  <si>
    <t>k_all_ldpe_5000</t>
  </si>
  <si>
    <t>k_all_pe_1</t>
  </si>
  <si>
    <t>k_all_pe_10</t>
  </si>
  <si>
    <t>k_all_pe_100</t>
  </si>
  <si>
    <t>k_all_pe_1000</t>
  </si>
  <si>
    <t>k_all_pe_5000</t>
  </si>
  <si>
    <t>k_all_pet_1</t>
  </si>
  <si>
    <t>k_all_pet_10</t>
  </si>
  <si>
    <t>k_all_pet_100</t>
  </si>
  <si>
    <t>k_all_pet_1000</t>
  </si>
  <si>
    <t>k_all_pet_5000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</si>
</sst>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0.0000"/>
    <numFmt numFmtId="166" formatCode="0.000"/>
    <numFmt numFmtId="167" formatCode="0.00000"/>
    <numFmt numFmtId="168" formatCode="0.00&quot; kg&quot;"/>
    <numFmt numFmtId="169" formatCode="0.000000_);[Red]\(0.000000\)"/>
    <numFmt numFmtId="170" formatCode="0.0000000"/>
    <numFmt numFmtId="171" formatCode="0.000000"/>
    <numFmt numFmtId="172" formatCode="0.00000_);[Red]\(0.00000\)"/>
    <numFmt numFmtId="173" formatCode="0.0000_);[Red]\(0.0000\)"/>
  </numFmts>
  <fonts count="34" x14ac:knownFonts="1">
    <font>
      <sz val="12"/>
      <color theme="1"/>
      <name val="Calibri"/>
      <family val="2"/>
      <scheme val="minor"/>
    </font>
    <font>
      <sz val="12"/>
      <color theme="1"/>
      <name val="Arial"/>
      <family val="2"/>
    </font>
    <font>
      <b/>
      <sz val="12"/>
      <color theme="1"/>
      <name val="Arial"/>
      <family val="2"/>
    </font>
    <font>
      <b/>
      <sz val="12"/>
      <color theme="7"/>
      <name val="Arial"/>
      <family val="2"/>
    </font>
    <font>
      <b/>
      <sz val="12"/>
      <name val="Arial"/>
      <family val="2"/>
    </font>
    <font>
      <sz val="12"/>
      <color rgb="FFFF0000"/>
      <name val="Arial"/>
      <family val="2"/>
    </font>
    <font>
      <sz val="12"/>
      <name val="Arial"/>
      <family val="2"/>
    </font>
    <font>
      <sz val="9"/>
      <name val="Calibri"/>
      <family val="3"/>
      <charset val="134"/>
      <scheme val="minor"/>
    </font>
    <font>
      <b/>
      <sz val="12"/>
      <color theme="5"/>
      <name val="Arial"/>
      <family val="2"/>
    </font>
    <font>
      <b/>
      <sz val="12"/>
      <color rgb="FFFF0000"/>
      <name val="Arial"/>
      <family val="2"/>
    </font>
    <font>
      <b/>
      <sz val="12"/>
      <color theme="4"/>
      <name val="Arial"/>
      <family val="2"/>
    </font>
    <font>
      <sz val="12"/>
      <color theme="5"/>
      <name val="Arial"/>
      <family val="2"/>
    </font>
    <font>
      <sz val="12"/>
      <color theme="1"/>
      <name val="Arial"/>
      <family val="2"/>
    </font>
    <font>
      <b/>
      <vertAlign val="superscript"/>
      <sz val="12"/>
      <color theme="1"/>
      <name val="Arial"/>
      <family val="2"/>
    </font>
    <font>
      <b/>
      <vertAlign val="superscript"/>
      <sz val="12"/>
      <color theme="5"/>
      <name val="Arial"/>
      <family val="2"/>
    </font>
    <font>
      <b/>
      <vertAlign val="superscript"/>
      <sz val="12"/>
      <name val="Arial"/>
      <family val="2"/>
    </font>
    <font>
      <b/>
      <vertAlign val="subscript"/>
      <sz val="12"/>
      <color theme="1"/>
      <name val="Arial"/>
      <family val="2"/>
    </font>
    <font>
      <sz val="14"/>
      <color rgb="FF000000"/>
      <name val="Calibri"/>
      <family val="2"/>
    </font>
    <font>
      <sz val="12"/>
      <color theme="7"/>
      <name val="Arial"/>
      <family val="2"/>
    </font>
    <font>
      <b/>
      <vertAlign val="superscript"/>
      <sz val="12"/>
      <color theme="7"/>
      <name val="Arial"/>
      <family val="2"/>
    </font>
    <font>
      <b/>
      <sz val="20"/>
      <color theme="1"/>
      <name val="Arial"/>
      <family val="2"/>
    </font>
    <font>
      <b/>
      <sz val="12"/>
      <color theme="1"/>
      <name val="Calibri"/>
      <family val="2"/>
      <scheme val="minor"/>
    </font>
    <font>
      <sz val="12"/>
      <name val="Calibri"/>
      <family val="2"/>
      <scheme val="minor"/>
    </font>
    <font>
      <vertAlign val="superscript"/>
      <sz val="12"/>
      <color theme="1"/>
      <name val="Arial"/>
      <family val="2"/>
    </font>
    <font>
      <sz val="12"/>
      <color theme="1"/>
      <name val="Cambria Math"/>
      <family val="2"/>
    </font>
    <font>
      <vertAlign val="superscript"/>
      <sz val="12"/>
      <name val="Arial"/>
      <family val="2"/>
    </font>
    <font>
      <vertAlign val="subscript"/>
      <sz val="12"/>
      <name val="Arial"/>
      <family val="2"/>
    </font>
    <font>
      <sz val="12"/>
      <color rgb="FF000000"/>
      <name val="Arial"/>
      <family val="2"/>
    </font>
    <font>
      <b/>
      <sz val="12"/>
      <color rgb="FF7030A0"/>
      <name val="Arial"/>
      <family val="2"/>
    </font>
    <font>
      <sz val="12"/>
      <color rgb="FF7030A0"/>
      <name val="Arial"/>
      <family val="2"/>
    </font>
    <font>
      <vertAlign val="subscript"/>
      <sz val="12"/>
      <color theme="1"/>
      <name val="Arial"/>
      <family val="2"/>
    </font>
    <font>
      <sz val="12"/>
      <color theme="4"/>
      <name val="Arial"/>
      <family val="2"/>
    </font>
    <font>
      <i/>
      <sz val="12"/>
      <color theme="7"/>
      <name val="Arial"/>
      <family val="2"/>
    </font>
    <font>
      <vertAlign val="superscript"/>
      <sz val="12"/>
      <color theme="7"/>
      <name val="Arial"/>
      <family val="2"/>
    </font>
  </fonts>
  <fills count="11">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EEAD1"/>
        <bgColor rgb="FF000000"/>
      </patternFill>
    </fill>
    <fill>
      <patternFill patternType="solid">
        <fgColor rgb="FFF7CCD1"/>
        <bgColor rgb="FF000000"/>
      </patternFill>
    </fill>
    <fill>
      <patternFill patternType="solid">
        <fgColor theme="7" tint="0.39997558519241921"/>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248">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0" xfId="0" applyFont="1" applyAlignment="1">
      <alignment horizontal="left" vertical="center"/>
    </xf>
    <xf numFmtId="0" fontId="1" fillId="0" borderId="0" xfId="0" applyFont="1" applyAlignment="1">
      <alignment horizontal="left" vertical="center"/>
    </xf>
    <xf numFmtId="11" fontId="1" fillId="0" borderId="0" xfId="0" applyNumberFormat="1" applyFont="1" applyAlignment="1">
      <alignment horizontal="left" vertical="center"/>
    </xf>
    <xf numFmtId="2" fontId="1" fillId="0" borderId="0" xfId="0" applyNumberFormat="1" applyFont="1" applyAlignment="1">
      <alignment horizontal="left" vertical="center"/>
    </xf>
    <xf numFmtId="1" fontId="1" fillId="0" borderId="0" xfId="0" applyNumberFormat="1" applyFont="1" applyAlignment="1">
      <alignment horizontal="left" vertical="center"/>
    </xf>
    <xf numFmtId="0" fontId="4" fillId="0" borderId="0" xfId="0" applyFont="1" applyAlignment="1">
      <alignment vertical="center"/>
    </xf>
    <xf numFmtId="0" fontId="3" fillId="0" borderId="0" xfId="0" applyFont="1" applyAlignment="1">
      <alignment horizontal="left" vertical="center"/>
    </xf>
    <xf numFmtId="0" fontId="4" fillId="0" borderId="0" xfId="0" applyFont="1" applyAlignment="1">
      <alignment horizontal="left" vertical="center"/>
    </xf>
    <xf numFmtId="0" fontId="6" fillId="0" borderId="0" xfId="0" applyFont="1" applyAlignment="1">
      <alignment horizontal="left" vertical="center"/>
    </xf>
    <xf numFmtId="11" fontId="6" fillId="0" borderId="0" xfId="0" applyNumberFormat="1" applyFont="1" applyAlignment="1">
      <alignment horizontal="left" vertical="center"/>
    </xf>
    <xf numFmtId="166" fontId="6" fillId="0" borderId="0" xfId="0" applyNumberFormat="1" applyFont="1" applyAlignment="1">
      <alignment horizontal="left" vertical="center"/>
    </xf>
    <xf numFmtId="0" fontId="5" fillId="0" borderId="0" xfId="0" applyFont="1" applyAlignment="1">
      <alignment horizontal="left" vertical="center"/>
    </xf>
    <xf numFmtId="0" fontId="5" fillId="0" borderId="0" xfId="0" applyFont="1" applyAlignment="1">
      <alignment vertical="center"/>
    </xf>
    <xf numFmtId="0" fontId="6" fillId="0" borderId="0" xfId="0" applyFont="1" applyAlignment="1">
      <alignment vertical="center"/>
    </xf>
    <xf numFmtId="0" fontId="4" fillId="4" borderId="0" xfId="0" applyFont="1" applyFill="1" applyAlignment="1">
      <alignment horizontal="left" vertical="center"/>
    </xf>
    <xf numFmtId="0" fontId="2" fillId="2" borderId="0" xfId="0" applyFont="1" applyFill="1" applyAlignment="1">
      <alignment vertical="center"/>
    </xf>
    <xf numFmtId="0" fontId="1" fillId="2" borderId="0" xfId="0" applyFont="1" applyFill="1" applyAlignment="1">
      <alignment vertical="center"/>
    </xf>
    <xf numFmtId="0" fontId="6" fillId="2" borderId="0" xfId="0" applyFont="1" applyFill="1" applyAlignment="1">
      <alignment vertical="center"/>
    </xf>
    <xf numFmtId="11" fontId="1" fillId="2" borderId="0" xfId="0" applyNumberFormat="1" applyFont="1" applyFill="1" applyAlignment="1">
      <alignment vertical="center"/>
    </xf>
    <xf numFmtId="0" fontId="6" fillId="2" borderId="0" xfId="0" applyFont="1" applyFill="1" applyAlignment="1">
      <alignment horizontal="left" vertical="center"/>
    </xf>
    <xf numFmtId="0" fontId="9" fillId="0" borderId="0" xfId="0" applyFont="1" applyAlignment="1">
      <alignment horizontal="left" vertical="center"/>
    </xf>
    <xf numFmtId="0" fontId="2" fillId="0" borderId="0" xfId="0" applyFont="1" applyAlignment="1">
      <alignment vertical="center" wrapText="1"/>
    </xf>
    <xf numFmtId="0" fontId="3" fillId="0" borderId="0" xfId="0" applyFont="1" applyAlignment="1">
      <alignment vertical="center"/>
    </xf>
    <xf numFmtId="0" fontId="2" fillId="3" borderId="0" xfId="0" applyFont="1" applyFill="1" applyAlignment="1">
      <alignment vertical="center"/>
    </xf>
    <xf numFmtId="0" fontId="1" fillId="4" borderId="0" xfId="0" applyFont="1" applyFill="1" applyAlignment="1">
      <alignment horizontal="left" vertical="center"/>
    </xf>
    <xf numFmtId="11" fontId="11" fillId="0" borderId="0" xfId="0" applyNumberFormat="1" applyFont="1" applyAlignment="1">
      <alignment horizontal="left" vertical="center"/>
    </xf>
    <xf numFmtId="11" fontId="8" fillId="0" borderId="0" xfId="0" applyNumberFormat="1" applyFont="1" applyAlignment="1">
      <alignment horizontal="left" vertical="center"/>
    </xf>
    <xf numFmtId="0" fontId="8" fillId="0" borderId="0" xfId="0" applyFont="1" applyAlignment="1">
      <alignment horizontal="left" vertical="center"/>
    </xf>
    <xf numFmtId="0" fontId="11" fillId="0" borderId="0" xfId="0" applyFont="1" applyAlignment="1">
      <alignment horizontal="left" vertical="center"/>
    </xf>
    <xf numFmtId="0" fontId="6" fillId="6" borderId="0" xfId="0" applyFont="1" applyFill="1" applyAlignment="1">
      <alignment vertical="center"/>
    </xf>
    <xf numFmtId="0" fontId="6" fillId="6" borderId="0" xfId="0" applyFont="1" applyFill="1" applyAlignment="1">
      <alignment horizontal="left" vertical="center"/>
    </xf>
    <xf numFmtId="0" fontId="1" fillId="2" borderId="0" xfId="0" applyFont="1" applyFill="1" applyAlignment="1">
      <alignment horizontal="left" vertical="center"/>
    </xf>
    <xf numFmtId="0" fontId="6" fillId="7" borderId="0" xfId="0" applyFont="1" applyFill="1" applyAlignment="1">
      <alignment horizontal="left" vertical="center"/>
    </xf>
    <xf numFmtId="11" fontId="1" fillId="4" borderId="0" xfId="0" applyNumberFormat="1" applyFont="1" applyFill="1" applyAlignment="1">
      <alignment vertical="center"/>
    </xf>
    <xf numFmtId="0" fontId="6" fillId="5" borderId="0" xfId="0" applyFont="1" applyFill="1" applyAlignment="1">
      <alignment horizontal="left" vertical="center"/>
    </xf>
    <xf numFmtId="0" fontId="10" fillId="0" borderId="0" xfId="0" applyFont="1" applyAlignment="1">
      <alignment horizontal="left" vertical="center"/>
    </xf>
    <xf numFmtId="0" fontId="2" fillId="4" borderId="0" xfId="0" applyFont="1" applyFill="1" applyAlignment="1">
      <alignment horizontal="left" vertical="center"/>
    </xf>
    <xf numFmtId="0" fontId="6" fillId="4" borderId="0" xfId="0" applyFont="1" applyFill="1" applyAlignment="1">
      <alignment horizontal="left" vertical="center"/>
    </xf>
    <xf numFmtId="0" fontId="5" fillId="4" borderId="0" xfId="0" applyFont="1" applyFill="1" applyAlignment="1">
      <alignment horizontal="left" vertical="center"/>
    </xf>
    <xf numFmtId="11" fontId="1" fillId="3" borderId="0" xfId="0" applyNumberFormat="1" applyFont="1" applyFill="1" applyAlignment="1">
      <alignment horizontal="left" vertical="center"/>
    </xf>
    <xf numFmtId="0" fontId="1" fillId="3" borderId="0" xfId="0" applyFont="1" applyFill="1" applyAlignment="1">
      <alignment horizontal="left" vertical="center"/>
    </xf>
    <xf numFmtId="11" fontId="6" fillId="3" borderId="0" xfId="0" applyNumberFormat="1" applyFont="1" applyFill="1" applyAlignment="1">
      <alignment horizontal="left" vertical="center"/>
    </xf>
    <xf numFmtId="11" fontId="1" fillId="6" borderId="0" xfId="0" applyNumberFormat="1" applyFont="1" applyFill="1" applyAlignment="1">
      <alignment horizontal="left" vertical="center"/>
    </xf>
    <xf numFmtId="0" fontId="2" fillId="3" borderId="0" xfId="0" applyFont="1" applyFill="1" applyAlignment="1">
      <alignment horizontal="left" vertical="center"/>
    </xf>
    <xf numFmtId="0" fontId="1" fillId="7" borderId="0" xfId="0" applyFont="1" applyFill="1" applyAlignment="1">
      <alignment vertical="center"/>
    </xf>
    <xf numFmtId="0" fontId="6" fillId="7" borderId="0" xfId="0" applyFont="1" applyFill="1" applyAlignment="1">
      <alignment vertical="center"/>
    </xf>
    <xf numFmtId="11" fontId="1" fillId="7" borderId="0" xfId="0" applyNumberFormat="1" applyFont="1" applyFill="1" applyAlignment="1">
      <alignment horizontal="left" vertical="center"/>
    </xf>
    <xf numFmtId="0" fontId="2" fillId="6" borderId="0" xfId="0" applyFont="1" applyFill="1" applyAlignment="1">
      <alignment horizontal="left" vertical="center"/>
    </xf>
    <xf numFmtId="2" fontId="2" fillId="6" borderId="0" xfId="0" applyNumberFormat="1" applyFont="1" applyFill="1" applyAlignment="1">
      <alignment horizontal="left" vertical="center"/>
    </xf>
    <xf numFmtId="0" fontId="2" fillId="6" borderId="0" xfId="0" applyFont="1" applyFill="1" applyAlignment="1">
      <alignment vertical="center"/>
    </xf>
    <xf numFmtId="0" fontId="1" fillId="6" borderId="0" xfId="0" applyFont="1" applyFill="1" applyAlignment="1">
      <alignment vertical="center"/>
    </xf>
    <xf numFmtId="0" fontId="2" fillId="2" borderId="0" xfId="0" applyFont="1" applyFill="1" applyAlignment="1">
      <alignment horizontal="left" vertical="center"/>
    </xf>
    <xf numFmtId="2" fontId="2" fillId="2" borderId="0" xfId="0" applyNumberFormat="1" applyFont="1" applyFill="1" applyAlignment="1">
      <alignment horizontal="left" vertical="center"/>
    </xf>
    <xf numFmtId="11" fontId="12" fillId="0" borderId="0" xfId="0" applyNumberFormat="1" applyFont="1" applyAlignment="1">
      <alignment horizontal="left" vertical="center"/>
    </xf>
    <xf numFmtId="166" fontId="12" fillId="0" borderId="0" xfId="0" applyNumberFormat="1" applyFont="1" applyAlignment="1">
      <alignment horizontal="left" vertical="center"/>
    </xf>
    <xf numFmtId="164" fontId="1" fillId="0" borderId="0" xfId="0" applyNumberFormat="1" applyFont="1" applyAlignment="1">
      <alignment horizontal="left" vertical="center"/>
    </xf>
    <xf numFmtId="11" fontId="6" fillId="6" borderId="0" xfId="0" applyNumberFormat="1" applyFont="1" applyFill="1" applyAlignment="1">
      <alignment horizontal="left" vertical="center"/>
    </xf>
    <xf numFmtId="0" fontId="6" fillId="3" borderId="0" xfId="0" applyFont="1" applyFill="1" applyAlignment="1">
      <alignment horizontal="left" vertical="center"/>
    </xf>
    <xf numFmtId="0" fontId="2" fillId="7" borderId="0" xfId="0" applyFont="1" applyFill="1" applyAlignment="1">
      <alignment vertical="center"/>
    </xf>
    <xf numFmtId="11" fontId="6" fillId="7" borderId="0" xfId="0" applyNumberFormat="1" applyFont="1" applyFill="1" applyAlignment="1">
      <alignment horizontal="left" vertical="center"/>
    </xf>
    <xf numFmtId="0" fontId="18" fillId="0" borderId="0" xfId="0" applyFont="1" applyAlignment="1">
      <alignment horizontal="left" vertical="center"/>
    </xf>
    <xf numFmtId="0" fontId="2" fillId="7" borderId="0" xfId="0" applyFont="1" applyFill="1" applyAlignment="1">
      <alignment horizontal="left" vertical="center"/>
    </xf>
    <xf numFmtId="11" fontId="1" fillId="2" borderId="0" xfId="0" applyNumberFormat="1" applyFont="1" applyFill="1" applyAlignment="1">
      <alignment horizontal="left" vertical="center"/>
    </xf>
    <xf numFmtId="49" fontId="1" fillId="0" borderId="0" xfId="0" applyNumberFormat="1" applyFont="1" applyAlignment="1">
      <alignment horizontal="left" vertical="center"/>
    </xf>
    <xf numFmtId="0" fontId="17" fillId="0" borderId="0" xfId="0" applyFont="1" applyAlignment="1">
      <alignment horizontal="left"/>
    </xf>
    <xf numFmtId="11" fontId="18" fillId="0" borderId="0" xfId="0" applyNumberFormat="1" applyFont="1" applyAlignment="1">
      <alignment horizontal="left" vertical="center"/>
    </xf>
    <xf numFmtId="0" fontId="0" fillId="2" borderId="0" xfId="0" applyFill="1"/>
    <xf numFmtId="2" fontId="2" fillId="7" borderId="0" xfId="0" applyNumberFormat="1" applyFont="1" applyFill="1" applyAlignment="1">
      <alignment horizontal="left" vertical="center"/>
    </xf>
    <xf numFmtId="11" fontId="0" fillId="2" borderId="0" xfId="0" applyNumberFormat="1" applyFill="1"/>
    <xf numFmtId="0" fontId="1" fillId="3" borderId="0" xfId="0" applyFont="1" applyFill="1" applyAlignment="1">
      <alignment vertical="center"/>
    </xf>
    <xf numFmtId="0" fontId="21" fillId="0" borderId="0" xfId="0" applyFont="1"/>
    <xf numFmtId="0" fontId="4" fillId="0" borderId="0" xfId="0" applyFont="1" applyAlignment="1">
      <alignment vertical="center" wrapText="1"/>
    </xf>
    <xf numFmtId="168" fontId="1" fillId="0" borderId="0" xfId="0" applyNumberFormat="1" applyFont="1" applyAlignment="1">
      <alignment horizontal="left" vertical="center"/>
    </xf>
    <xf numFmtId="11" fontId="6" fillId="4" borderId="0" xfId="0" applyNumberFormat="1" applyFont="1" applyFill="1" applyAlignment="1">
      <alignment horizontal="left" vertical="center"/>
    </xf>
    <xf numFmtId="11" fontId="6" fillId="2" borderId="0" xfId="0" applyNumberFormat="1" applyFont="1" applyFill="1" applyAlignment="1">
      <alignment horizontal="left" vertical="center"/>
    </xf>
    <xf numFmtId="0" fontId="22" fillId="0" borderId="0" xfId="0" applyFont="1"/>
    <xf numFmtId="0" fontId="6" fillId="3" borderId="0" xfId="0" applyFont="1" applyFill="1" applyAlignment="1">
      <alignment vertical="center"/>
    </xf>
    <xf numFmtId="0" fontId="1" fillId="0" borderId="0" xfId="0" applyFont="1" applyAlignment="1">
      <alignment horizontal="left" vertical="center" wrapText="1"/>
    </xf>
    <xf numFmtId="0" fontId="6" fillId="0" borderId="0" xfId="0" applyFont="1" applyAlignment="1">
      <alignment horizontal="left" vertical="center" wrapText="1"/>
    </xf>
    <xf numFmtId="0" fontId="4" fillId="6" borderId="0" xfId="0" applyFont="1" applyFill="1" applyAlignment="1">
      <alignment vertical="center"/>
    </xf>
    <xf numFmtId="0" fontId="1" fillId="6" borderId="0" xfId="0" applyFont="1" applyFill="1" applyAlignment="1">
      <alignment horizontal="left" vertical="center"/>
    </xf>
    <xf numFmtId="0" fontId="4" fillId="4" borderId="0" xfId="0" applyFont="1" applyFill="1" applyAlignment="1">
      <alignment horizontal="center" vertical="center"/>
    </xf>
    <xf numFmtId="0" fontId="4" fillId="6" borderId="0" xfId="0" applyFont="1" applyFill="1" applyAlignment="1">
      <alignment horizontal="left" vertical="center"/>
    </xf>
    <xf numFmtId="0" fontId="4" fillId="2" borderId="0" xfId="0" applyFont="1" applyFill="1" applyAlignment="1">
      <alignment horizontal="left" vertical="center"/>
    </xf>
    <xf numFmtId="0" fontId="4" fillId="7" borderId="0" xfId="0" applyFont="1" applyFill="1" applyAlignment="1">
      <alignment horizontal="left" vertical="center"/>
    </xf>
    <xf numFmtId="11" fontId="2" fillId="5" borderId="0" xfId="0" applyNumberFormat="1" applyFont="1" applyFill="1" applyAlignment="1">
      <alignment horizontal="left" vertical="center"/>
    </xf>
    <xf numFmtId="0" fontId="2" fillId="5" borderId="0" xfId="0" applyFont="1" applyFill="1" applyAlignment="1">
      <alignment horizontal="left" vertical="center"/>
    </xf>
    <xf numFmtId="0" fontId="2" fillId="4" borderId="0" xfId="0" applyFont="1" applyFill="1" applyAlignment="1">
      <alignment horizontal="left"/>
    </xf>
    <xf numFmtId="0" fontId="2" fillId="0" borderId="0" xfId="0" applyFont="1" applyAlignment="1">
      <alignment horizontal="left"/>
    </xf>
    <xf numFmtId="0" fontId="1" fillId="7" borderId="0" xfId="0" applyFont="1" applyFill="1" applyAlignment="1">
      <alignment horizontal="left" vertical="center"/>
    </xf>
    <xf numFmtId="0" fontId="24" fillId="3" borderId="0" xfId="0" applyFont="1" applyFill="1" applyAlignment="1">
      <alignment horizontal="left" vertical="center"/>
    </xf>
    <xf numFmtId="11" fontId="1" fillId="5" borderId="0" xfId="0" applyNumberFormat="1" applyFont="1" applyFill="1" applyAlignment="1">
      <alignment horizontal="left" vertical="center"/>
    </xf>
    <xf numFmtId="0" fontId="1" fillId="5" borderId="0" xfId="0" applyFont="1" applyFill="1" applyAlignment="1">
      <alignment horizontal="left" vertical="center"/>
    </xf>
    <xf numFmtId="165" fontId="1" fillId="3" borderId="0" xfId="0" applyNumberFormat="1" applyFont="1" applyFill="1" applyAlignment="1">
      <alignment horizontal="left" vertical="center"/>
    </xf>
    <xf numFmtId="166" fontId="1" fillId="6" borderId="0" xfId="0" applyNumberFormat="1" applyFont="1" applyFill="1" applyAlignment="1">
      <alignment horizontal="left" vertical="center"/>
    </xf>
    <xf numFmtId="0" fontId="1" fillId="7" borderId="0" xfId="0" applyFont="1" applyFill="1" applyAlignment="1">
      <alignment horizontal="left" vertical="center" wrapText="1"/>
    </xf>
    <xf numFmtId="167" fontId="1" fillId="3" borderId="0" xfId="0" applyNumberFormat="1" applyFont="1" applyFill="1" applyAlignment="1">
      <alignment horizontal="left" vertical="center"/>
    </xf>
    <xf numFmtId="166" fontId="1" fillId="3" borderId="0" xfId="0" applyNumberFormat="1" applyFont="1" applyFill="1" applyAlignment="1">
      <alignment horizontal="left" vertical="center"/>
    </xf>
    <xf numFmtId="1" fontId="1" fillId="2" borderId="0" xfId="0" applyNumberFormat="1" applyFont="1" applyFill="1" applyAlignment="1">
      <alignment horizontal="left" vertical="center"/>
    </xf>
    <xf numFmtId="0" fontId="6" fillId="7" borderId="0" xfId="0" applyFont="1" applyFill="1" applyAlignment="1">
      <alignment horizontal="left" vertical="center" wrapText="1"/>
    </xf>
    <xf numFmtId="164" fontId="1" fillId="3" borderId="0" xfId="0" applyNumberFormat="1" applyFont="1" applyFill="1" applyAlignment="1">
      <alignment horizontal="left" vertical="center"/>
    </xf>
    <xf numFmtId="1" fontId="6" fillId="3" borderId="0" xfId="0" applyNumberFormat="1" applyFont="1" applyFill="1" applyAlignment="1">
      <alignment horizontal="left" vertical="center"/>
    </xf>
    <xf numFmtId="166" fontId="6" fillId="3" borderId="0" xfId="0" applyNumberFormat="1" applyFont="1" applyFill="1" applyAlignment="1">
      <alignment horizontal="left" vertical="center"/>
    </xf>
    <xf numFmtId="167" fontId="6" fillId="6" borderId="0" xfId="0" applyNumberFormat="1" applyFont="1" applyFill="1" applyAlignment="1">
      <alignment horizontal="left" vertical="center"/>
    </xf>
    <xf numFmtId="167" fontId="1" fillId="6" borderId="0" xfId="0" applyNumberFormat="1" applyFont="1" applyFill="1" applyAlignment="1">
      <alignment horizontal="left" vertical="center"/>
    </xf>
    <xf numFmtId="2" fontId="1" fillId="3" borderId="0" xfId="0" applyNumberFormat="1" applyFont="1" applyFill="1" applyAlignment="1">
      <alignment horizontal="left" vertical="center"/>
    </xf>
    <xf numFmtId="11" fontId="6" fillId="5" borderId="0" xfId="0" applyNumberFormat="1" applyFont="1" applyFill="1" applyAlignment="1">
      <alignment horizontal="left" vertical="center"/>
    </xf>
    <xf numFmtId="0" fontId="6" fillId="4" borderId="0" xfId="0" applyFont="1" applyFill="1" applyAlignment="1">
      <alignment horizontal="left" vertical="center" wrapText="1"/>
    </xf>
    <xf numFmtId="0" fontId="5" fillId="2" borderId="0" xfId="0" applyFont="1" applyFill="1" applyAlignment="1">
      <alignment horizontal="left" vertical="center"/>
    </xf>
    <xf numFmtId="165" fontId="1" fillId="6" borderId="0" xfId="0" applyNumberFormat="1" applyFont="1" applyFill="1" applyAlignment="1">
      <alignment horizontal="left" vertical="center"/>
    </xf>
    <xf numFmtId="2" fontId="1" fillId="2" borderId="0" xfId="0" applyNumberFormat="1" applyFont="1" applyFill="1" applyAlignment="1">
      <alignment horizontal="left" vertical="center"/>
    </xf>
    <xf numFmtId="167" fontId="6" fillId="3" borderId="0" xfId="0" applyNumberFormat="1" applyFont="1" applyFill="1" applyAlignment="1">
      <alignment horizontal="left" vertical="center"/>
    </xf>
    <xf numFmtId="169" fontId="6" fillId="6" borderId="0" xfId="0" applyNumberFormat="1" applyFont="1" applyFill="1" applyAlignment="1">
      <alignment horizontal="left" vertical="center"/>
    </xf>
    <xf numFmtId="170" fontId="6" fillId="3" borderId="0" xfId="0" applyNumberFormat="1" applyFont="1" applyFill="1" applyAlignment="1">
      <alignment horizontal="left" vertical="center"/>
    </xf>
    <xf numFmtId="2" fontId="6" fillId="3" borderId="0" xfId="0" applyNumberFormat="1" applyFont="1" applyFill="1" applyAlignment="1">
      <alignment horizontal="left" vertical="center"/>
    </xf>
    <xf numFmtId="169" fontId="6" fillId="3" borderId="0" xfId="0" applyNumberFormat="1" applyFont="1" applyFill="1" applyAlignment="1">
      <alignment horizontal="left" vertical="center"/>
    </xf>
    <xf numFmtId="164" fontId="6" fillId="5" borderId="0" xfId="0" applyNumberFormat="1" applyFont="1" applyFill="1" applyAlignment="1">
      <alignment horizontal="left" vertical="center"/>
    </xf>
    <xf numFmtId="171" fontId="6" fillId="3" borderId="0" xfId="0" applyNumberFormat="1" applyFont="1" applyFill="1" applyAlignment="1">
      <alignment horizontal="left" vertical="center"/>
    </xf>
    <xf numFmtId="166" fontId="6" fillId="5" borderId="0" xfId="0" applyNumberFormat="1" applyFont="1" applyFill="1" applyAlignment="1">
      <alignment horizontal="left" vertical="center"/>
    </xf>
    <xf numFmtId="171" fontId="6" fillId="6" borderId="0" xfId="0" applyNumberFormat="1" applyFont="1" applyFill="1" applyAlignment="1">
      <alignment horizontal="left" vertical="center"/>
    </xf>
    <xf numFmtId="0" fontId="6" fillId="8" borderId="0" xfId="0" applyFont="1" applyFill="1" applyAlignment="1">
      <alignment horizontal="left" vertical="center" wrapText="1"/>
    </xf>
    <xf numFmtId="0" fontId="6" fillId="8" borderId="0" xfId="0" applyFont="1" applyFill="1" applyAlignment="1">
      <alignment horizontal="left" vertical="center"/>
    </xf>
    <xf numFmtId="2" fontId="1" fillId="6" borderId="0" xfId="0" applyNumberFormat="1" applyFont="1" applyFill="1" applyAlignment="1">
      <alignment horizontal="left" vertical="center"/>
    </xf>
    <xf numFmtId="165" fontId="6" fillId="6" borderId="0" xfId="0" applyNumberFormat="1" applyFont="1" applyFill="1" applyAlignment="1">
      <alignment horizontal="left" vertical="center"/>
    </xf>
    <xf numFmtId="172" fontId="6" fillId="6" borderId="0" xfId="0" applyNumberFormat="1" applyFont="1" applyFill="1" applyAlignment="1">
      <alignment horizontal="left" vertical="center"/>
    </xf>
    <xf numFmtId="172" fontId="6" fillId="3" borderId="0" xfId="0" applyNumberFormat="1" applyFont="1" applyFill="1" applyAlignment="1">
      <alignment horizontal="left" vertical="center"/>
    </xf>
    <xf numFmtId="173" fontId="6" fillId="6" borderId="0" xfId="0" applyNumberFormat="1" applyFont="1" applyFill="1" applyAlignment="1">
      <alignment horizontal="left" vertical="center"/>
    </xf>
    <xf numFmtId="173" fontId="6" fillId="3" borderId="0" xfId="0" applyNumberFormat="1" applyFont="1" applyFill="1" applyAlignment="1">
      <alignment horizontal="left" vertical="center"/>
    </xf>
    <xf numFmtId="0" fontId="6" fillId="8" borderId="0" xfId="0" applyFont="1" applyFill="1" applyAlignment="1">
      <alignment vertical="center"/>
    </xf>
    <xf numFmtId="2" fontId="6" fillId="6" borderId="0" xfId="0" applyNumberFormat="1" applyFont="1" applyFill="1" applyAlignment="1">
      <alignment horizontal="left" vertical="center"/>
    </xf>
    <xf numFmtId="164" fontId="6" fillId="2" borderId="0" xfId="0" applyNumberFormat="1" applyFont="1" applyFill="1" applyAlignment="1">
      <alignment horizontal="left" vertical="center"/>
    </xf>
    <xf numFmtId="165" fontId="6" fillId="3" borderId="0" xfId="0" applyNumberFormat="1" applyFont="1" applyFill="1" applyAlignment="1">
      <alignment horizontal="left" vertical="center"/>
    </xf>
    <xf numFmtId="11" fontId="2" fillId="0" borderId="0" xfId="0" applyNumberFormat="1" applyFont="1" applyAlignment="1">
      <alignment horizontal="left" vertical="center"/>
    </xf>
    <xf numFmtId="10" fontId="1" fillId="0" borderId="0" xfId="0" applyNumberFormat="1" applyFont="1" applyAlignment="1">
      <alignment horizontal="left" vertical="center"/>
    </xf>
    <xf numFmtId="2" fontId="11" fillId="0" borderId="0" xfId="0" applyNumberFormat="1" applyFont="1" applyAlignment="1">
      <alignment horizontal="left" vertical="center"/>
    </xf>
    <xf numFmtId="166" fontId="11" fillId="0" borderId="0" xfId="0" applyNumberFormat="1" applyFont="1" applyAlignment="1">
      <alignment horizontal="left" vertical="center"/>
    </xf>
    <xf numFmtId="1" fontId="11" fillId="0" borderId="0" xfId="0" applyNumberFormat="1" applyFont="1" applyAlignment="1">
      <alignment horizontal="left" vertical="center"/>
    </xf>
    <xf numFmtId="167" fontId="11" fillId="0" borderId="0" xfId="0" applyNumberFormat="1" applyFont="1" applyAlignment="1">
      <alignment horizontal="left" vertical="center"/>
    </xf>
    <xf numFmtId="165" fontId="6" fillId="0" borderId="0" xfId="0" applyNumberFormat="1" applyFont="1" applyAlignment="1">
      <alignment horizontal="left" vertical="center"/>
    </xf>
    <xf numFmtId="0" fontId="5" fillId="0" borderId="0" xfId="0" applyFont="1" applyAlignment="1">
      <alignment horizontal="left" vertical="center" wrapText="1"/>
    </xf>
    <xf numFmtId="164" fontId="11" fillId="0" borderId="0" xfId="0" applyNumberFormat="1" applyFont="1" applyAlignment="1">
      <alignment horizontal="left" vertical="center"/>
    </xf>
    <xf numFmtId="169" fontId="11" fillId="0" borderId="0" xfId="0" applyNumberFormat="1" applyFont="1" applyAlignment="1">
      <alignment horizontal="left" vertical="center"/>
    </xf>
    <xf numFmtId="164" fontId="6" fillId="0" borderId="0" xfId="0" applyNumberFormat="1" applyFont="1" applyAlignment="1">
      <alignment horizontal="left" vertical="center"/>
    </xf>
    <xf numFmtId="2" fontId="6" fillId="0" borderId="0" xfId="0" applyNumberFormat="1" applyFont="1" applyAlignment="1">
      <alignment horizontal="left" vertical="center"/>
    </xf>
    <xf numFmtId="165" fontId="11" fillId="0" borderId="0" xfId="0" applyNumberFormat="1" applyFont="1" applyAlignment="1">
      <alignment horizontal="left" vertical="center"/>
    </xf>
    <xf numFmtId="171" fontId="11" fillId="0" borderId="0" xfId="0" applyNumberFormat="1" applyFont="1" applyAlignment="1">
      <alignment horizontal="left" vertical="center"/>
    </xf>
    <xf numFmtId="0" fontId="27" fillId="0" borderId="0" xfId="0" applyFont="1" applyAlignment="1">
      <alignment horizontal="left" vertical="center"/>
    </xf>
    <xf numFmtId="0" fontId="1" fillId="0" borderId="0" xfId="0" applyFont="1" applyAlignment="1">
      <alignment vertical="center" wrapText="1"/>
    </xf>
    <xf numFmtId="0" fontId="0" fillId="0" borderId="0" xfId="0" applyAlignment="1">
      <alignment vertical="center"/>
    </xf>
    <xf numFmtId="165" fontId="6" fillId="9" borderId="0" xfId="0" applyNumberFormat="1" applyFont="1" applyFill="1" applyAlignment="1">
      <alignment horizontal="left" vertical="center"/>
    </xf>
    <xf numFmtId="164" fontId="1" fillId="2" borderId="0" xfId="0" applyNumberFormat="1" applyFont="1" applyFill="1" applyAlignment="1">
      <alignment horizontal="left" vertical="center"/>
    </xf>
    <xf numFmtId="11" fontId="1" fillId="4" borderId="0" xfId="0" applyNumberFormat="1" applyFont="1" applyFill="1" applyAlignment="1">
      <alignment horizontal="left" vertical="center"/>
    </xf>
    <xf numFmtId="164" fontId="1" fillId="4" borderId="0" xfId="0" applyNumberFormat="1" applyFont="1" applyFill="1" applyAlignment="1">
      <alignment horizontal="left" vertical="center"/>
    </xf>
    <xf numFmtId="2" fontId="1" fillId="7" borderId="0" xfId="0" applyNumberFormat="1" applyFont="1" applyFill="1" applyAlignment="1">
      <alignment horizontal="left" vertical="center"/>
    </xf>
    <xf numFmtId="2" fontId="1" fillId="4" borderId="0" xfId="0" applyNumberFormat="1" applyFont="1" applyFill="1" applyAlignment="1">
      <alignment horizontal="left" vertical="center"/>
    </xf>
    <xf numFmtId="0" fontId="28" fillId="0" borderId="0" xfId="0" applyFont="1" applyAlignment="1">
      <alignment horizontal="left" vertical="center"/>
    </xf>
    <xf numFmtId="168" fontId="6" fillId="0" borderId="0" xfId="0" applyNumberFormat="1" applyFont="1" applyAlignment="1">
      <alignment horizontal="left" vertical="center"/>
    </xf>
    <xf numFmtId="11" fontId="12" fillId="4" borderId="0" xfId="0" applyNumberFormat="1" applyFont="1" applyFill="1" applyAlignment="1">
      <alignment horizontal="left" vertical="center"/>
    </xf>
    <xf numFmtId="0" fontId="10" fillId="0" borderId="0" xfId="0" applyFont="1" applyAlignment="1">
      <alignment vertical="center" wrapText="1"/>
    </xf>
    <xf numFmtId="0" fontId="28" fillId="0" borderId="0" xfId="0" applyFont="1" applyAlignment="1">
      <alignment vertical="center"/>
    </xf>
    <xf numFmtId="2" fontId="6" fillId="5" borderId="0" xfId="0" applyNumberFormat="1" applyFont="1" applyFill="1" applyAlignment="1">
      <alignment horizontal="left" vertical="center"/>
    </xf>
    <xf numFmtId="0" fontId="10" fillId="4" borderId="0" xfId="0" applyFont="1" applyFill="1" applyAlignment="1">
      <alignment vertical="center"/>
    </xf>
    <xf numFmtId="0" fontId="1" fillId="4" borderId="0" xfId="0" applyFont="1" applyFill="1" applyAlignment="1">
      <alignment vertical="center"/>
    </xf>
    <xf numFmtId="167" fontId="1" fillId="2" borderId="0" xfId="0" applyNumberFormat="1" applyFont="1" applyFill="1" applyAlignment="1">
      <alignment horizontal="left" vertical="center"/>
    </xf>
    <xf numFmtId="166" fontId="1" fillId="0" borderId="0" xfId="0" applyNumberFormat="1" applyFont="1" applyAlignment="1">
      <alignment horizontal="left" vertical="center"/>
    </xf>
    <xf numFmtId="0" fontId="2" fillId="0" borderId="0" xfId="0" applyFont="1" applyAlignment="1">
      <alignment horizontal="left" vertical="center" wrapText="1"/>
    </xf>
    <xf numFmtId="0" fontId="31" fillId="0" borderId="0" xfId="0" applyFont="1" applyAlignment="1">
      <alignment horizontal="left" vertical="center"/>
    </xf>
    <xf numFmtId="11" fontId="1" fillId="0" borderId="0" xfId="0" applyNumberFormat="1" applyFont="1" applyAlignment="1">
      <alignment horizontal="left" vertical="center" wrapText="1"/>
    </xf>
    <xf numFmtId="167" fontId="6" fillId="4" borderId="0" xfId="0" applyNumberFormat="1" applyFont="1" applyFill="1" applyAlignment="1">
      <alignment horizontal="left" vertical="center"/>
    </xf>
    <xf numFmtId="165" fontId="1" fillId="0" borderId="0" xfId="0" applyNumberFormat="1" applyFont="1" applyAlignment="1">
      <alignment horizontal="left" vertical="center"/>
    </xf>
    <xf numFmtId="0" fontId="29" fillId="0" borderId="0" xfId="0" applyFont="1" applyAlignment="1">
      <alignment vertical="center"/>
    </xf>
    <xf numFmtId="11" fontId="29" fillId="0" borderId="0" xfId="0" applyNumberFormat="1" applyFont="1" applyAlignment="1">
      <alignment vertical="center"/>
    </xf>
    <xf numFmtId="0" fontId="9" fillId="0" borderId="0" xfId="0" applyFont="1" applyAlignment="1">
      <alignment vertical="center"/>
    </xf>
    <xf numFmtId="0" fontId="4" fillId="4" borderId="0" xfId="0" applyFont="1" applyFill="1" applyAlignment="1">
      <alignment vertical="center"/>
    </xf>
    <xf numFmtId="0" fontId="4" fillId="7" borderId="0" xfId="0" applyFont="1" applyFill="1" applyAlignment="1">
      <alignment vertical="center"/>
    </xf>
    <xf numFmtId="0" fontId="20" fillId="0" borderId="0" xfId="0" applyFont="1" applyAlignment="1">
      <alignment vertical="center"/>
    </xf>
    <xf numFmtId="0" fontId="0" fillId="0" borderId="0" xfId="0" applyAlignment="1">
      <alignment horizontal="left" vertical="center"/>
    </xf>
    <xf numFmtId="0" fontId="18" fillId="0" borderId="0" xfId="0" applyFont="1" applyAlignment="1">
      <alignment vertical="center"/>
    </xf>
    <xf numFmtId="167" fontId="1" fillId="0" borderId="0" xfId="0" applyNumberFormat="1" applyFont="1" applyAlignment="1">
      <alignment horizontal="left" vertical="center"/>
    </xf>
    <xf numFmtId="11" fontId="5" fillId="0" borderId="0" xfId="0" applyNumberFormat="1" applyFont="1" applyAlignment="1">
      <alignment horizontal="left" vertical="center"/>
    </xf>
    <xf numFmtId="1" fontId="5" fillId="0" borderId="0" xfId="0" applyNumberFormat="1" applyFont="1" applyAlignment="1">
      <alignment horizontal="left" vertical="center"/>
    </xf>
    <xf numFmtId="164" fontId="5" fillId="0" borderId="0" xfId="0" applyNumberFormat="1" applyFont="1" applyAlignment="1">
      <alignment horizontal="left" vertical="center"/>
    </xf>
    <xf numFmtId="2" fontId="5" fillId="0" borderId="0" xfId="0" applyNumberFormat="1" applyFont="1" applyAlignment="1">
      <alignment horizontal="left" vertical="center"/>
    </xf>
    <xf numFmtId="167" fontId="5" fillId="0" borderId="0" xfId="0" applyNumberFormat="1" applyFont="1" applyAlignment="1">
      <alignment horizontal="left" vertical="center"/>
    </xf>
    <xf numFmtId="165" fontId="5" fillId="0" borderId="0" xfId="0" applyNumberFormat="1" applyFont="1" applyAlignment="1">
      <alignment horizontal="left" vertical="center"/>
    </xf>
    <xf numFmtId="11" fontId="1" fillId="10" borderId="0" xfId="0" applyNumberFormat="1" applyFont="1" applyFill="1" applyAlignment="1">
      <alignment horizontal="left" vertical="center"/>
    </xf>
    <xf numFmtId="11" fontId="6" fillId="10" borderId="0" xfId="0" applyNumberFormat="1" applyFont="1" applyFill="1" applyAlignment="1">
      <alignment horizontal="left" vertical="center"/>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27" fillId="0" borderId="5" xfId="0" applyFont="1" applyBorder="1" applyAlignment="1">
      <alignment horizontal="left" vertical="center"/>
    </xf>
    <xf numFmtId="11" fontId="1" fillId="0" borderId="4" xfId="0" applyNumberFormat="1" applyFont="1" applyBorder="1" applyAlignment="1">
      <alignment horizontal="left" vertical="center"/>
    </xf>
    <xf numFmtId="11" fontId="1" fillId="0" borderId="5" xfId="0" applyNumberFormat="1" applyFont="1" applyBorder="1" applyAlignment="1">
      <alignment horizontal="left" vertical="center"/>
    </xf>
    <xf numFmtId="11" fontId="1" fillId="0" borderId="6" xfId="0" applyNumberFormat="1" applyFont="1" applyBorder="1" applyAlignment="1">
      <alignment horizontal="left" vertical="center"/>
    </xf>
    <xf numFmtId="11" fontId="1" fillId="0" borderId="7" xfId="0" applyNumberFormat="1" applyFont="1" applyBorder="1" applyAlignment="1">
      <alignment horizontal="left" vertical="center"/>
    </xf>
    <xf numFmtId="11" fontId="1" fillId="0" borderId="8" xfId="0" applyNumberFormat="1"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11" fontId="1" fillId="10" borderId="5" xfId="0" applyNumberFormat="1" applyFont="1" applyFill="1" applyBorder="1" applyAlignment="1">
      <alignment horizontal="left" vertical="center"/>
    </xf>
    <xf numFmtId="0" fontId="1" fillId="0" borderId="9" xfId="0" applyFont="1" applyBorder="1" applyAlignment="1">
      <alignment horizontal="left" vertical="center"/>
    </xf>
    <xf numFmtId="11" fontId="1" fillId="0" borderId="1" xfId="0" applyNumberFormat="1" applyFont="1" applyBorder="1" applyAlignment="1">
      <alignment horizontal="left" vertical="center"/>
    </xf>
    <xf numFmtId="11" fontId="1" fillId="0" borderId="2" xfId="0" applyNumberFormat="1"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11" fontId="1" fillId="0" borderId="3" xfId="0" applyNumberFormat="1" applyFont="1" applyBorder="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18" fillId="0" borderId="0" xfId="0" applyFont="1" applyAlignment="1">
      <alignment horizontal="left" vertical="center" wrapText="1"/>
    </xf>
    <xf numFmtId="0" fontId="2" fillId="0" borderId="0" xfId="0" applyFont="1" applyAlignment="1">
      <alignment horizontal="left" vertical="center" wrapText="1"/>
    </xf>
    <xf numFmtId="0" fontId="1" fillId="0" borderId="0" xfId="0" applyFont="1" applyAlignment="1">
      <alignment horizontal="left" vertical="center"/>
    </xf>
    <xf numFmtId="0" fontId="2" fillId="0" borderId="0" xfId="0" applyFont="1" applyAlignment="1">
      <alignment horizontal="left" vertical="center"/>
    </xf>
    <xf numFmtId="0" fontId="4" fillId="4" borderId="0" xfId="0" applyFont="1" applyFill="1" applyAlignment="1">
      <alignment horizontal="left" vertical="center"/>
    </xf>
    <xf numFmtId="0" fontId="6" fillId="4" borderId="0" xfId="0" applyFont="1" applyFill="1" applyAlignment="1">
      <alignment horizontal="left" vertical="center"/>
    </xf>
    <xf numFmtId="0" fontId="1" fillId="3" borderId="0" xfId="0" applyFont="1" applyFill="1" applyAlignment="1">
      <alignment horizontal="left" vertical="center" wrapText="1"/>
    </xf>
    <xf numFmtId="0" fontId="10" fillId="4" borderId="0" xfId="0" applyFont="1" applyFill="1" applyAlignment="1">
      <alignment horizontal="left" vertical="center"/>
    </xf>
    <xf numFmtId="0" fontId="10" fillId="0" borderId="0" xfId="0" applyFont="1" applyAlignment="1">
      <alignment horizontal="left" vertical="center"/>
    </xf>
    <xf numFmtId="0" fontId="1" fillId="4" borderId="0" xfId="0" applyFont="1" applyFill="1" applyAlignment="1">
      <alignment horizontal="left" vertical="center"/>
    </xf>
    <xf numFmtId="0" fontId="2" fillId="3" borderId="0" xfId="0" applyFont="1" applyFill="1" applyAlignment="1">
      <alignment horizontal="center" vertical="center"/>
    </xf>
    <xf numFmtId="0" fontId="1" fillId="3" borderId="0" xfId="0" applyFont="1" applyFill="1" applyAlignment="1">
      <alignment horizontal="left" vertical="center"/>
    </xf>
    <xf numFmtId="11" fontId="2" fillId="5" borderId="0" xfId="0" applyNumberFormat="1" applyFont="1" applyFill="1" applyAlignment="1">
      <alignment horizontal="center" vertical="center"/>
    </xf>
    <xf numFmtId="0" fontId="6" fillId="4" borderId="0" xfId="0" applyFont="1" applyFill="1" applyAlignment="1">
      <alignment horizontal="left" vertical="center" wrapText="1"/>
    </xf>
    <xf numFmtId="0" fontId="6" fillId="0" borderId="0" xfId="0" applyFont="1" applyAlignment="1">
      <alignment horizontal="left" vertical="center" wrapText="1"/>
    </xf>
    <xf numFmtId="0" fontId="2" fillId="6" borderId="0" xfId="0" applyFont="1" applyFill="1" applyAlignment="1">
      <alignment horizontal="center" vertical="center"/>
    </xf>
    <xf numFmtId="0" fontId="2" fillId="2" borderId="0" xfId="0" applyFont="1" applyFill="1" applyAlignment="1">
      <alignment horizontal="center" vertical="center"/>
    </xf>
    <xf numFmtId="0" fontId="2" fillId="7" borderId="0" xfId="0" applyFont="1" applyFill="1" applyAlignment="1">
      <alignment horizontal="center" vertical="center"/>
    </xf>
    <xf numFmtId="0" fontId="1" fillId="4" borderId="0" xfId="0" applyFont="1" applyFill="1" applyAlignment="1">
      <alignment horizontal="left" vertical="center" wrapText="1"/>
    </xf>
    <xf numFmtId="0" fontId="20" fillId="7" borderId="0" xfId="0" applyFont="1" applyFill="1" applyAlignment="1">
      <alignment horizontal="center" vertical="center"/>
    </xf>
    <xf numFmtId="0" fontId="20" fillId="6" borderId="0" xfId="0" applyFont="1" applyFill="1" applyAlignment="1">
      <alignment horizontal="center" vertical="center"/>
    </xf>
    <xf numFmtId="0" fontId="20" fillId="2" borderId="0" xfId="0" applyFont="1" applyFill="1" applyAlignment="1">
      <alignment horizontal="center" vertical="center"/>
    </xf>
    <xf numFmtId="0" fontId="20" fillId="3" borderId="0" xfId="0" applyFont="1" applyFill="1" applyAlignment="1">
      <alignment horizontal="center" vertical="center"/>
    </xf>
    <xf numFmtId="11" fontId="2" fillId="2" borderId="0" xfId="0" applyNumberFormat="1" applyFont="1" applyFill="1" applyAlignment="1">
      <alignment horizontal="left" vertical="center"/>
    </xf>
    <xf numFmtId="0" fontId="4" fillId="6" borderId="0" xfId="0" applyFont="1" applyFill="1" applyAlignment="1">
      <alignment horizontal="center" vertical="center"/>
    </xf>
    <xf numFmtId="0" fontId="4" fillId="2" borderId="0" xfId="0" applyFont="1" applyFill="1" applyAlignment="1">
      <alignment horizontal="center" vertical="center"/>
    </xf>
    <xf numFmtId="0" fontId="4" fillId="4" borderId="0" xfId="0" applyFont="1" applyFill="1" applyAlignment="1">
      <alignment horizontal="center" vertical="center"/>
    </xf>
    <xf numFmtId="0" fontId="4" fillId="7" borderId="0" xfId="0" applyFont="1" applyFill="1" applyAlignment="1">
      <alignment horizontal="center" vertical="center"/>
    </xf>
    <xf numFmtId="0" fontId="1" fillId="7" borderId="0" xfId="0" applyFont="1" applyFill="1" applyAlignment="1">
      <alignment horizontal="center" vertical="center"/>
    </xf>
    <xf numFmtId="0" fontId="1" fillId="4" borderId="0" xfId="0" applyFont="1" applyFill="1" applyAlignment="1">
      <alignment horizontal="center" vertical="center"/>
    </xf>
    <xf numFmtId="0" fontId="1" fillId="0" borderId="0" xfId="0" applyFont="1" applyAlignment="1">
      <alignment vertical="center"/>
    </xf>
    <xf numFmtId="0" fontId="2" fillId="0" borderId="0" xfId="0" applyFont="1" applyAlignment="1">
      <alignment vertical="center"/>
    </xf>
  </cellXfs>
  <cellStyles count="1">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91E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CIRAIG">
  <a:themeElements>
    <a:clrScheme name="CIRAIG 2022">
      <a:dk1>
        <a:srgbClr val="000000"/>
      </a:dk1>
      <a:lt1>
        <a:srgbClr val="FFFFFF"/>
      </a:lt1>
      <a:dk2>
        <a:srgbClr val="000000"/>
      </a:dk2>
      <a:lt2>
        <a:srgbClr val="D9D9D9"/>
      </a:lt2>
      <a:accent1>
        <a:srgbClr val="00A1C0"/>
      </a:accent1>
      <a:accent2>
        <a:srgbClr val="0BAC43"/>
      </a:accent2>
      <a:accent3>
        <a:srgbClr val="FA961E"/>
      </a:accent3>
      <a:accent4>
        <a:srgbClr val="B91E32"/>
      </a:accent4>
      <a:accent5>
        <a:srgbClr val="005379"/>
      </a:accent5>
      <a:accent6>
        <a:srgbClr val="FDDA64"/>
      </a:accent6>
      <a:hlink>
        <a:srgbClr val="00A1C0"/>
      </a:hlink>
      <a:folHlink>
        <a:srgbClr val="09AB41"/>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Bureau">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IRAIG" id="{B5724ADF-90D5-4145-8B9F-4423223C93B6}" vid="{4AD97CF5-F05B-A54B-B80C-30BFCBC37F79}"/>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7255-D796-D147-8104-BE78678D484E}">
  <dimension ref="A1:J13"/>
  <sheetViews>
    <sheetView tabSelected="1" workbookViewId="0">
      <selection activeCell="C21" sqref="C21"/>
    </sheetView>
  </sheetViews>
  <sheetFormatPr baseColWidth="10" defaultColWidth="15.83203125" defaultRowHeight="20" customHeight="1" x14ac:dyDescent="0.2"/>
  <cols>
    <col min="1" max="16384" width="15.83203125" style="4"/>
  </cols>
  <sheetData>
    <row r="1" spans="1:10" ht="20" customHeight="1" x14ac:dyDescent="0.2">
      <c r="A1" s="10" t="s">
        <v>1011</v>
      </c>
    </row>
    <row r="2" spans="1:10" ht="20" customHeight="1" x14ac:dyDescent="0.2">
      <c r="A2" s="14"/>
    </row>
    <row r="3" spans="1:10" ht="20" customHeight="1" x14ac:dyDescent="0.2">
      <c r="A3" s="3" t="s">
        <v>784</v>
      </c>
    </row>
    <row r="5" spans="1:10" ht="20" customHeight="1" x14ac:dyDescent="0.2">
      <c r="A5" s="4" t="s">
        <v>1016</v>
      </c>
    </row>
    <row r="7" spans="1:10" ht="20" customHeight="1" x14ac:dyDescent="0.2">
      <c r="A7" s="214" t="s">
        <v>988</v>
      </c>
      <c r="B7" s="214"/>
      <c r="C7" s="214"/>
      <c r="D7" s="214"/>
      <c r="E7" s="214"/>
      <c r="F7" s="214"/>
      <c r="G7" s="214"/>
      <c r="H7" s="214"/>
      <c r="I7" s="214"/>
      <c r="J7" s="214"/>
    </row>
    <row r="8" spans="1:10" ht="20" customHeight="1" x14ac:dyDescent="0.2">
      <c r="A8" s="214"/>
      <c r="B8" s="214"/>
      <c r="C8" s="214"/>
      <c r="D8" s="214"/>
      <c r="E8" s="214"/>
      <c r="F8" s="214"/>
      <c r="G8" s="214"/>
      <c r="H8" s="214"/>
      <c r="I8" s="214"/>
      <c r="J8" s="214"/>
    </row>
    <row r="10" spans="1:10" ht="20" customHeight="1" x14ac:dyDescent="0.2">
      <c r="A10" s="214" t="s">
        <v>1007</v>
      </c>
      <c r="B10" s="214"/>
      <c r="C10" s="214"/>
      <c r="D10" s="214"/>
      <c r="E10" s="214"/>
      <c r="F10" s="214"/>
      <c r="G10" s="214"/>
      <c r="H10" s="214"/>
      <c r="I10" s="214"/>
      <c r="J10" s="214"/>
    </row>
    <row r="11" spans="1:10" ht="20" customHeight="1" x14ac:dyDescent="0.2">
      <c r="A11" s="214"/>
      <c r="B11" s="214"/>
      <c r="C11" s="214"/>
      <c r="D11" s="214"/>
      <c r="E11" s="214"/>
      <c r="F11" s="214"/>
      <c r="G11" s="214"/>
      <c r="H11" s="214"/>
      <c r="I11" s="214"/>
      <c r="J11" s="214"/>
    </row>
    <row r="12" spans="1:10" ht="20" customHeight="1" x14ac:dyDescent="0.2">
      <c r="A12" s="214"/>
      <c r="B12" s="214"/>
      <c r="C12" s="214"/>
      <c r="D12" s="214"/>
      <c r="E12" s="214"/>
      <c r="F12" s="214"/>
      <c r="G12" s="214"/>
      <c r="H12" s="214"/>
      <c r="I12" s="214"/>
      <c r="J12" s="214"/>
    </row>
    <row r="13" spans="1:10" ht="20" customHeight="1" x14ac:dyDescent="0.2">
      <c r="A13" s="214"/>
      <c r="B13" s="214"/>
      <c r="C13" s="214"/>
      <c r="D13" s="214"/>
      <c r="E13" s="214"/>
      <c r="F13" s="214"/>
      <c r="G13" s="214"/>
      <c r="H13" s="214"/>
      <c r="I13" s="214"/>
      <c r="J13" s="214"/>
    </row>
  </sheetData>
  <mergeCells count="2">
    <mergeCell ref="A7:J8"/>
    <mergeCell ref="A10:J13"/>
  </mergeCells>
  <phoneticPr fontId="7" type="noConversion"/>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658CF-CC1E-8742-99FA-8B49839B3AA9}">
  <dimension ref="A1:T34"/>
  <sheetViews>
    <sheetView workbookViewId="0"/>
  </sheetViews>
  <sheetFormatPr baseColWidth="10" defaultColWidth="15.83203125" defaultRowHeight="20" customHeight="1" x14ac:dyDescent="0.2"/>
  <cols>
    <col min="1" max="1" width="28.83203125" style="4" customWidth="1"/>
    <col min="2" max="2" width="15.83203125" style="4" customWidth="1"/>
    <col min="3" max="3" width="15.83203125" style="4"/>
    <col min="4" max="4" width="17.83203125" style="11" customWidth="1"/>
    <col min="5" max="6" width="17.83203125" style="4" customWidth="1"/>
    <col min="7" max="9" width="15.83203125" style="3" customWidth="1"/>
    <col min="10" max="12" width="15.83203125" style="4" customWidth="1"/>
    <col min="13" max="16" width="15.83203125" style="4"/>
    <col min="17" max="17" width="16.83203125" style="4" customWidth="1"/>
    <col min="18" max="16384" width="15.83203125" style="4"/>
  </cols>
  <sheetData>
    <row r="1" spans="1:20" s="38" customFormat="1" ht="20" customHeight="1" x14ac:dyDescent="0.2">
      <c r="A1" s="158" t="s">
        <v>998</v>
      </c>
      <c r="D1" s="10"/>
      <c r="G1" s="3"/>
      <c r="H1" s="3"/>
      <c r="I1" s="3"/>
      <c r="P1" s="11"/>
      <c r="Q1" s="11"/>
      <c r="R1" s="11"/>
    </row>
    <row r="2" spans="1:20" ht="20" customHeight="1" x14ac:dyDescent="0.2">
      <c r="A2" s="3" t="s">
        <v>174</v>
      </c>
      <c r="B2" s="3" t="s">
        <v>119</v>
      </c>
      <c r="C2" s="3" t="s">
        <v>177</v>
      </c>
      <c r="D2" s="3" t="s">
        <v>178</v>
      </c>
      <c r="E2" s="3" t="s">
        <v>180</v>
      </c>
      <c r="F2" s="3" t="s">
        <v>179</v>
      </c>
      <c r="G2" s="3" t="s">
        <v>169</v>
      </c>
      <c r="H2" s="3" t="s">
        <v>170</v>
      </c>
      <c r="I2" s="3" t="s">
        <v>171</v>
      </c>
      <c r="J2" s="3" t="s">
        <v>172</v>
      </c>
      <c r="K2" s="3" t="s">
        <v>675</v>
      </c>
      <c r="L2" s="3" t="s">
        <v>676</v>
      </c>
      <c r="M2" s="3" t="s">
        <v>173</v>
      </c>
      <c r="N2" s="3" t="s">
        <v>696</v>
      </c>
      <c r="O2" s="3" t="s">
        <v>697</v>
      </c>
      <c r="P2" s="9" t="s">
        <v>240</v>
      </c>
      <c r="Q2" s="9" t="s">
        <v>241</v>
      </c>
      <c r="R2" s="9" t="s">
        <v>242</v>
      </c>
    </row>
    <row r="3" spans="1:20" ht="20" customHeight="1" x14ac:dyDescent="0.2">
      <c r="A3" s="4" t="s">
        <v>885</v>
      </c>
      <c r="B3" s="4">
        <f>6/1000*10^4</f>
        <v>60</v>
      </c>
      <c r="C3" s="4">
        <f>'Drop-down lists'!$Q$8</f>
        <v>10</v>
      </c>
      <c r="D3" s="5">
        <f>'Drop-down lists'!$S$8</f>
        <v>250000</v>
      </c>
      <c r="E3" s="4">
        <f>'Drop-down lists'!$Q$9</f>
        <v>0</v>
      </c>
      <c r="F3" s="5">
        <f>'Drop-down lists'!$S$9</f>
        <v>38500</v>
      </c>
      <c r="G3" s="5">
        <f t="shared" ref="G3:G14" si="0">P3/365</f>
        <v>1.6657534246575342E-4</v>
      </c>
      <c r="H3" s="5">
        <f t="shared" ref="H3:H14" si="1">Q3/365</f>
        <v>2.7013698630136988E-5</v>
      </c>
      <c r="I3" s="5">
        <f t="shared" ref="I3:I14" si="2">R3/365</f>
        <v>4.3835616438356164E-6</v>
      </c>
      <c r="J3" s="5">
        <f>$B$20*B3^$C$20*($D$20*C3^$E$20+$F$20*D3^$G$20)</f>
        <v>5.3195434885788091E-4</v>
      </c>
      <c r="K3" s="5">
        <v>2.4029970147489989E-4</v>
      </c>
      <c r="L3" s="5">
        <v>3.1319232337502488E-3</v>
      </c>
      <c r="M3" s="5">
        <f>$B$20*B3^$C$20*($D$20*E3^$E$20+$F$20*F3^$G$20)</f>
        <v>1.0006772720094461E-5</v>
      </c>
      <c r="N3" s="5">
        <v>3.9786892203202276E-6</v>
      </c>
      <c r="O3" s="5">
        <v>3.1910201262463202E-5</v>
      </c>
      <c r="P3" s="68">
        <v>6.08E-2</v>
      </c>
      <c r="Q3" s="68">
        <v>9.8600000000000007E-3</v>
      </c>
      <c r="R3" s="68">
        <v>1.6000000000000001E-3</v>
      </c>
    </row>
    <row r="4" spans="1:20" ht="20" customHeight="1" x14ac:dyDescent="0.2">
      <c r="A4" s="4" t="s">
        <v>886</v>
      </c>
      <c r="B4" s="4">
        <f>6/100*10^4</f>
        <v>600</v>
      </c>
      <c r="C4" s="4">
        <f>'Drop-down lists'!$Q$8</f>
        <v>10</v>
      </c>
      <c r="D4" s="5">
        <f>'Drop-down lists'!$S$8</f>
        <v>250000</v>
      </c>
      <c r="E4" s="4">
        <f>'Drop-down lists'!$Q$9</f>
        <v>0</v>
      </c>
      <c r="F4" s="5">
        <f>'Drop-down lists'!$S$9</f>
        <v>38500</v>
      </c>
      <c r="G4" s="5">
        <f t="shared" si="0"/>
        <v>1.6657534246575342E-3</v>
      </c>
      <c r="H4" s="5">
        <f t="shared" si="1"/>
        <v>2.7013698630136987E-4</v>
      </c>
      <c r="I4" s="5">
        <f t="shared" si="2"/>
        <v>4.3835616438356167E-5</v>
      </c>
      <c r="J4" s="5">
        <f>$B$20*B4^$C$20*($D$20*C4^$E$20+$F$20*D4^$G$20)</f>
        <v>5.4902883538893144E-4</v>
      </c>
      <c r="K4" s="5">
        <v>2.5033985914490819E-4</v>
      </c>
      <c r="L4" s="5">
        <v>3.0778960275710419E-3</v>
      </c>
      <c r="M4" s="5">
        <f>$B$20*B4^$C$20*($D$20*E4^$E$20+$F$20*F4^$G$20)</f>
        <v>1.0327966646594693E-5</v>
      </c>
      <c r="N4" s="5">
        <v>4.1238564070088824E-6</v>
      </c>
      <c r="O4" s="5">
        <v>3.2947637744686414E-5</v>
      </c>
      <c r="P4" s="68">
        <v>0.60799999999999998</v>
      </c>
      <c r="Q4" s="68">
        <v>9.8599999999999993E-2</v>
      </c>
      <c r="R4" s="68">
        <v>1.6E-2</v>
      </c>
    </row>
    <row r="5" spans="1:20" ht="20" customHeight="1" x14ac:dyDescent="0.2">
      <c r="A5" s="4" t="s">
        <v>887</v>
      </c>
      <c r="B5" s="4">
        <f>6/10*10^4</f>
        <v>6000</v>
      </c>
      <c r="C5" s="4">
        <f>'Drop-down lists'!$Q$8</f>
        <v>10</v>
      </c>
      <c r="D5" s="5">
        <f>'Drop-down lists'!$S$8</f>
        <v>250000</v>
      </c>
      <c r="E5" s="4">
        <f>'Drop-down lists'!$Q$9</f>
        <v>0</v>
      </c>
      <c r="F5" s="5">
        <f>'Drop-down lists'!$S$9</f>
        <v>38500</v>
      </c>
      <c r="G5" s="5">
        <f t="shared" si="0"/>
        <v>1.6657534246575342E-2</v>
      </c>
      <c r="H5" s="5">
        <f t="shared" si="1"/>
        <v>2.7013698630136986E-3</v>
      </c>
      <c r="I5" s="5">
        <f t="shared" si="2"/>
        <v>4.3835616438356166E-4</v>
      </c>
      <c r="J5" s="5">
        <f>$B$20*B5^$C$20*($D$20*C5^$E$20+$F$20*D5^$G$20)</f>
        <v>5.6665137287759701E-4</v>
      </c>
      <c r="K5" s="5">
        <v>2.5999114619430059E-4</v>
      </c>
      <c r="L5" s="5">
        <v>3.2675967126884627E-3</v>
      </c>
      <c r="M5" s="5">
        <f>$B$20*B5^$C$20*($D$20*E5^$E$20+$F$20*F5^$G$20)</f>
        <v>1.065947014455281E-5</v>
      </c>
      <c r="N5" s="5">
        <v>4.2313401588267921E-6</v>
      </c>
      <c r="O5" s="5">
        <v>3.2981784326449059E-5</v>
      </c>
      <c r="P5" s="68">
        <v>6.08</v>
      </c>
      <c r="Q5" s="68">
        <v>0.98599999999999999</v>
      </c>
      <c r="R5" s="68">
        <v>0.16</v>
      </c>
    </row>
    <row r="6" spans="1:20" ht="20" customHeight="1" x14ac:dyDescent="0.2">
      <c r="A6" s="4" t="s">
        <v>888</v>
      </c>
      <c r="B6" s="4">
        <f>6/1000*10^4</f>
        <v>60</v>
      </c>
      <c r="C6" s="4">
        <f>'Drop-down lists'!$Q$8</f>
        <v>10</v>
      </c>
      <c r="D6" s="5">
        <f>'Drop-down lists'!$S$8</f>
        <v>250000</v>
      </c>
      <c r="E6" s="4">
        <f>'Drop-down lists'!$Q$9</f>
        <v>0</v>
      </c>
      <c r="F6" s="5">
        <f>'Drop-down lists'!$S$9</f>
        <v>38500</v>
      </c>
      <c r="G6" s="5">
        <f t="shared" si="0"/>
        <v>2.1917808219178083E-5</v>
      </c>
      <c r="H6" s="5">
        <f t="shared" si="1"/>
        <v>6.9315068493150694E-7</v>
      </c>
      <c r="I6" s="5">
        <f t="shared" si="2"/>
        <v>2.191780821917808E-8</v>
      </c>
      <c r="J6" s="5">
        <f>$B$21*B6^$C$21*($D$21*C6^$E$21+$F$21*D6^$G$21)</f>
        <v>1.3110181700334939E-4</v>
      </c>
      <c r="K6" s="5">
        <v>7.5018171612954539E-5</v>
      </c>
      <c r="L6" s="5">
        <v>3.2083610099726981E-4</v>
      </c>
      <c r="M6" s="5">
        <f>$B$21*B6^$C$21*($D$21*E6^$E$21+$F$21*F6^$G$21)</f>
        <v>8.6783150312938988E-6</v>
      </c>
      <c r="N6" s="5">
        <v>2.8300931991817307E-6</v>
      </c>
      <c r="O6" s="5">
        <v>3.7060560597758015E-5</v>
      </c>
      <c r="P6" s="68">
        <v>8.0000000000000002E-3</v>
      </c>
      <c r="Q6" s="68">
        <v>2.5300000000000002E-4</v>
      </c>
      <c r="R6" s="68">
        <v>7.9999999999999996E-6</v>
      </c>
    </row>
    <row r="7" spans="1:20" ht="20" customHeight="1" x14ac:dyDescent="0.2">
      <c r="A7" s="4" t="s">
        <v>889</v>
      </c>
      <c r="B7" s="4">
        <f>6/100*10^4</f>
        <v>600</v>
      </c>
      <c r="C7" s="4">
        <f>'Drop-down lists'!$Q$8</f>
        <v>10</v>
      </c>
      <c r="D7" s="5">
        <f>'Drop-down lists'!$S$8</f>
        <v>250000</v>
      </c>
      <c r="E7" s="4">
        <f>'Drop-down lists'!$Q$9</f>
        <v>0</v>
      </c>
      <c r="F7" s="5">
        <f>'Drop-down lists'!$S$9</f>
        <v>38500</v>
      </c>
      <c r="G7" s="5">
        <f t="shared" si="0"/>
        <v>2.1917808219178083E-4</v>
      </c>
      <c r="H7" s="5">
        <f t="shared" si="1"/>
        <v>6.9315068493150685E-6</v>
      </c>
      <c r="I7" s="5">
        <f t="shared" si="2"/>
        <v>2.1917808219178084E-7</v>
      </c>
      <c r="J7" s="5">
        <f>$B$21*B7^$C$21*($D$21*C7^$E$21+$F$21*D7^$G$21)</f>
        <v>2.2956258220002855E-4</v>
      </c>
      <c r="K7" s="5">
        <v>1.2951427887725035E-4</v>
      </c>
      <c r="L7" s="5">
        <v>5.6254264781729576E-4</v>
      </c>
      <c r="M7" s="5">
        <f>$B$21*B7^$C$21*($D$21*E7^$E$21+$F$21*F7^$G$21)</f>
        <v>1.5195948105572419E-5</v>
      </c>
      <c r="N7" s="5">
        <v>4.8368750242677101E-6</v>
      </c>
      <c r="O7" s="5">
        <v>6.5517768065207914E-5</v>
      </c>
      <c r="P7" s="68">
        <v>0.08</v>
      </c>
      <c r="Q7" s="68">
        <v>2.5300000000000001E-3</v>
      </c>
      <c r="R7" s="68">
        <v>8.0000000000000007E-5</v>
      </c>
    </row>
    <row r="8" spans="1:20" ht="20" customHeight="1" x14ac:dyDescent="0.2">
      <c r="A8" s="4" t="s">
        <v>890</v>
      </c>
      <c r="B8" s="4">
        <f>6/10*10^4</f>
        <v>6000</v>
      </c>
      <c r="C8" s="4">
        <f>'Drop-down lists'!$Q$8</f>
        <v>10</v>
      </c>
      <c r="D8" s="5">
        <f>'Drop-down lists'!$S$8</f>
        <v>250000</v>
      </c>
      <c r="E8" s="4">
        <f>'Drop-down lists'!$Q$9</f>
        <v>0</v>
      </c>
      <c r="F8" s="5">
        <f>'Drop-down lists'!$S$9</f>
        <v>38500</v>
      </c>
      <c r="G8" s="5">
        <f t="shared" si="0"/>
        <v>2.1917808219178085E-3</v>
      </c>
      <c r="H8" s="5">
        <f t="shared" si="1"/>
        <v>6.9315068493150682E-5</v>
      </c>
      <c r="I8" s="5">
        <f t="shared" si="2"/>
        <v>2.1917808219178082E-6</v>
      </c>
      <c r="J8" s="5">
        <f>$B$21*B8^$C$21*($D$21*C8^$E$21+$F$21*D8^$G$21)</f>
        <v>4.0196986091351058E-4</v>
      </c>
      <c r="K8" s="5">
        <v>2.2185457433970319E-4</v>
      </c>
      <c r="L8" s="5">
        <v>9.8026603002003467E-4</v>
      </c>
      <c r="M8" s="5">
        <f>$B$21*B8^$C$21*($D$21*E8^$E$21+$F$21*F8^$G$21)</f>
        <v>2.6608487706953097E-5</v>
      </c>
      <c r="N8" s="5">
        <v>8.4418118588883468E-6</v>
      </c>
      <c r="O8" s="5">
        <v>1.1299588277840216E-4</v>
      </c>
      <c r="P8" s="68">
        <v>0.8</v>
      </c>
      <c r="Q8" s="68">
        <v>2.53E-2</v>
      </c>
      <c r="R8" s="68">
        <v>8.0000000000000004E-4</v>
      </c>
    </row>
    <row r="9" spans="1:20" ht="20" customHeight="1" x14ac:dyDescent="0.2">
      <c r="A9" s="4" t="s">
        <v>891</v>
      </c>
      <c r="B9" s="4">
        <f>6/1000*10^4</f>
        <v>60</v>
      </c>
      <c r="C9" s="4">
        <f>'Drop-down lists'!$Q$8</f>
        <v>10</v>
      </c>
      <c r="D9" s="5">
        <f>'Drop-down lists'!$S$8</f>
        <v>250000</v>
      </c>
      <c r="E9" s="4">
        <f>'Drop-down lists'!$Q$9</f>
        <v>0</v>
      </c>
      <c r="F9" s="5">
        <f>'Drop-down lists'!$S$9</f>
        <v>38500</v>
      </c>
      <c r="G9" s="5">
        <f t="shared" si="0"/>
        <v>2.3013698630136984E-3</v>
      </c>
      <c r="H9" s="5">
        <f t="shared" si="1"/>
        <v>7.0958904109589038E-6</v>
      </c>
      <c r="I9" s="5">
        <f t="shared" si="2"/>
        <v>2.191780821917808E-8</v>
      </c>
      <c r="J9" s="5">
        <f>$B$22*B9^$C$22*($D$22*C9^$E$22+$F$22*D9^$G$22)</f>
        <v>2.5648752524462331E-4</v>
      </c>
      <c r="K9" s="5">
        <v>9.3143798888017072E-5</v>
      </c>
      <c r="L9" s="5">
        <v>1.1979741113837328E-3</v>
      </c>
      <c r="M9" s="5">
        <f>$B$22*B9^$C$22*($D$22*E9^$E$22+$F$22*F9^$G$22)</f>
        <v>2.1612895557484796E-4</v>
      </c>
      <c r="N9" s="5">
        <v>7.7913179637271025E-5</v>
      </c>
      <c r="O9" s="5">
        <v>9.6754113873803911E-4</v>
      </c>
      <c r="P9" s="68">
        <v>0.84</v>
      </c>
      <c r="Q9" s="68">
        <v>2.5899999999999999E-3</v>
      </c>
      <c r="R9" s="68">
        <v>7.9999999999999996E-6</v>
      </c>
    </row>
    <row r="10" spans="1:20" ht="20" customHeight="1" x14ac:dyDescent="0.2">
      <c r="A10" s="4" t="s">
        <v>892</v>
      </c>
      <c r="B10" s="4">
        <f>6/100*10^4</f>
        <v>600</v>
      </c>
      <c r="C10" s="4">
        <f>'Drop-down lists'!$Q$8</f>
        <v>10</v>
      </c>
      <c r="D10" s="5">
        <f>'Drop-down lists'!$S$8</f>
        <v>250000</v>
      </c>
      <c r="E10" s="4">
        <f>'Drop-down lists'!$Q$9</f>
        <v>0</v>
      </c>
      <c r="F10" s="5">
        <f>'Drop-down lists'!$S$9</f>
        <v>38500</v>
      </c>
      <c r="G10" s="5">
        <f t="shared" si="0"/>
        <v>2.3013698630136987E-2</v>
      </c>
      <c r="H10" s="5">
        <f t="shared" si="1"/>
        <v>7.0958904109589042E-5</v>
      </c>
      <c r="I10" s="5">
        <f t="shared" si="2"/>
        <v>2.1917808219178084E-7</v>
      </c>
      <c r="J10" s="5">
        <f>$B$22*B10^$C$22*($D$22*C10^$E$22+$F$22*D10^$G$22)</f>
        <v>1.5850465391327238E-3</v>
      </c>
      <c r="K10" s="5">
        <v>3.2545496977727121E-4</v>
      </c>
      <c r="L10" s="5">
        <v>1.7683013795912819E-2</v>
      </c>
      <c r="M10" s="5">
        <f>$B$22*B10^$C$22*($D$22*E10^$E$22+$F$22*F10^$G$22)</f>
        <v>1.3356378744484934E-3</v>
      </c>
      <c r="N10" s="5">
        <v>2.696360849109174E-4</v>
      </c>
      <c r="O10" s="5">
        <v>1.4291104879924802E-2</v>
      </c>
      <c r="P10" s="68">
        <v>8.4</v>
      </c>
      <c r="Q10" s="68">
        <v>2.5899999999999999E-2</v>
      </c>
      <c r="R10" s="68">
        <v>8.0000000000000007E-5</v>
      </c>
    </row>
    <row r="11" spans="1:20" ht="20" customHeight="1" x14ac:dyDescent="0.2">
      <c r="A11" s="4" t="s">
        <v>893</v>
      </c>
      <c r="B11" s="4">
        <f>6/10*10^4</f>
        <v>6000</v>
      </c>
      <c r="C11" s="4">
        <f>'Drop-down lists'!$Q$8</f>
        <v>10</v>
      </c>
      <c r="D11" s="5">
        <f>'Drop-down lists'!$S$8</f>
        <v>250000</v>
      </c>
      <c r="E11" s="4">
        <f>'Drop-down lists'!$Q$9</f>
        <v>0</v>
      </c>
      <c r="F11" s="5">
        <f>'Drop-down lists'!$S$9</f>
        <v>38500</v>
      </c>
      <c r="G11" s="5">
        <f t="shared" si="0"/>
        <v>0.23013698630136986</v>
      </c>
      <c r="H11" s="5">
        <f t="shared" si="1"/>
        <v>7.0958904109589042E-4</v>
      </c>
      <c r="I11" s="5">
        <f t="shared" si="2"/>
        <v>2.1917808219178082E-6</v>
      </c>
      <c r="J11" s="5">
        <f>$B$22*B11^$C$22*($D$22*C11^$E$22+$F$22*D11^$G$22)</f>
        <v>9.7953010729097383E-3</v>
      </c>
      <c r="K11" s="5">
        <v>1.121016153589563E-3</v>
      </c>
      <c r="L11" s="5">
        <v>0.2555770393493082</v>
      </c>
      <c r="M11" s="5">
        <f>$B$22*B11^$C$22*($D$22*E11^$E$22+$F$22*F11^$G$22)</f>
        <v>8.254000612349658E-3</v>
      </c>
      <c r="N11" s="5">
        <v>9.2056850963057426E-4</v>
      </c>
      <c r="O11" s="5">
        <v>0.20794103873700351</v>
      </c>
      <c r="P11" s="68">
        <v>84</v>
      </c>
      <c r="Q11" s="68">
        <v>0.25900000000000001</v>
      </c>
      <c r="R11" s="68">
        <v>8.0000000000000004E-4</v>
      </c>
    </row>
    <row r="12" spans="1:20" ht="20" customHeight="1" x14ac:dyDescent="0.2">
      <c r="A12" s="4" t="s">
        <v>894</v>
      </c>
      <c r="B12" s="4">
        <f>6/1000*10^4</f>
        <v>60</v>
      </c>
      <c r="C12" s="4">
        <f>'Drop-down lists'!$Q$8</f>
        <v>10</v>
      </c>
      <c r="D12" s="5">
        <f>'Drop-down lists'!$S$8</f>
        <v>250000</v>
      </c>
      <c r="E12" s="4">
        <f>'Drop-down lists'!$Q$9</f>
        <v>0</v>
      </c>
      <c r="F12" s="5">
        <f>'Drop-down lists'!$S$9</f>
        <v>38500</v>
      </c>
      <c r="G12" s="12">
        <f t="shared" si="0"/>
        <v>2.6301369863013702E-4</v>
      </c>
      <c r="H12" s="5">
        <f t="shared" si="1"/>
        <v>2.4000000000000003E-6</v>
      </c>
      <c r="I12" s="5">
        <f t="shared" si="2"/>
        <v>2.191780821917808E-8</v>
      </c>
      <c r="J12" s="5">
        <f>$B$23*B12^$C$23*($D$23*C12^$E$23+$F$23*D12^$G$23)</f>
        <v>1.0179154269600934E-4</v>
      </c>
      <c r="K12" s="5">
        <v>6.3356335691876512E-5</v>
      </c>
      <c r="L12" s="5">
        <v>2.9156295397591322E-4</v>
      </c>
      <c r="M12" s="5">
        <f>$B$23*B12^$C$23*($D$23*E12^$E$23+$F$23*F12^$G$23)</f>
        <v>3.8149484781896284E-5</v>
      </c>
      <c r="N12" s="5">
        <v>1.9585189384538216E-5</v>
      </c>
      <c r="O12" s="5">
        <v>9.8092108697839922E-5</v>
      </c>
      <c r="P12" s="68">
        <v>9.6000000000000002E-2</v>
      </c>
      <c r="Q12" s="68">
        <v>8.7600000000000004E-4</v>
      </c>
      <c r="R12" s="68">
        <v>7.9999999999999996E-6</v>
      </c>
      <c r="S12" s="68"/>
      <c r="T12" s="68"/>
    </row>
    <row r="13" spans="1:20" ht="20" customHeight="1" x14ac:dyDescent="0.2">
      <c r="A13" s="4" t="s">
        <v>895</v>
      </c>
      <c r="B13" s="4">
        <f>6/100*10^4</f>
        <v>600</v>
      </c>
      <c r="C13" s="4">
        <f>'Drop-down lists'!$Q$8</f>
        <v>10</v>
      </c>
      <c r="D13" s="5">
        <f>'Drop-down lists'!$S$8</f>
        <v>250000</v>
      </c>
      <c r="E13" s="4">
        <f>'Drop-down lists'!$Q$9</f>
        <v>0</v>
      </c>
      <c r="F13" s="5">
        <f>'Drop-down lists'!$S$9</f>
        <v>38500</v>
      </c>
      <c r="G13" s="12">
        <f t="shared" si="0"/>
        <v>2.6301369863013699E-3</v>
      </c>
      <c r="H13" s="5">
        <f t="shared" si="1"/>
        <v>2.4000000000000001E-5</v>
      </c>
      <c r="I13" s="5">
        <f t="shared" si="2"/>
        <v>2.1917808219178084E-7</v>
      </c>
      <c r="J13" s="5">
        <f>$B$23*B13^$C$23*($D$23*C13^$E$23+$F$23*D13^$G$23)</f>
        <v>1.0179154270388089E-4</v>
      </c>
      <c r="K13" s="5">
        <v>6.3551392613859001E-5</v>
      </c>
      <c r="L13" s="5">
        <v>2.865991557872934E-4</v>
      </c>
      <c r="M13" s="5">
        <f>$B$23*B13^$C$23*($D$23*E13^$E$23+$F$23*F13^$G$23)</f>
        <v>3.8149484784846391E-5</v>
      </c>
      <c r="N13" s="5">
        <v>1.9605591811553976E-5</v>
      </c>
      <c r="O13" s="5">
        <v>9.8302425332031878E-5</v>
      </c>
      <c r="P13" s="68">
        <v>0.96</v>
      </c>
      <c r="Q13" s="68">
        <v>8.7600000000000004E-3</v>
      </c>
      <c r="R13" s="68">
        <v>8.0000000000000007E-5</v>
      </c>
      <c r="S13" s="68"/>
      <c r="T13" s="68"/>
    </row>
    <row r="14" spans="1:20" ht="20" customHeight="1" x14ac:dyDescent="0.2">
      <c r="A14" s="4" t="s">
        <v>896</v>
      </c>
      <c r="B14" s="4">
        <f>6/10*10^4</f>
        <v>6000</v>
      </c>
      <c r="C14" s="4">
        <f>'Drop-down lists'!$Q$8</f>
        <v>10</v>
      </c>
      <c r="D14" s="5">
        <f>'Drop-down lists'!$S$8</f>
        <v>250000</v>
      </c>
      <c r="E14" s="4">
        <f>'Drop-down lists'!$Q$9</f>
        <v>0</v>
      </c>
      <c r="F14" s="5">
        <f>'Drop-down lists'!$S$9</f>
        <v>38500</v>
      </c>
      <c r="G14" s="12">
        <f t="shared" si="0"/>
        <v>2.6301369863013697E-2</v>
      </c>
      <c r="H14" s="5">
        <f t="shared" si="1"/>
        <v>2.4000000000000001E-4</v>
      </c>
      <c r="I14" s="5">
        <f t="shared" si="2"/>
        <v>2.1917808219178082E-6</v>
      </c>
      <c r="J14" s="5">
        <f>$B$23*B14^$C$23*($D$23*C14^$E$23+$F$23*D14^$G$23)</f>
        <v>1.0179154271175244E-4</v>
      </c>
      <c r="K14" s="5">
        <v>6.4094414471449444E-5</v>
      </c>
      <c r="L14" s="5">
        <v>2.8226297731712049E-4</v>
      </c>
      <c r="M14" s="5">
        <f>$B$23*B14^$C$23*($D$23*E14^$E$23+$F$23*F14^$G$23)</f>
        <v>3.8149484787796498E-5</v>
      </c>
      <c r="N14" s="5">
        <v>1.9587706258830397E-5</v>
      </c>
      <c r="O14" s="5">
        <v>9.6017705298612928E-5</v>
      </c>
      <c r="P14" s="68">
        <v>9.6</v>
      </c>
      <c r="Q14" s="68">
        <v>8.7599999999999997E-2</v>
      </c>
      <c r="R14" s="68">
        <v>8.0000000000000004E-4</v>
      </c>
      <c r="S14" s="68"/>
      <c r="T14" s="68"/>
    </row>
    <row r="15" spans="1:20" ht="20" customHeight="1" x14ac:dyDescent="0.2">
      <c r="A15" s="4" t="s">
        <v>897</v>
      </c>
      <c r="B15" s="4">
        <f>6/1000*10^4</f>
        <v>60</v>
      </c>
      <c r="C15" s="4">
        <f>'Drop-down lists'!$Q$8</f>
        <v>10</v>
      </c>
      <c r="D15" s="5">
        <f>'Drop-down lists'!$S$8</f>
        <v>250000</v>
      </c>
      <c r="E15" s="4">
        <f>'Drop-down lists'!$Q$9</f>
        <v>0</v>
      </c>
      <c r="F15" s="5">
        <f>'Drop-down lists'!$S$9</f>
        <v>38500</v>
      </c>
      <c r="G15" s="12">
        <f t="shared" ref="G15:G17" si="3">P15/365</f>
        <v>8.3287671232876712E-4</v>
      </c>
      <c r="H15" s="5">
        <f t="shared" ref="H15:H17" si="4">Q15/365</f>
        <v>4.2739726027397262E-6</v>
      </c>
      <c r="I15" s="5">
        <f t="shared" ref="I15:I17" si="5">R15/365</f>
        <v>2.191780821917808E-8</v>
      </c>
      <c r="J15" s="5">
        <f>$B$24*B15^$C$24*($D$24*C15^$E$24+$F$24*D15^$G$24)</f>
        <v>1.8011813921878345E-4</v>
      </c>
      <c r="K15" s="5">
        <v>1.3326626823557014E-4</v>
      </c>
      <c r="L15" s="5">
        <v>5.4113349077591661E-4</v>
      </c>
      <c r="M15" s="5">
        <f>$B$24*B15^$C$24*($D$24*E15^$E$24+$F$24*F15^$G$24)</f>
        <v>3.5442563194169012E-5</v>
      </c>
      <c r="N15" s="5">
        <v>1.2003680290923583E-5</v>
      </c>
      <c r="O15" s="5">
        <v>1.7479084781766788E-4</v>
      </c>
      <c r="P15" s="68">
        <v>0.30399999999999999</v>
      </c>
      <c r="Q15" s="68">
        <v>1.56E-3</v>
      </c>
      <c r="R15" s="68">
        <v>7.9999999999999996E-6</v>
      </c>
      <c r="S15" s="68"/>
      <c r="T15" s="68"/>
    </row>
    <row r="16" spans="1:20" ht="20" customHeight="1" x14ac:dyDescent="0.2">
      <c r="A16" s="4" t="s">
        <v>898</v>
      </c>
      <c r="B16" s="4">
        <f>6/100*10^4</f>
        <v>600</v>
      </c>
      <c r="C16" s="4">
        <f>'Drop-down lists'!$Q$8</f>
        <v>10</v>
      </c>
      <c r="D16" s="5">
        <f>'Drop-down lists'!$S$8</f>
        <v>250000</v>
      </c>
      <c r="E16" s="4">
        <f>'Drop-down lists'!$Q$9</f>
        <v>0</v>
      </c>
      <c r="F16" s="5">
        <f>'Drop-down lists'!$S$9</f>
        <v>38500</v>
      </c>
      <c r="G16" s="12">
        <f t="shared" si="3"/>
        <v>8.3287671232876708E-3</v>
      </c>
      <c r="H16" s="5">
        <f t="shared" si="4"/>
        <v>4.2739726027397258E-5</v>
      </c>
      <c r="I16" s="5">
        <f t="shared" si="5"/>
        <v>2.1917808219178084E-7</v>
      </c>
      <c r="J16" s="5">
        <f t="shared" ref="J16:J17" si="6">$B$24*B16^$C$24*($D$24*C16^$E$24+$F$24*D16^$G$24)</f>
        <v>1.8011813921899083E-4</v>
      </c>
      <c r="K16" s="5">
        <v>1.3324946124283003E-4</v>
      </c>
      <c r="L16" s="5">
        <v>5.3896818456435644E-4</v>
      </c>
      <c r="M16" s="5">
        <f t="shared" ref="M16:M17" si="7">$B$24*B16^$C$24*($D$24*E16^$E$24+$F$24*F16^$G$24)</f>
        <v>3.5442563194209826E-5</v>
      </c>
      <c r="N16" s="5">
        <v>1.2014166732403029E-5</v>
      </c>
      <c r="O16" s="5">
        <v>1.7430868187357166E-4</v>
      </c>
      <c r="P16" s="68">
        <v>3.04</v>
      </c>
      <c r="Q16" s="68">
        <v>1.5599999999999999E-2</v>
      </c>
      <c r="R16" s="68">
        <v>8.0000000000000007E-5</v>
      </c>
      <c r="S16" s="68"/>
      <c r="T16" s="68"/>
    </row>
    <row r="17" spans="1:20" ht="20" customHeight="1" x14ac:dyDescent="0.2">
      <c r="A17" s="4" t="s">
        <v>899</v>
      </c>
      <c r="B17" s="4">
        <f>6/10*10^4</f>
        <v>6000</v>
      </c>
      <c r="C17" s="4">
        <f>'Drop-down lists'!$Q$8</f>
        <v>10</v>
      </c>
      <c r="D17" s="5">
        <f>'Drop-down lists'!$S$8</f>
        <v>250000</v>
      </c>
      <c r="E17" s="4">
        <f>'Drop-down lists'!$Q$9</f>
        <v>0</v>
      </c>
      <c r="F17" s="5">
        <f>'Drop-down lists'!$S$9</f>
        <v>38500</v>
      </c>
      <c r="G17" s="12">
        <f t="shared" si="3"/>
        <v>8.3287671232876712E-2</v>
      </c>
      <c r="H17" s="5">
        <f t="shared" si="4"/>
        <v>4.2739726027397261E-4</v>
      </c>
      <c r="I17" s="5">
        <f t="shared" si="5"/>
        <v>2.1917808219178082E-6</v>
      </c>
      <c r="J17" s="5">
        <f t="shared" si="6"/>
        <v>1.8011813921919821E-4</v>
      </c>
      <c r="K17" s="5">
        <v>1.3320641538564545E-4</v>
      </c>
      <c r="L17" s="5">
        <v>5.2144043497469599E-4</v>
      </c>
      <c r="M17" s="5">
        <f t="shared" si="7"/>
        <v>3.5442563194250632E-5</v>
      </c>
      <c r="N17" s="5">
        <v>1.2006826294398818E-5</v>
      </c>
      <c r="O17" s="5">
        <v>1.6782162907992906E-4</v>
      </c>
      <c r="P17" s="68">
        <v>30.4</v>
      </c>
      <c r="Q17" s="68">
        <v>0.156</v>
      </c>
      <c r="R17" s="68">
        <v>8.0000000000000004E-4</v>
      </c>
      <c r="S17" s="68"/>
      <c r="T17" s="68"/>
    </row>
    <row r="19" spans="1:20" ht="20" customHeight="1" x14ac:dyDescent="0.2">
      <c r="A19" s="3" t="s">
        <v>232</v>
      </c>
      <c r="B19" s="3" t="s">
        <v>13</v>
      </c>
      <c r="C19" s="3" t="s">
        <v>12</v>
      </c>
      <c r="D19" s="3" t="s">
        <v>15</v>
      </c>
      <c r="E19" s="3" t="s">
        <v>14</v>
      </c>
      <c r="F19" s="3" t="s">
        <v>16</v>
      </c>
      <c r="G19" s="3" t="s">
        <v>17</v>
      </c>
      <c r="I19" s="3" t="s">
        <v>679</v>
      </c>
      <c r="J19" s="3" t="s">
        <v>120</v>
      </c>
      <c r="K19" s="3" t="s">
        <v>125</v>
      </c>
      <c r="L19" s="3" t="s">
        <v>138</v>
      </c>
      <c r="M19" s="3" t="s">
        <v>190</v>
      </c>
      <c r="N19" s="3" t="s">
        <v>127</v>
      </c>
    </row>
    <row r="20" spans="1:20" ht="20" customHeight="1" x14ac:dyDescent="0.2">
      <c r="A20" s="5" t="s">
        <v>235</v>
      </c>
      <c r="B20" s="5">
        <f>'Drop-down lists'!C20</f>
        <v>5.498191491131529E-3</v>
      </c>
      <c r="C20" s="5">
        <f>'Drop-down lists'!D20</f>
        <v>1.3720790802151868E-2</v>
      </c>
      <c r="D20" s="5">
        <f>'Drop-down lists'!E20</f>
        <v>1.7245229542043029E-2</v>
      </c>
      <c r="E20" s="5">
        <f>'Drop-down lists'!F20</f>
        <v>0.70549281899550453</v>
      </c>
      <c r="F20" s="5">
        <f>'Drop-down lists'!G20</f>
        <v>1.6158543822027385E-5</v>
      </c>
      <c r="G20" s="5">
        <f>'Drop-down lists'!H20</f>
        <v>0.4421091864971286</v>
      </c>
      <c r="H20" s="5"/>
      <c r="I20" s="4" t="s">
        <v>694</v>
      </c>
      <c r="J20" s="6">
        <f>J3/M3</f>
        <v>53.159431490801303</v>
      </c>
      <c r="K20" s="6">
        <f>J6/M6</f>
        <v>15.106828518047321</v>
      </c>
      <c r="L20" s="6">
        <f>J9/M9</f>
        <v>1.1867337468153298</v>
      </c>
      <c r="M20" s="6">
        <f>J12/M12</f>
        <v>2.6682285036864819</v>
      </c>
      <c r="N20" s="6">
        <f>J15/M15</f>
        <v>5.0819727182828682</v>
      </c>
    </row>
    <row r="21" spans="1:20" ht="20" customHeight="1" x14ac:dyDescent="0.2">
      <c r="A21" s="5" t="s">
        <v>236</v>
      </c>
      <c r="B21" s="5">
        <f>'Drop-down lists'!C21</f>
        <v>2.7325414959528186E-4</v>
      </c>
      <c r="C21" s="5">
        <f>'Drop-down lists'!D21</f>
        <v>0.24329239036966804</v>
      </c>
      <c r="D21" s="5">
        <f>'Drop-down lists'!E21</f>
        <v>1.4446952203994605E-2</v>
      </c>
      <c r="E21" s="5">
        <f>'Drop-down lists'!F21</f>
        <v>1.0090731771779824</v>
      </c>
      <c r="F21" s="5">
        <f>'Drop-down lists'!G21</f>
        <v>6.2330521521325821E-5</v>
      </c>
      <c r="G21" s="5">
        <f>'Drop-down lists'!H21</f>
        <v>0.49603678909463539</v>
      </c>
      <c r="H21" s="5"/>
      <c r="I21" s="4" t="s">
        <v>695</v>
      </c>
      <c r="J21" s="6">
        <f>M3/J3</f>
        <v>1.8811337366785794E-2</v>
      </c>
      <c r="K21" s="6">
        <f>M6/J6</f>
        <v>6.6195230772981464E-2</v>
      </c>
      <c r="L21" s="6">
        <f>M9/J9</f>
        <v>0.84264899576974117</v>
      </c>
      <c r="M21" s="6">
        <f>M12/J12</f>
        <v>0.37478049523059154</v>
      </c>
      <c r="N21" s="6">
        <f>M15/J15</f>
        <v>0.19677398038805033</v>
      </c>
    </row>
    <row r="22" spans="1:20" ht="20" customHeight="1" x14ac:dyDescent="0.2">
      <c r="A22" s="4" t="s">
        <v>237</v>
      </c>
      <c r="B22" s="5">
        <f>'Drop-down lists'!C22</f>
        <v>2.432762664179211E-4</v>
      </c>
      <c r="C22" s="5">
        <f>'Drop-down lists'!D22</f>
        <v>0.79097577099168459</v>
      </c>
      <c r="D22" s="5">
        <f>'Drop-down lists'!E22</f>
        <v>1.3261955767881682E-5</v>
      </c>
      <c r="E22" s="5">
        <f>'Drop-down lists'!F22</f>
        <v>1.8763022076137708</v>
      </c>
      <c r="F22" s="5">
        <f>'Drop-down lists'!G22</f>
        <v>1.5217890973559184E-2</v>
      </c>
      <c r="G22" s="5">
        <f>'Drop-down lists'!H22</f>
        <v>7.8461949501476475E-2</v>
      </c>
      <c r="H22" s="5"/>
      <c r="I22" s="216" t="s">
        <v>1001</v>
      </c>
      <c r="J22" s="216"/>
      <c r="K22" s="216"/>
      <c r="L22" s="216"/>
      <c r="M22" s="216"/>
      <c r="N22" s="216"/>
    </row>
    <row r="23" spans="1:20" ht="20" customHeight="1" x14ac:dyDescent="0.2">
      <c r="A23" s="4" t="s">
        <v>238</v>
      </c>
      <c r="B23" s="5">
        <f>'Drop-down lists'!C17</f>
        <v>1.0262753023911369E-2</v>
      </c>
      <c r="C23" s="5">
        <f>'Drop-down lists'!D17</f>
        <v>3.358408094206361E-11</v>
      </c>
      <c r="D23" s="5">
        <f>'Drop-down lists'!E17</f>
        <v>2.1825283888841857E-3</v>
      </c>
      <c r="E23" s="5">
        <f>'Drop-down lists'!F17</f>
        <v>0.29904863199407866</v>
      </c>
      <c r="F23" s="5">
        <f>'Drop-down lists'!G17</f>
        <v>3.780320604053785E-4</v>
      </c>
      <c r="G23" s="5">
        <f>'Drop-down lists'!H17</f>
        <v>0.21648776963088343</v>
      </c>
      <c r="I23" s="216"/>
      <c r="J23" s="216"/>
      <c r="K23" s="216"/>
      <c r="L23" s="216"/>
      <c r="M23" s="216"/>
      <c r="N23" s="216"/>
    </row>
    <row r="24" spans="1:20" ht="20" customHeight="1" x14ac:dyDescent="0.2">
      <c r="A24" s="4" t="s">
        <v>239</v>
      </c>
      <c r="B24" s="5">
        <f>'Drop-down lists'!C18</f>
        <v>1.1050589923981958E-2</v>
      </c>
      <c r="C24" s="5">
        <f>'Drop-down lists'!D18</f>
        <v>4.9999999999999827E-13</v>
      </c>
      <c r="D24" s="5">
        <f>'Drop-down lists'!E18</f>
        <v>1.0314560124374485E-2</v>
      </c>
      <c r="E24" s="5">
        <f>'Drop-down lists'!F18</f>
        <v>4.362022267738264E-3</v>
      </c>
      <c r="F24" s="5">
        <f>'Drop-down lists'!G18</f>
        <v>1.0475542749963076E-4</v>
      </c>
      <c r="G24" s="5">
        <f>'Drop-down lists'!H18</f>
        <v>0.32405972126395782</v>
      </c>
      <c r="I24" s="216"/>
      <c r="J24" s="216"/>
      <c r="K24" s="216"/>
      <c r="L24" s="216"/>
      <c r="M24" s="216"/>
      <c r="N24" s="216"/>
    </row>
    <row r="25" spans="1:20" ht="20" customHeight="1" x14ac:dyDescent="0.2">
      <c r="A25" s="4" t="s">
        <v>646</v>
      </c>
      <c r="B25" s="5">
        <f>'Drop-down lists'!C19</f>
        <v>4.7218302973121193E-9</v>
      </c>
      <c r="C25" s="5">
        <f>'Drop-down lists'!D19</f>
        <v>1.3476470812839827</v>
      </c>
      <c r="D25" s="5">
        <f>'Drop-down lists'!E19</f>
        <v>3.6784226416775896E-4</v>
      </c>
      <c r="E25" s="5">
        <f>'Drop-down lists'!F19</f>
        <v>4.9897636856199528</v>
      </c>
      <c r="F25" s="5">
        <f>'Drop-down lists'!G19</f>
        <v>5.3315116606357247E-5</v>
      </c>
      <c r="G25" s="5">
        <f>'Drop-down lists'!H19</f>
        <v>0.65085027677318608</v>
      </c>
      <c r="I25" s="216"/>
      <c r="J25" s="216"/>
      <c r="K25" s="216"/>
      <c r="L25" s="216"/>
      <c r="M25" s="216"/>
      <c r="N25" s="216"/>
    </row>
    <row r="26" spans="1:20" ht="20" customHeight="1" x14ac:dyDescent="0.2">
      <c r="A26" s="5" t="s">
        <v>772</v>
      </c>
      <c r="B26" s="5">
        <f>'Drop-down lists'!C7</f>
        <v>4.6565907501850404E-6</v>
      </c>
      <c r="C26" s="5">
        <f>'Drop-down lists'!D7</f>
        <v>2.2591669322139198</v>
      </c>
      <c r="D26" s="5">
        <f>'Drop-down lists'!E7</f>
        <v>5.3412730896969978E-4</v>
      </c>
      <c r="E26" s="5">
        <f>'Drop-down lists'!F7</f>
        <v>4.9999999999999827E-13</v>
      </c>
      <c r="F26" s="5">
        <f>'Drop-down lists'!G7</f>
        <v>8.6756319826511703</v>
      </c>
      <c r="G26" s="5">
        <f>'Drop-down lists'!H7</f>
        <v>1.4363331500021483</v>
      </c>
    </row>
    <row r="27" spans="1:20" ht="20" customHeight="1" x14ac:dyDescent="0.2">
      <c r="A27" s="5" t="s">
        <v>773</v>
      </c>
      <c r="B27" s="5">
        <f>'Drop-down lists'!C8</f>
        <v>7.2296289068305691E-3</v>
      </c>
      <c r="C27" s="5">
        <f>'Drop-down lists'!D8</f>
        <v>3.9038558090829327</v>
      </c>
      <c r="D27" s="5">
        <f>'Drop-down lists'!E8</f>
        <v>3.2687796728633455E-10</v>
      </c>
      <c r="E27" s="5">
        <f>'Drop-down lists'!F8</f>
        <v>0.5497565488813938</v>
      </c>
      <c r="F27" s="5">
        <f>'Drop-down lists'!G8</f>
        <v>55.746382030426993</v>
      </c>
      <c r="G27" s="5">
        <f>'Drop-down lists'!H8</f>
        <v>4.9468547671349521</v>
      </c>
    </row>
    <row r="28" spans="1:20" ht="20" customHeight="1" x14ac:dyDescent="0.2">
      <c r="A28" s="4" t="s">
        <v>774</v>
      </c>
      <c r="B28" s="5">
        <f>'Drop-down lists'!C10</f>
        <v>2.901642600553464E-2</v>
      </c>
      <c r="C28" s="5">
        <f>'Drop-down lists'!D10</f>
        <v>9.3039280372760433E-12</v>
      </c>
      <c r="D28" s="5">
        <f>'Drop-down lists'!E10</f>
        <v>1.6976290256311595E-7</v>
      </c>
      <c r="E28" s="5">
        <f>'Drop-down lists'!F10</f>
        <v>4.9417608236281305</v>
      </c>
      <c r="F28" s="5">
        <f>'Drop-down lists'!G10</f>
        <v>19.912251463764076</v>
      </c>
      <c r="G28" s="5">
        <f>'Drop-down lists'!H10</f>
        <v>1.3446292576895287</v>
      </c>
    </row>
    <row r="30" spans="1:20" ht="20" customHeight="1" x14ac:dyDescent="0.2">
      <c r="A30" s="158" t="s">
        <v>999</v>
      </c>
    </row>
    <row r="31" spans="1:20" ht="20" customHeight="1" x14ac:dyDescent="0.2">
      <c r="A31" s="3" t="s">
        <v>174</v>
      </c>
      <c r="B31" s="3" t="s">
        <v>119</v>
      </c>
      <c r="C31" s="3" t="s">
        <v>115</v>
      </c>
      <c r="D31" s="3" t="s">
        <v>777</v>
      </c>
      <c r="E31" s="3" t="s">
        <v>778</v>
      </c>
      <c r="F31" s="10" t="s">
        <v>54</v>
      </c>
      <c r="G31" s="3" t="s">
        <v>779</v>
      </c>
      <c r="H31" s="3" t="s">
        <v>780</v>
      </c>
      <c r="I31" s="3" t="s">
        <v>781</v>
      </c>
      <c r="J31" s="3" t="s">
        <v>782</v>
      </c>
      <c r="K31" s="3" t="s">
        <v>852</v>
      </c>
      <c r="L31" s="3" t="s">
        <v>853</v>
      </c>
      <c r="M31" s="3" t="s">
        <v>854</v>
      </c>
      <c r="N31" s="3" t="s">
        <v>855</v>
      </c>
      <c r="O31" s="3" t="s">
        <v>856</v>
      </c>
      <c r="P31" s="3" t="s">
        <v>857</v>
      </c>
    </row>
    <row r="32" spans="1:20" ht="20" customHeight="1" x14ac:dyDescent="0.2">
      <c r="A32" s="4" t="s">
        <v>775</v>
      </c>
      <c r="B32" s="4">
        <f>2*(7.5*15+7.5*0.005+15*0.005)/(7.5*15*0.005)</f>
        <v>400.4</v>
      </c>
      <c r="C32" s="167">
        <f>0.76*8/12</f>
        <v>0.50666666666666671</v>
      </c>
      <c r="D32" s="12">
        <f>$B$26*B32^$C$26*$D$26*C32^$E$26</f>
        <v>1.8844360154516284E-3</v>
      </c>
      <c r="E32" s="5">
        <f>$B$20*B32^$C$20*$D$20*C32^$E$20</f>
        <v>6.3720744879884654E-5</v>
      </c>
      <c r="F32" s="4">
        <v>41</v>
      </c>
      <c r="G32" s="58">
        <f>100*(1-EXP(-(D32+E32)*F32))</f>
        <v>7.6767728006244322</v>
      </c>
      <c r="H32" s="4">
        <v>36.799999999999997</v>
      </c>
      <c r="I32" s="5">
        <f>D32+E32</f>
        <v>1.9481567603315132E-3</v>
      </c>
      <c r="J32" s="5">
        <f>-LN(1-H32/100)/F32</f>
        <v>1.1191850849640967E-2</v>
      </c>
      <c r="K32" s="5">
        <v>8.4167728221346358E-9</v>
      </c>
      <c r="L32" s="5">
        <v>25648.151220141095</v>
      </c>
      <c r="M32" s="5">
        <v>3.7470593317347352E-5</v>
      </c>
      <c r="N32" s="5">
        <v>8.2127827528284173E-5</v>
      </c>
      <c r="O32" s="167">
        <f>100*(1-EXP(-(K32+M32)*F32))</f>
        <v>0.15354593878552647</v>
      </c>
      <c r="P32" s="7">
        <f>100*(1-EXP(-(L32+N32)*F32))</f>
        <v>100</v>
      </c>
    </row>
    <row r="33" spans="1:16" ht="20" customHeight="1" x14ac:dyDescent="0.2">
      <c r="A33" s="4" t="s">
        <v>776</v>
      </c>
      <c r="B33" s="4">
        <f>2*(7.5*15+7.5*0.005+15*0.005)/(7.5*15*0.005)</f>
        <v>400.4</v>
      </c>
      <c r="C33" s="167">
        <f>0.76*8/12</f>
        <v>0.50666666666666671</v>
      </c>
      <c r="D33" s="12">
        <f>$B$27*B33^$C$27*$D$27*C33^$E$27</f>
        <v>2.3492671823153993E-2</v>
      </c>
      <c r="E33" s="5">
        <f>$B$21*B33^$C$21*$D$21*C33^$E$21</f>
        <v>8.5418753850416235E-6</v>
      </c>
      <c r="F33" s="4">
        <v>41</v>
      </c>
      <c r="G33" s="58">
        <f>100*(1-EXP(-(D33+E33)*F33))</f>
        <v>61.846388297590295</v>
      </c>
      <c r="H33" s="4">
        <v>1.1000000000000001</v>
      </c>
      <c r="I33" s="5">
        <f>D33+E33</f>
        <v>2.3501213698539036E-2</v>
      </c>
      <c r="J33" s="5">
        <f>-LN(1-H33/100)/F33</f>
        <v>2.6977920388841336E-4</v>
      </c>
      <c r="K33" s="5">
        <v>2.2749672135719795E-2</v>
      </c>
      <c r="L33" s="5">
        <v>2.4253031082196244E-2</v>
      </c>
      <c r="M33" s="5">
        <v>6.3045505583802553E-6</v>
      </c>
      <c r="N33" s="5">
        <v>1.1338633184338195E-5</v>
      </c>
      <c r="O33" s="58">
        <f>100*(1-EXP(-(K33+M33)*F33))</f>
        <v>60.662622754044392</v>
      </c>
      <c r="P33" s="58">
        <f>100*(1-EXP(-(L33+N33)*F33))</f>
        <v>63.021708373726867</v>
      </c>
    </row>
    <row r="34" spans="1:16" ht="20" customHeight="1" x14ac:dyDescent="0.2">
      <c r="A34" s="63" t="s">
        <v>1000</v>
      </c>
    </row>
  </sheetData>
  <mergeCells count="1">
    <mergeCell ref="I22:N25"/>
  </mergeCells>
  <phoneticPr fontId="7" type="noConversion"/>
  <dataValidations disablePrompts="1" count="1">
    <dataValidation operator="greaterThan" showInputMessage="1" showErrorMessage="1" sqref="B19:C19" xr:uid="{57E74B86-8360-7B46-A14E-560962FB4586}"/>
  </dataValidations>
  <pageMargins left="0.7" right="0.7" top="0.75" bottom="0.75" header="0.3" footer="0.3"/>
  <pageSetup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446A5-7C8A-0443-9E64-E45B51E536CA}">
  <dimension ref="A1:K20"/>
  <sheetViews>
    <sheetView workbookViewId="0"/>
  </sheetViews>
  <sheetFormatPr baseColWidth="10" defaultColWidth="15.83203125" defaultRowHeight="20" customHeight="1" x14ac:dyDescent="0.2"/>
  <cols>
    <col min="1" max="1" width="18.83203125" style="4" customWidth="1"/>
    <col min="2" max="3" width="15.83203125" style="4"/>
    <col min="4" max="4" width="27.83203125" style="4" customWidth="1"/>
    <col min="5" max="5" width="16.83203125" style="4" customWidth="1"/>
    <col min="6" max="8" width="15.83203125" style="4"/>
    <col min="9" max="9" width="15.83203125" style="4" customWidth="1"/>
    <col min="10" max="16384" width="15.83203125" style="4"/>
  </cols>
  <sheetData>
    <row r="1" spans="1:11" ht="20" customHeight="1" x14ac:dyDescent="0.2">
      <c r="A1" s="158" t="s">
        <v>1002</v>
      </c>
    </row>
    <row r="2" spans="1:11" s="3" customFormat="1" ht="20" customHeight="1" x14ac:dyDescent="0.2">
      <c r="A2" s="3" t="s">
        <v>150</v>
      </c>
      <c r="B2" s="3" t="s">
        <v>151</v>
      </c>
      <c r="C2" s="3" t="s">
        <v>152</v>
      </c>
      <c r="D2" s="3" t="s">
        <v>106</v>
      </c>
      <c r="E2" s="3" t="s">
        <v>164</v>
      </c>
      <c r="F2" s="3" t="s">
        <v>121</v>
      </c>
      <c r="G2" s="3" t="s">
        <v>122</v>
      </c>
      <c r="H2" s="3" t="s">
        <v>157</v>
      </c>
      <c r="I2" s="3" t="s">
        <v>165</v>
      </c>
      <c r="J2" s="3" t="s">
        <v>153</v>
      </c>
      <c r="K2" s="3" t="s">
        <v>165</v>
      </c>
    </row>
    <row r="3" spans="1:11" ht="20" customHeight="1" x14ac:dyDescent="0.25">
      <c r="A3" s="4" t="s">
        <v>700</v>
      </c>
      <c r="B3" s="4" t="s">
        <v>125</v>
      </c>
      <c r="C3" s="4" t="s">
        <v>608</v>
      </c>
      <c r="D3" s="67" t="s">
        <v>783</v>
      </c>
      <c r="E3" s="67">
        <v>100</v>
      </c>
      <c r="F3" s="5">
        <f>Results!G25</f>
        <v>1.7869260297151172E-3</v>
      </c>
      <c r="G3" s="5">
        <f>Results!H25</f>
        <v>2.3399820173534858E-4</v>
      </c>
      <c r="H3" s="4">
        <v>0</v>
      </c>
      <c r="I3" s="4">
        <v>100</v>
      </c>
      <c r="J3" s="66" t="s">
        <v>154</v>
      </c>
      <c r="K3" s="58">
        <f>I3*EXP(-(F3+G3)*5*365)</f>
        <v>2.5017324292771632</v>
      </c>
    </row>
    <row r="4" spans="1:11" ht="20" customHeight="1" x14ac:dyDescent="0.2">
      <c r="H4" s="4">
        <v>1</v>
      </c>
      <c r="I4" s="58">
        <f>K3</f>
        <v>2.5017324292771632</v>
      </c>
      <c r="J4" s="66" t="s">
        <v>155</v>
      </c>
      <c r="K4" s="58">
        <f>I3*(EXP(-G3*5*365)-EXP(-(F3+G3)*5*365))</f>
        <v>62.741574674594538</v>
      </c>
    </row>
    <row r="5" spans="1:11" ht="20" customHeight="1" x14ac:dyDescent="0.2">
      <c r="H5" s="4">
        <v>2</v>
      </c>
      <c r="I5" s="58">
        <f>K4</f>
        <v>62.741574674594538</v>
      </c>
      <c r="J5" s="66" t="s">
        <v>156</v>
      </c>
      <c r="K5" s="58">
        <f>I3*(1-EXP(-G3*5*365))</f>
        <v>34.756692896128307</v>
      </c>
    </row>
    <row r="6" spans="1:11" ht="20" customHeight="1" x14ac:dyDescent="0.2">
      <c r="H6" s="4">
        <v>3</v>
      </c>
      <c r="I6" s="58">
        <f>K5</f>
        <v>34.756692896128307</v>
      </c>
      <c r="J6" s="66" t="s">
        <v>158</v>
      </c>
      <c r="K6" s="58">
        <f>I4*EXP(-(F3+G3)*5*365)</f>
        <v>6.2586651476970165E-2</v>
      </c>
    </row>
    <row r="7" spans="1:11" ht="20" customHeight="1" x14ac:dyDescent="0.2">
      <c r="H7" s="4">
        <v>4</v>
      </c>
      <c r="I7" s="58">
        <f>K6</f>
        <v>6.2586651476970165E-2</v>
      </c>
      <c r="J7" s="66" t="s">
        <v>159</v>
      </c>
      <c r="K7" s="58">
        <f>I4*(EXP(-G3*5*365)-EXP(-(F3+G3)*5*365))</f>
        <v>1.5696263202734793</v>
      </c>
    </row>
    <row r="8" spans="1:11" ht="20" customHeight="1" x14ac:dyDescent="0.2">
      <c r="H8" s="4">
        <v>5</v>
      </c>
      <c r="I8" s="58">
        <f>K7+K9</f>
        <v>42.504304567024178</v>
      </c>
      <c r="J8" s="66" t="s">
        <v>160</v>
      </c>
      <c r="K8" s="58">
        <f>I4*(1-EXP(-G3*5*365))</f>
        <v>0.86951945752671389</v>
      </c>
    </row>
    <row r="9" spans="1:11" ht="20" customHeight="1" x14ac:dyDescent="0.2">
      <c r="H9" s="4">
        <v>6</v>
      </c>
      <c r="I9" s="58">
        <f>K8+K10+K11</f>
        <v>57.433108781498859</v>
      </c>
      <c r="J9" s="66" t="s">
        <v>161</v>
      </c>
      <c r="K9" s="58">
        <f>I5*EXP(-G3*5*365)</f>
        <v>40.9346782467507</v>
      </c>
    </row>
    <row r="10" spans="1:11" ht="20" customHeight="1" x14ac:dyDescent="0.2">
      <c r="J10" s="66" t="s">
        <v>162</v>
      </c>
      <c r="K10" s="58">
        <f>I5*(1-EXP(-G3*5*365))</f>
        <v>21.806896427843835</v>
      </c>
    </row>
    <row r="11" spans="1:11" ht="20" customHeight="1" x14ac:dyDescent="0.2">
      <c r="J11" s="66" t="s">
        <v>163</v>
      </c>
      <c r="K11" s="58">
        <f>I6</f>
        <v>34.756692896128307</v>
      </c>
    </row>
    <row r="12" spans="1:11" ht="20" customHeight="1" x14ac:dyDescent="0.25">
      <c r="A12" s="11" t="s">
        <v>700</v>
      </c>
      <c r="B12" s="4" t="s">
        <v>125</v>
      </c>
      <c r="C12" s="4" t="s">
        <v>840</v>
      </c>
      <c r="D12" s="67" t="s">
        <v>783</v>
      </c>
      <c r="E12" s="67">
        <v>100</v>
      </c>
      <c r="F12" s="5">
        <f>Results!G26</f>
        <v>2.4634835856023474E-6</v>
      </c>
      <c r="G12" s="5">
        <f>Results!H26</f>
        <v>1.0595128028944204E-4</v>
      </c>
      <c r="H12" s="4">
        <v>0</v>
      </c>
      <c r="I12" s="4">
        <v>100</v>
      </c>
      <c r="J12" s="66" t="s">
        <v>154</v>
      </c>
      <c r="K12" s="58">
        <f>I12*EXP(-(F12+G12)*5*365)</f>
        <v>82.048722030334517</v>
      </c>
    </row>
    <row r="13" spans="1:11" ht="20" customHeight="1" x14ac:dyDescent="0.2">
      <c r="H13" s="4">
        <v>1</v>
      </c>
      <c r="I13" s="58">
        <f>K12</f>
        <v>82.048722030334517</v>
      </c>
      <c r="J13" s="66" t="s">
        <v>155</v>
      </c>
      <c r="K13" s="58">
        <f>I12*(EXP(-G12*5*365)-EXP(-(F12+G12)*5*365))</f>
        <v>0.36970982450774681</v>
      </c>
    </row>
    <row r="14" spans="1:11" ht="20" customHeight="1" x14ac:dyDescent="0.2">
      <c r="H14" s="4">
        <v>2</v>
      </c>
      <c r="I14" s="58">
        <f>K13</f>
        <v>0.36970982450774681</v>
      </c>
      <c r="J14" s="66" t="s">
        <v>156</v>
      </c>
      <c r="K14" s="58">
        <f>I12*(1-EXP(-G12*5*365))</f>
        <v>17.581568145157732</v>
      </c>
    </row>
    <row r="15" spans="1:11" ht="20" customHeight="1" x14ac:dyDescent="0.2">
      <c r="H15" s="4">
        <v>3</v>
      </c>
      <c r="I15" s="58">
        <f>K14</f>
        <v>17.581568145157732</v>
      </c>
      <c r="J15" s="66" t="s">
        <v>158</v>
      </c>
      <c r="K15" s="58">
        <f>I13*EXP(-(F12+G12)*5*365)</f>
        <v>67.319927868111009</v>
      </c>
    </row>
    <row r="16" spans="1:11" ht="20" customHeight="1" x14ac:dyDescent="0.2">
      <c r="H16" s="4">
        <v>4</v>
      </c>
      <c r="I16" s="58">
        <f>K15</f>
        <v>67.319927868111009</v>
      </c>
      <c r="J16" s="66" t="s">
        <v>159</v>
      </c>
      <c r="K16" s="58">
        <f>I13*(EXP(-G12*5*365)-EXP(-(F12+G12)*5*365))</f>
        <v>0.30334218622919873</v>
      </c>
    </row>
    <row r="17" spans="8:11" ht="20" customHeight="1" x14ac:dyDescent="0.2">
      <c r="H17" s="4">
        <v>5</v>
      </c>
      <c r="I17" s="58">
        <f>K16+K18</f>
        <v>0.60805122600177297</v>
      </c>
      <c r="J17" s="66" t="s">
        <v>160</v>
      </c>
      <c r="K17" s="58">
        <f>I13*(1-EXP(-G12*5*365))</f>
        <v>14.425451975994308</v>
      </c>
    </row>
    <row r="18" spans="8:11" ht="20" customHeight="1" x14ac:dyDescent="0.2">
      <c r="H18" s="4">
        <v>6</v>
      </c>
      <c r="I18" s="58">
        <f>K17+K19+K20</f>
        <v>32.072020905887214</v>
      </c>
      <c r="J18" s="66" t="s">
        <v>161</v>
      </c>
      <c r="K18" s="58">
        <f>I14*EXP(-G12*5*365)</f>
        <v>0.30470903977257424</v>
      </c>
    </row>
    <row r="19" spans="8:11" ht="20" customHeight="1" x14ac:dyDescent="0.2">
      <c r="J19" s="66" t="s">
        <v>162</v>
      </c>
      <c r="K19" s="58">
        <f>I14*(1-EXP(-G12*5*365))</f>
        <v>6.5000784735172568E-2</v>
      </c>
    </row>
    <row r="20" spans="8:11" ht="20" customHeight="1" x14ac:dyDescent="0.2">
      <c r="J20" s="66" t="s">
        <v>163</v>
      </c>
      <c r="K20" s="58">
        <f>I15</f>
        <v>17.581568145157732</v>
      </c>
    </row>
  </sheetData>
  <phoneticPr fontId="7" type="noConversion"/>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DA02B-07F9-AF4D-BDCD-88DA687C4C21}">
  <dimension ref="A1:BG50"/>
  <sheetViews>
    <sheetView topLeftCell="N1" zoomScaleNormal="100" workbookViewId="0">
      <selection activeCell="W25" sqref="W25"/>
    </sheetView>
  </sheetViews>
  <sheetFormatPr baseColWidth="10" defaultColWidth="15.83203125" defaultRowHeight="20" customHeight="1" x14ac:dyDescent="0.2"/>
  <cols>
    <col min="1" max="1" width="30.83203125" style="4" customWidth="1"/>
    <col min="2" max="2" width="20.83203125" style="4" customWidth="1"/>
    <col min="3" max="4" width="15.83203125" style="4"/>
    <col min="5" max="5" width="30.83203125" style="4" customWidth="1"/>
    <col min="6" max="6" width="15.83203125" style="4"/>
    <col min="7" max="7" width="16.83203125" style="4" customWidth="1"/>
    <col min="8" max="11" width="15.83203125" style="4"/>
    <col min="12" max="12" width="20.83203125" style="4" customWidth="1"/>
    <col min="13" max="13" width="18.83203125" style="4" customWidth="1"/>
    <col min="14" max="21" width="15.83203125" style="4"/>
    <col min="22" max="24" width="22.33203125" style="4" customWidth="1"/>
    <col min="25" max="16384" width="15.83203125" style="4"/>
  </cols>
  <sheetData>
    <row r="1" spans="1:59" ht="20" customHeight="1" x14ac:dyDescent="0.2">
      <c r="A1" s="158" t="s">
        <v>1003</v>
      </c>
      <c r="B1" s="158"/>
      <c r="V1" s="4" t="s">
        <v>1018</v>
      </c>
      <c r="W1" s="190" t="s">
        <v>1022</v>
      </c>
      <c r="X1" s="192" t="s">
        <v>1021</v>
      </c>
      <c r="Y1" s="190">
        <f>3/(1/2/10000)</f>
        <v>60000</v>
      </c>
      <c r="Z1" s="191">
        <f>3/(10/2/10000)</f>
        <v>6000</v>
      </c>
      <c r="AA1" s="191">
        <f>3/(100/2/10000)</f>
        <v>600</v>
      </c>
      <c r="AB1" s="191">
        <f>3/(1000/2/10000)</f>
        <v>60</v>
      </c>
      <c r="AC1" s="192">
        <f>3/(5000/2/10000)</f>
        <v>12</v>
      </c>
      <c r="AD1" s="190">
        <f>3/(1/2/10000)</f>
        <v>60000</v>
      </c>
      <c r="AE1" s="191">
        <f>3/(10/2/10000)</f>
        <v>6000</v>
      </c>
      <c r="AF1" s="191">
        <f>3/(100/2/10000)</f>
        <v>600</v>
      </c>
      <c r="AG1" s="191">
        <f>3/(1000/2/10000)</f>
        <v>60</v>
      </c>
      <c r="AH1" s="192">
        <f>3/(5000/2/10000)</f>
        <v>12</v>
      </c>
      <c r="AI1" s="190">
        <f>3/(1/2/10000)</f>
        <v>60000</v>
      </c>
      <c r="AJ1" s="191">
        <f>3/(10/2/10000)</f>
        <v>6000</v>
      </c>
      <c r="AK1" s="191">
        <f>3/(100/2/10000)</f>
        <v>600</v>
      </c>
      <c r="AL1" s="191">
        <f>3/(1000/2/10000)</f>
        <v>60</v>
      </c>
      <c r="AM1" s="192">
        <f>3/(5000/2/10000)</f>
        <v>12</v>
      </c>
      <c r="AN1" s="190">
        <f>3/(1/2/10000)</f>
        <v>60000</v>
      </c>
      <c r="AO1" s="191">
        <f>3/(10/2/10000)</f>
        <v>6000</v>
      </c>
      <c r="AP1" s="191">
        <f>3/(100/2/10000)</f>
        <v>600</v>
      </c>
      <c r="AQ1" s="191">
        <f>3/(1000/2/10000)</f>
        <v>60</v>
      </c>
      <c r="AR1" s="192">
        <f>3/(5000/2/10000)</f>
        <v>12</v>
      </c>
      <c r="AS1" s="190">
        <f>3/(1/2/10000)</f>
        <v>60000</v>
      </c>
      <c r="AT1" s="191">
        <f>3/(10/2/10000)</f>
        <v>6000</v>
      </c>
      <c r="AU1" s="191">
        <f>3/(100/2/10000)</f>
        <v>600</v>
      </c>
      <c r="AV1" s="191">
        <f>3/(1000/2/10000)</f>
        <v>60</v>
      </c>
      <c r="AW1" s="192">
        <f>3/(5000/2/10000)</f>
        <v>12</v>
      </c>
      <c r="AX1" s="190">
        <f>3/(1/2/10000)</f>
        <v>60000</v>
      </c>
      <c r="AY1" s="191">
        <f>3/(10/2/10000)</f>
        <v>6000</v>
      </c>
      <c r="AZ1" s="191">
        <f>3/(100/2/10000)</f>
        <v>600</v>
      </c>
      <c r="BA1" s="191">
        <f>3/(1000/2/10000)</f>
        <v>60</v>
      </c>
      <c r="BB1" s="192">
        <f>3/(5000/2/10000)</f>
        <v>12</v>
      </c>
      <c r="BC1" s="190">
        <f>3/(1/2/10000)</f>
        <v>60000</v>
      </c>
      <c r="BD1" s="191">
        <f>3/(10/2/10000)</f>
        <v>6000</v>
      </c>
      <c r="BE1" s="191">
        <f>3/(100/2/10000)</f>
        <v>600</v>
      </c>
      <c r="BF1" s="191">
        <f>3/(1000/2/10000)</f>
        <v>60</v>
      </c>
      <c r="BG1" s="192">
        <f>3/(5000/2/10000)</f>
        <v>12</v>
      </c>
    </row>
    <row r="2" spans="1:59" ht="20" customHeight="1" x14ac:dyDescent="0.2">
      <c r="A2" s="3" t="s">
        <v>874</v>
      </c>
      <c r="B2" s="3" t="s">
        <v>831</v>
      </c>
      <c r="C2" s="3" t="s">
        <v>24</v>
      </c>
      <c r="D2" s="3" t="s">
        <v>26</v>
      </c>
      <c r="E2" s="3" t="s">
        <v>835</v>
      </c>
      <c r="F2" s="3" t="s">
        <v>872</v>
      </c>
      <c r="G2" s="3" t="s">
        <v>1004</v>
      </c>
      <c r="H2" s="3" t="s">
        <v>873</v>
      </c>
      <c r="I2" s="3" t="s">
        <v>869</v>
      </c>
      <c r="J2" s="3" t="s">
        <v>871</v>
      </c>
      <c r="K2" s="3" t="s">
        <v>870</v>
      </c>
      <c r="L2" s="3" t="s">
        <v>829</v>
      </c>
      <c r="M2" s="3" t="s">
        <v>55</v>
      </c>
      <c r="N2" s="219" t="s">
        <v>865</v>
      </c>
      <c r="O2" s="219"/>
      <c r="P2" s="219"/>
      <c r="Q2" s="3" t="s">
        <v>866</v>
      </c>
      <c r="R2" s="3" t="s">
        <v>861</v>
      </c>
      <c r="S2" s="10" t="s">
        <v>864</v>
      </c>
      <c r="T2" s="10" t="s">
        <v>19</v>
      </c>
      <c r="U2" s="10" t="s">
        <v>20</v>
      </c>
      <c r="V2" s="3" t="s">
        <v>1017</v>
      </c>
      <c r="W2" s="193" t="s">
        <v>1019</v>
      </c>
      <c r="X2" s="200" t="s">
        <v>1020</v>
      </c>
      <c r="Y2" s="193" t="s">
        <v>1023</v>
      </c>
      <c r="Z2" s="4" t="s">
        <v>1024</v>
      </c>
      <c r="AA2" s="149" t="s">
        <v>1025</v>
      </c>
      <c r="AB2" s="149" t="s">
        <v>1026</v>
      </c>
      <c r="AC2" s="194" t="s">
        <v>1027</v>
      </c>
      <c r="AD2" s="193" t="s">
        <v>1028</v>
      </c>
      <c r="AE2" s="4" t="s">
        <v>1029</v>
      </c>
      <c r="AF2" s="149" t="s">
        <v>1030</v>
      </c>
      <c r="AG2" s="149" t="s">
        <v>1031</v>
      </c>
      <c r="AH2" s="194" t="s">
        <v>1032</v>
      </c>
      <c r="AI2" s="193" t="s">
        <v>1033</v>
      </c>
      <c r="AJ2" s="4" t="s">
        <v>1034</v>
      </c>
      <c r="AK2" s="149" t="s">
        <v>1035</v>
      </c>
      <c r="AL2" s="149" t="s">
        <v>1036</v>
      </c>
      <c r="AM2" s="194" t="s">
        <v>1037</v>
      </c>
      <c r="AN2" s="193" t="s">
        <v>1038</v>
      </c>
      <c r="AO2" s="193" t="s">
        <v>1042</v>
      </c>
      <c r="AP2" s="193" t="s">
        <v>1041</v>
      </c>
      <c r="AQ2" s="193" t="s">
        <v>1040</v>
      </c>
      <c r="AR2" s="205" t="s">
        <v>1039</v>
      </c>
      <c r="AS2" s="193" t="s">
        <v>1043</v>
      </c>
      <c r="AT2" s="193" t="s">
        <v>1044</v>
      </c>
      <c r="AU2" s="193" t="s">
        <v>1045</v>
      </c>
      <c r="AV2" s="193" t="s">
        <v>1046</v>
      </c>
      <c r="AW2" s="205" t="s">
        <v>1047</v>
      </c>
      <c r="AX2" s="193" t="s">
        <v>1048</v>
      </c>
      <c r="AY2" s="193" t="s">
        <v>1049</v>
      </c>
      <c r="AZ2" s="193" t="s">
        <v>1050</v>
      </c>
      <c r="BA2" s="193" t="s">
        <v>1051</v>
      </c>
      <c r="BB2" s="205" t="s">
        <v>1052</v>
      </c>
      <c r="BC2" s="193" t="s">
        <v>1053</v>
      </c>
      <c r="BD2" s="193" t="s">
        <v>1054</v>
      </c>
      <c r="BE2" s="193" t="s">
        <v>1055</v>
      </c>
      <c r="BF2" s="193" t="s">
        <v>1056</v>
      </c>
      <c r="BG2" s="205" t="s">
        <v>1057</v>
      </c>
    </row>
    <row r="3" spans="1:59" ht="20" customHeight="1" x14ac:dyDescent="0.2">
      <c r="A3" s="92" t="s">
        <v>875</v>
      </c>
      <c r="B3" s="92" t="s">
        <v>828</v>
      </c>
      <c r="C3" s="92" t="s">
        <v>834</v>
      </c>
      <c r="D3" s="92" t="s">
        <v>830</v>
      </c>
      <c r="E3" s="92" t="s">
        <v>843</v>
      </c>
      <c r="F3" s="49">
        <f>24*3600*N3</f>
        <v>1.3824E-4</v>
      </c>
      <c r="G3" s="49">
        <f t="shared" ref="G3:H3" si="0">24*3600*O3</f>
        <v>2.3327999999999999E-3</v>
      </c>
      <c r="H3" s="49">
        <f t="shared" si="0"/>
        <v>1.1232000000000001E-2</v>
      </c>
      <c r="I3" s="188">
        <v>6.1159199469419762E-9</v>
      </c>
      <c r="J3" s="49">
        <f>C$31*R3^D$31*(E$31*S3^F$31+G$31*T3^H$31)</f>
        <v>2.5940272363739319E-5</v>
      </c>
      <c r="K3" s="188">
        <v>4.1028436240467077</v>
      </c>
      <c r="L3" s="92" t="s">
        <v>827</v>
      </c>
      <c r="M3" s="49" t="s">
        <v>847</v>
      </c>
      <c r="N3" s="5">
        <v>1.6000000000000001E-9</v>
      </c>
      <c r="O3" s="5">
        <v>2.7E-8</v>
      </c>
      <c r="P3" s="5">
        <v>1.3E-7</v>
      </c>
      <c r="Q3" s="4" t="s">
        <v>833</v>
      </c>
      <c r="R3" s="4">
        <f>6/1000*10^4</f>
        <v>60</v>
      </c>
      <c r="S3" s="4">
        <f>'Drop-down lists'!Q8</f>
        <v>10</v>
      </c>
      <c r="T3" s="5">
        <v>1.8491414359029527E-5</v>
      </c>
      <c r="U3" s="5">
        <f>'Drop-down lists'!S8</f>
        <v>250000</v>
      </c>
      <c r="V3" s="5"/>
      <c r="W3" s="195">
        <v>4.5E-11</v>
      </c>
      <c r="X3" s="196">
        <v>41000000</v>
      </c>
      <c r="Y3" s="195">
        <f>$C$31*Y$1^$D$31*($E$31*$S3^$F$31+$G$31*$T3^$H$31)</f>
        <v>155.40870028092934</v>
      </c>
      <c r="Z3" s="5">
        <f t="shared" ref="Z3:AC8" si="1">$C$31*Z$1^$D$31*($E$31*$S3^$F$31+$G$31*$T3^$H$31)</f>
        <v>0.85567411853615005</v>
      </c>
      <c r="AA3" s="5">
        <f t="shared" si="1"/>
        <v>4.7113076411364066E-3</v>
      </c>
      <c r="AB3" s="5">
        <f t="shared" si="1"/>
        <v>2.5940272363739319E-5</v>
      </c>
      <c r="AC3" s="204">
        <f t="shared" si="1"/>
        <v>6.8372996136931691E-7</v>
      </c>
      <c r="AD3" s="195">
        <f>$C$32*AD$1^$D$32*($E$32*$S3^$F$32+$G$32*$T3^$H$32)</f>
        <v>37711318.658650719</v>
      </c>
      <c r="AE3" s="5">
        <f t="shared" ref="AE3:AH3" si="2">$C$32*AE$1^$D$32*($E$32*$S3^$F$32+$G$32*$T3^$H$32)</f>
        <v>4705.6097784279227</v>
      </c>
      <c r="AF3" s="5">
        <f t="shared" si="2"/>
        <v>0.58716491956340644</v>
      </c>
      <c r="AG3" s="5">
        <f t="shared" si="2"/>
        <v>7.3266305324850092E-5</v>
      </c>
      <c r="AH3" s="196">
        <f t="shared" si="2"/>
        <v>1.3684413214814805E-7</v>
      </c>
      <c r="AI3" s="195">
        <f>$C$34*AI$1^$D$34*($E$34*$S3^$F$34+$G$34*$T3^$H$34)</f>
        <v>4.3102186815559843E-4</v>
      </c>
      <c r="AJ3" s="5">
        <f t="shared" ref="AJ3:AM8" si="3">$C$34*AJ$1^$D$34*($E$34*$S3^$F$34+$G$34*$T3^$H$34)</f>
        <v>4.310218681463646E-4</v>
      </c>
      <c r="AK3" s="5">
        <f t="shared" si="3"/>
        <v>4.3102186813713078E-4</v>
      </c>
      <c r="AL3" s="5">
        <f t="shared" si="3"/>
        <v>4.3102186812789701E-4</v>
      </c>
      <c r="AM3" s="196">
        <f t="shared" si="3"/>
        <v>4.3102186812144275E-4</v>
      </c>
      <c r="AN3" s="193"/>
      <c r="AR3" s="200"/>
      <c r="AS3" s="193"/>
      <c r="AW3" s="200"/>
      <c r="AX3" s="193"/>
      <c r="BB3" s="200"/>
      <c r="BC3" s="193"/>
      <c r="BG3" s="200"/>
    </row>
    <row r="4" spans="1:59" ht="20" customHeight="1" x14ac:dyDescent="0.2">
      <c r="A4" s="92" t="s">
        <v>876</v>
      </c>
      <c r="B4" s="92" t="s">
        <v>828</v>
      </c>
      <c r="C4" s="92" t="s">
        <v>834</v>
      </c>
      <c r="D4" s="92" t="s">
        <v>863</v>
      </c>
      <c r="E4" s="92" t="s">
        <v>843</v>
      </c>
      <c r="F4" s="49">
        <f t="shared" ref="F4" si="4">24*3600*N4</f>
        <v>8.6399999999999994E-16</v>
      </c>
      <c r="G4" s="49">
        <f>24*3600*O4</f>
        <v>2.3327999999999999E-3</v>
      </c>
      <c r="H4" s="49">
        <f t="shared" ref="H4" si="5">24*3600*P4</f>
        <v>1.1232000000000001E-2</v>
      </c>
      <c r="I4" s="188">
        <v>5.7460269656489123E-9</v>
      </c>
      <c r="J4" s="49">
        <f t="shared" ref="J4:J8" si="6">C$31*R4^D$31*(E$31*S4^F$31+G$31*T4^H$31)</f>
        <v>2.5874138434805292E-5</v>
      </c>
      <c r="K4" s="188">
        <v>2.0582360578320475</v>
      </c>
      <c r="L4" s="92" t="s">
        <v>827</v>
      </c>
      <c r="M4" s="49" t="s">
        <v>847</v>
      </c>
      <c r="N4" s="5">
        <v>9.9999999999999995E-21</v>
      </c>
      <c r="O4" s="5">
        <v>2.7E-8</v>
      </c>
      <c r="P4" s="5">
        <v>1.3E-7</v>
      </c>
      <c r="Q4" s="4" t="s">
        <v>833</v>
      </c>
      <c r="R4" s="4">
        <f t="shared" ref="R4:R13" si="7">6/1000*10^4</f>
        <v>60</v>
      </c>
      <c r="S4" s="4">
        <f>'Drop-down lists'!Q5</f>
        <v>0.1</v>
      </c>
      <c r="T4" s="5">
        <v>8.0899937820754168E-7</v>
      </c>
      <c r="U4" s="5">
        <f>'Drop-down lists'!S5</f>
        <v>670000000</v>
      </c>
      <c r="V4" s="5"/>
      <c r="W4" s="195">
        <v>4.1000000000000001E-11</v>
      </c>
      <c r="X4" s="196">
        <v>52000000</v>
      </c>
      <c r="Y4" s="195">
        <f t="shared" ref="Y4:Y5" si="8">$C$31*Y$1^$D$31*($E$31*$S4^$F$31+$G$31*$T4^$H$31)</f>
        <v>155.01249056516417</v>
      </c>
      <c r="Z4" s="5">
        <f t="shared" si="1"/>
        <v>0.85349260361015189</v>
      </c>
      <c r="AA4" s="5">
        <f t="shared" si="1"/>
        <v>4.6992963067773738E-3</v>
      </c>
      <c r="AB4" s="5">
        <f t="shared" si="1"/>
        <v>2.5874138434805292E-5</v>
      </c>
      <c r="AC4" s="204">
        <f t="shared" si="1"/>
        <v>6.8198681279935548E-7</v>
      </c>
      <c r="AD4" s="195">
        <f t="shared" ref="AD4:AH8" si="9">$C$32*AD$1^$D$32*($E$32*$S4^$F$32+$G$32*$T4^$H$32)</f>
        <v>2998876.7761381557</v>
      </c>
      <c r="AE4" s="5">
        <f t="shared" si="9"/>
        <v>374.19916311674814</v>
      </c>
      <c r="AF4" s="5">
        <f t="shared" si="9"/>
        <v>4.6692486597463598E-2</v>
      </c>
      <c r="AG4" s="5">
        <f t="shared" si="9"/>
        <v>5.8262778743150289E-6</v>
      </c>
      <c r="AH4" s="196">
        <f t="shared" si="9"/>
        <v>1.0882109256493047E-8</v>
      </c>
      <c r="AI4" s="195">
        <f t="shared" ref="AI4:AI5" si="10">$C$34*AI$1^$D$34*($E$34*$S4^$F$34+$G$34*$T4^$H$34)</f>
        <v>3.7172328113988417E-9</v>
      </c>
      <c r="AJ4" s="5">
        <f t="shared" si="3"/>
        <v>3.7172328113192074E-9</v>
      </c>
      <c r="AK4" s="5">
        <f t="shared" si="3"/>
        <v>3.7172328112395726E-9</v>
      </c>
      <c r="AL4" s="5">
        <f t="shared" si="3"/>
        <v>3.7172328111599383E-9</v>
      </c>
      <c r="AM4" s="196">
        <f t="shared" si="3"/>
        <v>3.7172328111042753E-9</v>
      </c>
      <c r="AN4" s="193"/>
      <c r="AR4" s="200"/>
      <c r="AS4" s="193"/>
      <c r="AW4" s="200"/>
      <c r="AX4" s="193"/>
      <c r="BB4" s="200"/>
      <c r="BC4" s="193"/>
      <c r="BG4" s="200"/>
    </row>
    <row r="5" spans="1:59" ht="20" customHeight="1" x14ac:dyDescent="0.2">
      <c r="A5" s="92" t="s">
        <v>878</v>
      </c>
      <c r="B5" s="92" t="s">
        <v>828</v>
      </c>
      <c r="C5" s="92" t="s">
        <v>834</v>
      </c>
      <c r="D5" s="92" t="s">
        <v>48</v>
      </c>
      <c r="E5" s="92" t="s">
        <v>843</v>
      </c>
      <c r="F5" s="49">
        <f t="shared" ref="F5" si="11">24*3600*N5</f>
        <v>8.6399999999999994E-16</v>
      </c>
      <c r="G5" s="49">
        <f>24*3600*O5</f>
        <v>2.3327999999999999E-3</v>
      </c>
      <c r="H5" s="49">
        <f t="shared" ref="H5" si="12">24*3600*P5</f>
        <v>1.1232000000000001E-2</v>
      </c>
      <c r="I5" s="188">
        <v>0</v>
      </c>
      <c r="J5" s="49">
        <f t="shared" si="6"/>
        <v>0</v>
      </c>
      <c r="K5" s="188">
        <v>0</v>
      </c>
      <c r="L5" s="92" t="s">
        <v>827</v>
      </c>
      <c r="M5" s="49" t="s">
        <v>847</v>
      </c>
      <c r="N5" s="5">
        <v>9.9999999999999995E-21</v>
      </c>
      <c r="O5" s="5">
        <v>2.7E-8</v>
      </c>
      <c r="P5" s="5">
        <v>1.3E-7</v>
      </c>
      <c r="Q5" s="4" t="s">
        <v>833</v>
      </c>
      <c r="R5" s="4">
        <f t="shared" si="7"/>
        <v>60</v>
      </c>
      <c r="S5" s="4">
        <f>'Drop-down lists'!Q10</f>
        <v>0</v>
      </c>
      <c r="T5" s="4">
        <v>0</v>
      </c>
      <c r="U5" s="5">
        <f>'Drop-down lists'!S10</f>
        <v>482000</v>
      </c>
      <c r="V5" s="5"/>
      <c r="W5" s="195">
        <v>0</v>
      </c>
      <c r="X5" s="196">
        <v>0</v>
      </c>
      <c r="Y5" s="195">
        <f t="shared" si="8"/>
        <v>0</v>
      </c>
      <c r="Z5" s="5">
        <f t="shared" si="1"/>
        <v>0</v>
      </c>
      <c r="AA5" s="5">
        <f t="shared" si="1"/>
        <v>0</v>
      </c>
      <c r="AB5" s="5">
        <f t="shared" si="1"/>
        <v>0</v>
      </c>
      <c r="AC5" s="196">
        <f t="shared" si="1"/>
        <v>0</v>
      </c>
      <c r="AD5" s="195">
        <f t="shared" si="9"/>
        <v>0</v>
      </c>
      <c r="AE5" s="5">
        <f t="shared" si="9"/>
        <v>0</v>
      </c>
      <c r="AF5" s="5">
        <f t="shared" si="9"/>
        <v>0</v>
      </c>
      <c r="AG5" s="5">
        <f t="shared" si="9"/>
        <v>0</v>
      </c>
      <c r="AH5" s="196">
        <f t="shared" si="9"/>
        <v>0</v>
      </c>
      <c r="AI5" s="195">
        <f t="shared" si="10"/>
        <v>0</v>
      </c>
      <c r="AJ5" s="5">
        <f t="shared" si="3"/>
        <v>0</v>
      </c>
      <c r="AK5" s="5">
        <f t="shared" si="3"/>
        <v>0</v>
      </c>
      <c r="AL5" s="5">
        <f t="shared" si="3"/>
        <v>0</v>
      </c>
      <c r="AM5" s="196">
        <f t="shared" si="3"/>
        <v>0</v>
      </c>
      <c r="AN5" s="193"/>
      <c r="AR5" s="200"/>
      <c r="AS5" s="193"/>
      <c r="AW5" s="200"/>
      <c r="AX5" s="193"/>
      <c r="BB5" s="200"/>
      <c r="BC5" s="193"/>
      <c r="BG5" s="200"/>
    </row>
    <row r="6" spans="1:59" ht="20" customHeight="1" x14ac:dyDescent="0.2">
      <c r="A6" s="92" t="s">
        <v>879</v>
      </c>
      <c r="B6" s="92" t="s">
        <v>828</v>
      </c>
      <c r="C6" s="92" t="s">
        <v>834</v>
      </c>
      <c r="D6" s="92" t="s">
        <v>840</v>
      </c>
      <c r="E6" s="92" t="s">
        <v>836</v>
      </c>
      <c r="F6" s="92"/>
      <c r="G6" s="49">
        <f>1/O6</f>
        <v>2.7397260273972601E-2</v>
      </c>
      <c r="H6" s="92"/>
      <c r="I6" s="188">
        <v>2.4622288189195724E-8</v>
      </c>
      <c r="J6" s="49">
        <f t="shared" si="6"/>
        <v>5.2601616232617954E-4</v>
      </c>
      <c r="K6" s="188">
        <v>484.38001378128774</v>
      </c>
      <c r="L6" s="92" t="s">
        <v>839</v>
      </c>
      <c r="M6" s="92" t="s">
        <v>848</v>
      </c>
      <c r="O6" s="4">
        <v>36.5</v>
      </c>
      <c r="Q6" s="4" t="s">
        <v>837</v>
      </c>
      <c r="R6" s="4">
        <f t="shared" si="7"/>
        <v>60</v>
      </c>
      <c r="S6" s="4">
        <f>'Drop-down lists'!Q8</f>
        <v>10</v>
      </c>
      <c r="T6" s="172">
        <v>9.203884727313847E-3</v>
      </c>
      <c r="U6" s="5">
        <f>'Drop-down lists'!S8</f>
        <v>250000</v>
      </c>
      <c r="V6" s="5"/>
      <c r="W6" s="195">
        <v>3.4E-8</v>
      </c>
      <c r="X6" s="196">
        <v>20</v>
      </c>
      <c r="Y6" s="195"/>
      <c r="Z6" s="5"/>
      <c r="AA6" s="5"/>
      <c r="AB6" s="188">
        <f t="shared" si="1"/>
        <v>5.2601616232617954E-4</v>
      </c>
      <c r="AC6" s="196"/>
      <c r="AD6" s="195"/>
      <c r="AE6" s="5"/>
      <c r="AF6" s="5"/>
      <c r="AG6" s="5">
        <f t="shared" si="9"/>
        <v>3.718319691791454E-4</v>
      </c>
      <c r="AH6" s="196"/>
      <c r="AI6" s="195"/>
      <c r="AJ6" s="5"/>
      <c r="AK6" s="5"/>
      <c r="AL6" s="65">
        <f t="shared" si="3"/>
        <v>1.4877364519989206E-3</v>
      </c>
      <c r="AM6" s="196"/>
      <c r="AN6" s="193"/>
      <c r="AR6" s="200"/>
      <c r="AS6" s="193"/>
      <c r="AW6" s="200"/>
      <c r="AX6" s="193"/>
      <c r="BB6" s="200"/>
      <c r="BC6" s="193"/>
      <c r="BG6" s="200"/>
    </row>
    <row r="7" spans="1:59" ht="20" customHeight="1" x14ac:dyDescent="0.2">
      <c r="A7" s="92" t="s">
        <v>880</v>
      </c>
      <c r="B7" s="92" t="s">
        <v>828</v>
      </c>
      <c r="C7" s="92" t="s">
        <v>834</v>
      </c>
      <c r="D7" s="92" t="s">
        <v>841</v>
      </c>
      <c r="E7" s="92" t="s">
        <v>836</v>
      </c>
      <c r="F7" s="92"/>
      <c r="G7" s="49">
        <f t="shared" ref="G7:G8" si="13">1/O7</f>
        <v>2.7397260273972603E-3</v>
      </c>
      <c r="H7" s="92"/>
      <c r="I7" s="188">
        <v>8.168155468460269E-18</v>
      </c>
      <c r="J7" s="49">
        <f t="shared" si="6"/>
        <v>9.3866225168064443E-9</v>
      </c>
      <c r="K7" s="188">
        <v>0.72562580886925876</v>
      </c>
      <c r="L7" s="92" t="s">
        <v>839</v>
      </c>
      <c r="M7" s="92" t="s">
        <v>848</v>
      </c>
      <c r="O7" s="4">
        <v>365</v>
      </c>
      <c r="Q7" s="4" t="s">
        <v>837</v>
      </c>
      <c r="R7" s="4">
        <f t="shared" si="7"/>
        <v>60</v>
      </c>
      <c r="S7" s="4">
        <f>'Drop-down lists'!Q9</f>
        <v>0</v>
      </c>
      <c r="T7" s="5">
        <v>4.7123889803846904E-6</v>
      </c>
      <c r="U7" s="5">
        <f>'Drop-down lists'!S9</f>
        <v>38500</v>
      </c>
      <c r="V7" s="5"/>
      <c r="W7" s="195">
        <v>1.4000000000000001E-20</v>
      </c>
      <c r="X7" s="196">
        <v>0.31</v>
      </c>
      <c r="Y7" s="195"/>
      <c r="Z7" s="5"/>
      <c r="AA7" s="5"/>
      <c r="AB7" s="5">
        <f t="shared" si="1"/>
        <v>9.3866225168064443E-9</v>
      </c>
      <c r="AC7" s="196"/>
      <c r="AD7" s="195"/>
      <c r="AE7" s="5"/>
      <c r="AF7" s="5"/>
      <c r="AG7" s="188">
        <f t="shared" si="9"/>
        <v>1.5713621209990987E-20</v>
      </c>
      <c r="AH7" s="196"/>
      <c r="AI7" s="195"/>
      <c r="AJ7" s="5"/>
      <c r="AK7" s="5"/>
      <c r="AL7" s="65">
        <f t="shared" si="3"/>
        <v>3.9741885154506359E-8</v>
      </c>
      <c r="AM7" s="196"/>
      <c r="AN7" s="193"/>
      <c r="AR7" s="200"/>
      <c r="AS7" s="193"/>
      <c r="AW7" s="200"/>
      <c r="AX7" s="193"/>
      <c r="BB7" s="200"/>
      <c r="BC7" s="193"/>
      <c r="BG7" s="200"/>
    </row>
    <row r="8" spans="1:59" ht="20" customHeight="1" x14ac:dyDescent="0.2">
      <c r="A8" s="92" t="s">
        <v>881</v>
      </c>
      <c r="B8" s="92" t="s">
        <v>828</v>
      </c>
      <c r="C8" s="92" t="s">
        <v>834</v>
      </c>
      <c r="D8" s="92" t="s">
        <v>48</v>
      </c>
      <c r="E8" s="92" t="s">
        <v>836</v>
      </c>
      <c r="F8" s="92"/>
      <c r="G8" s="49">
        <f t="shared" si="13"/>
        <v>2.7397260273972603E-3</v>
      </c>
      <c r="H8" s="92"/>
      <c r="I8" s="188">
        <v>0</v>
      </c>
      <c r="J8" s="49">
        <f t="shared" si="6"/>
        <v>0</v>
      </c>
      <c r="K8" s="188">
        <v>0</v>
      </c>
      <c r="L8" s="92" t="s">
        <v>839</v>
      </c>
      <c r="M8" s="92" t="s">
        <v>848</v>
      </c>
      <c r="O8" s="4">
        <v>365</v>
      </c>
      <c r="Q8" s="4" t="s">
        <v>837</v>
      </c>
      <c r="R8" s="4">
        <f t="shared" si="7"/>
        <v>60</v>
      </c>
      <c r="S8" s="4">
        <f>'Drop-down lists'!Q10</f>
        <v>0</v>
      </c>
      <c r="T8" s="4">
        <v>0</v>
      </c>
      <c r="U8" s="5">
        <f>'Drop-down lists'!S10</f>
        <v>482000</v>
      </c>
      <c r="W8" s="193"/>
      <c r="X8" s="200"/>
      <c r="Y8" s="195"/>
      <c r="Z8" s="5"/>
      <c r="AA8" s="5"/>
      <c r="AB8" s="5">
        <f t="shared" si="1"/>
        <v>0</v>
      </c>
      <c r="AC8" s="196"/>
      <c r="AD8" s="195"/>
      <c r="AE8" s="5"/>
      <c r="AF8" s="5"/>
      <c r="AG8" s="5">
        <f t="shared" si="9"/>
        <v>0</v>
      </c>
      <c r="AH8" s="196"/>
      <c r="AI8" s="195"/>
      <c r="AJ8" s="5"/>
      <c r="AK8" s="5"/>
      <c r="AL8" s="5">
        <f t="shared" si="3"/>
        <v>0</v>
      </c>
      <c r="AM8" s="196"/>
      <c r="AN8" s="193"/>
      <c r="AR8" s="200"/>
      <c r="AS8" s="193"/>
      <c r="AW8" s="200"/>
      <c r="AX8" s="193"/>
      <c r="BB8" s="200"/>
      <c r="BC8" s="193"/>
      <c r="BG8" s="200"/>
    </row>
    <row r="9" spans="1:59" ht="20" customHeight="1" x14ac:dyDescent="0.2">
      <c r="A9" s="92" t="s">
        <v>882</v>
      </c>
      <c r="B9" s="92" t="s">
        <v>828</v>
      </c>
      <c r="C9" s="92" t="s">
        <v>2</v>
      </c>
      <c r="D9" s="92" t="s">
        <v>868</v>
      </c>
      <c r="E9" s="92" t="s">
        <v>843</v>
      </c>
      <c r="F9" s="92"/>
      <c r="G9" s="49">
        <f>O9*P9/365</f>
        <v>5.4821917808219178E-5</v>
      </c>
      <c r="H9" s="92"/>
      <c r="I9" s="188">
        <v>5.6645194590916446E-8</v>
      </c>
      <c r="J9" s="49">
        <f>C$31*R9^D$31*(E$31*S9^F$31+G$31*T9^H$31)</f>
        <v>1.6521772091595942E-4</v>
      </c>
      <c r="K9" s="188">
        <v>3.5299794836927361</v>
      </c>
      <c r="L9" s="92" t="s">
        <v>859</v>
      </c>
      <c r="M9" s="92" t="s">
        <v>850</v>
      </c>
      <c r="O9" s="5">
        <v>6.9000000000000006E-2</v>
      </c>
      <c r="P9" s="5">
        <v>0.28999999999999998</v>
      </c>
      <c r="Q9" s="4" t="s">
        <v>862</v>
      </c>
      <c r="R9" s="6">
        <f>Calibration!E3</f>
        <v>18.123118250828707</v>
      </c>
      <c r="S9" s="4">
        <f>Calibration!F3</f>
        <v>11.169999999999998</v>
      </c>
      <c r="T9" s="172">
        <f>Calibration!G6</f>
        <v>2.7774403644125034E-2</v>
      </c>
      <c r="U9" s="4" t="s">
        <v>867</v>
      </c>
      <c r="V9" s="4" t="s">
        <v>1005</v>
      </c>
      <c r="W9" s="193"/>
      <c r="X9" s="200"/>
      <c r="Y9" s="195"/>
      <c r="Z9" s="5"/>
      <c r="AA9" s="5"/>
      <c r="AB9" s="5"/>
      <c r="AC9" s="196"/>
      <c r="AD9" s="193"/>
      <c r="AH9" s="200"/>
      <c r="AI9" s="193"/>
      <c r="AM9" s="200"/>
      <c r="AN9" s="193"/>
      <c r="AR9" s="200"/>
      <c r="AS9" s="193"/>
      <c r="AW9" s="200"/>
      <c r="AX9" s="193"/>
      <c r="BB9" s="200"/>
      <c r="BC9" s="193"/>
      <c r="BG9" s="200"/>
    </row>
    <row r="10" spans="1:59" ht="20" customHeight="1" x14ac:dyDescent="0.2">
      <c r="A10" s="92" t="s">
        <v>882</v>
      </c>
      <c r="B10" s="92" t="s">
        <v>828</v>
      </c>
      <c r="C10" s="92" t="s">
        <v>2</v>
      </c>
      <c r="D10" s="92" t="s">
        <v>868</v>
      </c>
      <c r="E10" s="92" t="s">
        <v>843</v>
      </c>
      <c r="F10" s="92"/>
      <c r="G10" s="49">
        <f>O10*P10/365</f>
        <v>5.1041095890410963E-6</v>
      </c>
      <c r="H10" s="92"/>
      <c r="I10" s="188">
        <v>3.1438231723910843E-8</v>
      </c>
      <c r="J10" s="49">
        <f>C$31*R10^D$31*(E$31*S10^F$31+G$31*T10^H$31)</f>
        <v>1.6348682453580125E-4</v>
      </c>
      <c r="K10" s="188">
        <v>3.300948856770983</v>
      </c>
      <c r="L10" s="92" t="s">
        <v>859</v>
      </c>
      <c r="M10" s="92" t="s">
        <v>850</v>
      </c>
      <c r="O10" s="5">
        <v>6.9000000000000006E-2</v>
      </c>
      <c r="P10" s="5">
        <v>2.7E-2</v>
      </c>
      <c r="Q10" s="4" t="s">
        <v>862</v>
      </c>
      <c r="R10" s="6">
        <f>Calibration!E3</f>
        <v>18.123118250828707</v>
      </c>
      <c r="S10" s="4">
        <v>0</v>
      </c>
      <c r="T10" s="172">
        <f>Calibration!G6</f>
        <v>2.7774403644125034E-2</v>
      </c>
      <c r="U10" s="4" t="s">
        <v>867</v>
      </c>
      <c r="V10" s="4" t="s">
        <v>1006</v>
      </c>
      <c r="W10" s="201"/>
      <c r="X10" s="203"/>
      <c r="Y10" s="197"/>
      <c r="Z10" s="198"/>
      <c r="AA10" s="198"/>
      <c r="AB10" s="198"/>
      <c r="AC10" s="199"/>
      <c r="AD10" s="201"/>
      <c r="AE10" s="202"/>
      <c r="AF10" s="202"/>
      <c r="AG10" s="202"/>
      <c r="AH10" s="203"/>
      <c r="AI10" s="201"/>
      <c r="AJ10" s="202"/>
      <c r="AK10" s="202"/>
      <c r="AL10" s="202"/>
      <c r="AM10" s="203"/>
      <c r="AN10" s="201"/>
      <c r="AO10" s="202"/>
      <c r="AP10" s="202"/>
      <c r="AQ10" s="202"/>
      <c r="AR10" s="203"/>
      <c r="AS10" s="201"/>
      <c r="AT10" s="202"/>
      <c r="AU10" s="202"/>
      <c r="AV10" s="202"/>
      <c r="AW10" s="203"/>
      <c r="AX10" s="201"/>
      <c r="AY10" s="202"/>
      <c r="AZ10" s="202"/>
      <c r="BA10" s="202"/>
      <c r="BB10" s="203"/>
      <c r="BC10" s="201"/>
      <c r="BD10" s="202"/>
      <c r="BE10" s="202"/>
      <c r="BF10" s="202"/>
      <c r="BG10" s="203"/>
    </row>
    <row r="11" spans="1:59" ht="20" customHeight="1" x14ac:dyDescent="0.2">
      <c r="A11" s="43" t="s">
        <v>877</v>
      </c>
      <c r="B11" s="43" t="s">
        <v>832</v>
      </c>
      <c r="C11" s="43" t="s">
        <v>834</v>
      </c>
      <c r="D11" s="43" t="s">
        <v>830</v>
      </c>
      <c r="E11" s="43" t="s">
        <v>843</v>
      </c>
      <c r="F11" s="42">
        <f t="shared" ref="F11:H12" si="14">24*3600*N11</f>
        <v>8.6399999999999994E-16</v>
      </c>
      <c r="G11" s="42">
        <f t="shared" si="14"/>
        <v>8.6400000000000003E-6</v>
      </c>
      <c r="H11" s="42">
        <f t="shared" si="14"/>
        <v>1.728E-4</v>
      </c>
      <c r="I11" s="188">
        <v>2.4029970147489989E-4</v>
      </c>
      <c r="J11" s="42">
        <f>C$44*R11^D$44*(E$44*S11^F$44+G$44*U11^H$44)</f>
        <v>5.3195434885788091E-4</v>
      </c>
      <c r="K11" s="188">
        <v>3.1319232337502488E-3</v>
      </c>
      <c r="L11" s="43" t="s">
        <v>827</v>
      </c>
      <c r="M11" s="42" t="s">
        <v>847</v>
      </c>
      <c r="N11" s="5">
        <v>9.9999999999999995E-21</v>
      </c>
      <c r="O11" s="5">
        <v>1E-10</v>
      </c>
      <c r="P11" s="5">
        <v>2.0000000000000001E-9</v>
      </c>
      <c r="Q11" s="4" t="s">
        <v>833</v>
      </c>
      <c r="R11" s="4">
        <f t="shared" si="7"/>
        <v>60</v>
      </c>
      <c r="S11" s="4">
        <f>'Drop-down lists'!Q8</f>
        <v>10</v>
      </c>
      <c r="T11" s="5">
        <v>1.8491414359029527E-5</v>
      </c>
      <c r="U11" s="5">
        <v>250000</v>
      </c>
      <c r="V11" s="5"/>
      <c r="W11" s="195">
        <v>4.8500000000000002E-6</v>
      </c>
      <c r="X11" s="196">
        <v>3.69</v>
      </c>
      <c r="Y11" s="206">
        <f>$C$44*Y$1^$D$44*($E$44*$S11^$F$44+$G$44*$U11^$H$44)</f>
        <v>5.8483955247378371E-4</v>
      </c>
      <c r="Z11" s="206">
        <f t="shared" ref="Z11:AC16" si="15">$C$44*Z$1^$D$44*($E$44*$S11^$F$44+$G$44*$U11^$H$44)</f>
        <v>5.6665137287759701E-4</v>
      </c>
      <c r="AA11" s="206">
        <f t="shared" si="15"/>
        <v>5.4902883538893144E-4</v>
      </c>
      <c r="AB11" s="206">
        <f t="shared" si="15"/>
        <v>5.3195434885788091E-4</v>
      </c>
      <c r="AC11" s="206">
        <f t="shared" si="15"/>
        <v>5.2033608199586944E-4</v>
      </c>
      <c r="AD11" s="206">
        <f>$C$45*AD$1^$D$45*($E$45*$S11^$F$45+$G$45*$U11^$H$45)</f>
        <v>7.038593464767487E-4</v>
      </c>
      <c r="AE11" s="206">
        <f t="shared" ref="AE11:AH16" si="16">$C$45*AE$1^$D$45*($E$45*$S11^$F$45+$G$45*$U11^$H$45)</f>
        <v>4.0196986091351058E-4</v>
      </c>
      <c r="AF11" s="206">
        <f t="shared" si="16"/>
        <v>2.2956258220002855E-4</v>
      </c>
      <c r="AG11" s="206">
        <f t="shared" si="16"/>
        <v>1.3110181700334939E-4</v>
      </c>
      <c r="AH11" s="206">
        <f t="shared" si="16"/>
        <v>8.8624669307802605E-5</v>
      </c>
      <c r="AI11" s="206"/>
      <c r="AJ11" s="207"/>
      <c r="AK11" s="207"/>
      <c r="AL11" s="207"/>
      <c r="AM11" s="213"/>
      <c r="AN11" s="206">
        <f>$C$41*AN$1^$D$41*($E$41*$S11^$F$41+$G$41*$U11^$H$41)</f>
        <v>1.01791542719624E-4</v>
      </c>
      <c r="AO11" s="206">
        <f t="shared" ref="AO11:AR16" si="17">$C$41*AO$1^$D$41*($E$41*$S11^$F$41+$G$41*$U11^$H$41)</f>
        <v>1.0179154271175244E-4</v>
      </c>
      <c r="AP11" s="206">
        <f t="shared" si="17"/>
        <v>1.0179154270388089E-4</v>
      </c>
      <c r="AQ11" s="206">
        <f t="shared" si="17"/>
        <v>1.0179154269600934E-4</v>
      </c>
      <c r="AR11" s="206">
        <f t="shared" si="17"/>
        <v>1.0179154269050733E-4</v>
      </c>
      <c r="AS11" s="206">
        <f>$C$42*AS$1^$D$42*($E$42*$S11^$F$42+$G$42*$U11^$H$42)</f>
        <v>1.8011813921940556E-4</v>
      </c>
      <c r="AT11" s="206">
        <f t="shared" ref="AT11:AW16" si="18">$C$42*AT$1^$D$42*($E$42*$S11^$F$42+$G$42*$U11^$H$42)</f>
        <v>1.8011813921919821E-4</v>
      </c>
      <c r="AU11" s="206">
        <f t="shared" si="18"/>
        <v>1.8011813921899083E-4</v>
      </c>
      <c r="AV11" s="206">
        <f t="shared" si="18"/>
        <v>1.8011813921878345E-4</v>
      </c>
      <c r="AW11" s="206">
        <f t="shared" si="18"/>
        <v>1.8011813921863849E-4</v>
      </c>
      <c r="AX11" s="206">
        <f>$C$43*AX$1^$D$43*($E$43*$S11^$F$43+$G$43*$U11^$H$43)</f>
        <v>0.46869829319969997</v>
      </c>
      <c r="AY11" s="206">
        <f t="shared" ref="AY11:BB16" si="19">$C$43*AY$1^$D$43*($E$43*$S11^$F$43+$G$43*$U11^$H$43)</f>
        <v>2.1049718421291577E-2</v>
      </c>
      <c r="AZ11" s="206">
        <f t="shared" si="19"/>
        <v>9.4536432507739607E-4</v>
      </c>
      <c r="BA11" s="206">
        <f t="shared" si="19"/>
        <v>4.2457276113729818E-5</v>
      </c>
      <c r="BB11" s="206">
        <f t="shared" si="19"/>
        <v>4.8527424424727678E-6</v>
      </c>
      <c r="BC11" s="206">
        <f>$C$46*BC$1^$D$46*($E$46*$S11^$F$46+$G$46*$U11^$H$46)</f>
        <v>6.0533189871791272E-2</v>
      </c>
      <c r="BD11" s="206">
        <f t="shared" ref="BD11:BG16" si="20">$C$46*BD$1^$D$46*($E$46*$S11^$F$46+$G$46*$U11^$H$46)</f>
        <v>9.7953010729097383E-3</v>
      </c>
      <c r="BE11" s="206">
        <f t="shared" si="20"/>
        <v>1.5850465391327238E-3</v>
      </c>
      <c r="BF11" s="206">
        <f t="shared" si="20"/>
        <v>2.5648752524462331E-4</v>
      </c>
      <c r="BG11" s="206">
        <f t="shared" si="20"/>
        <v>7.1812146657836885E-5</v>
      </c>
    </row>
    <row r="12" spans="1:59" ht="20" customHeight="1" x14ac:dyDescent="0.2">
      <c r="A12" s="43" t="s">
        <v>876</v>
      </c>
      <c r="B12" s="43" t="s">
        <v>832</v>
      </c>
      <c r="C12" s="43" t="s">
        <v>834</v>
      </c>
      <c r="D12" s="43" t="s">
        <v>863</v>
      </c>
      <c r="E12" s="43" t="s">
        <v>843</v>
      </c>
      <c r="F12" s="42">
        <f t="shared" si="14"/>
        <v>8.6399999999999994E-16</v>
      </c>
      <c r="G12" s="42">
        <f t="shared" si="14"/>
        <v>2.5919999999999999E-6</v>
      </c>
      <c r="H12" s="42">
        <f t="shared" si="14"/>
        <v>8.6399999999999999E-5</v>
      </c>
      <c r="I12" s="188">
        <v>1.460412381613051E-4</v>
      </c>
      <c r="J12" s="42">
        <f t="shared" ref="J12:J17" si="21">C$44*R12^D$44*(E$44*S12^F$44+G$44*U12^H$44)</f>
        <v>7.6984184029519817E-4</v>
      </c>
      <c r="K12" s="188">
        <v>6.993295207079777E-3</v>
      </c>
      <c r="L12" s="43" t="s">
        <v>827</v>
      </c>
      <c r="M12" s="42" t="s">
        <v>847</v>
      </c>
      <c r="N12" s="5">
        <v>9.9999999999999995E-21</v>
      </c>
      <c r="O12" s="5">
        <v>3E-11</v>
      </c>
      <c r="P12" s="5">
        <v>1.0000000000000001E-9</v>
      </c>
      <c r="Q12" s="4" t="s">
        <v>833</v>
      </c>
      <c r="R12" s="4">
        <f t="shared" si="7"/>
        <v>60</v>
      </c>
      <c r="S12" s="4">
        <f>'Drop-down lists'!Q5</f>
        <v>0.1</v>
      </c>
      <c r="T12" s="5">
        <v>8.0899937820754168E-7</v>
      </c>
      <c r="U12" s="5">
        <v>670000000</v>
      </c>
      <c r="V12" s="5"/>
      <c r="W12" s="195">
        <v>3.98E-6</v>
      </c>
      <c r="X12" s="196">
        <v>6.44</v>
      </c>
      <c r="Y12" s="206">
        <f>$C$44*Y$1^$D$44*($E$44*$S12^$F$44+$G$44*$U12^$H$44)</f>
        <v>8.4637705908505341E-4</v>
      </c>
      <c r="Z12" s="206">
        <f t="shared" si="15"/>
        <v>8.2005521082493356E-4</v>
      </c>
      <c r="AA12" s="206">
        <f t="shared" si="15"/>
        <v>7.9455195717154559E-4</v>
      </c>
      <c r="AB12" s="206">
        <f t="shared" si="15"/>
        <v>7.6984184029519817E-4</v>
      </c>
      <c r="AC12" s="206">
        <f t="shared" si="15"/>
        <v>7.5302793894953745E-4</v>
      </c>
      <c r="AD12" s="206">
        <f t="shared" ref="AD12:AD13" si="22">$C$45*AD$1^$D$45*($E$45*$S12^$F$45+$G$45*$U12^$H$45)</f>
        <v>5.9186923304184848E-3</v>
      </c>
      <c r="AE12" s="206">
        <f t="shared" si="16"/>
        <v>3.3801297727411401E-3</v>
      </c>
      <c r="AF12" s="206">
        <f t="shared" si="16"/>
        <v>1.9303718866838342E-3</v>
      </c>
      <c r="AG12" s="206">
        <f t="shared" si="16"/>
        <v>1.1024238332356712E-3</v>
      </c>
      <c r="AH12" s="206">
        <f t="shared" si="16"/>
        <v>7.4523717436391745E-4</v>
      </c>
      <c r="AI12" s="195"/>
      <c r="AJ12" s="5"/>
      <c r="AK12" s="5"/>
      <c r="AL12" s="5"/>
      <c r="AM12" s="196"/>
      <c r="AN12" s="206">
        <f>$C$41*AN$1^$D$41*($E$41*$S12^$F$41+$G$41*$U12^$H$41)</f>
        <v>3.2713613604297924E-4</v>
      </c>
      <c r="AO12" s="206">
        <f t="shared" si="17"/>
        <v>3.2713613601768177E-4</v>
      </c>
      <c r="AP12" s="206">
        <f t="shared" si="17"/>
        <v>3.271361359923843E-4</v>
      </c>
      <c r="AQ12" s="206">
        <f t="shared" si="17"/>
        <v>3.2713613596708677E-4</v>
      </c>
      <c r="AR12" s="206">
        <f t="shared" si="17"/>
        <v>3.2713613594940457E-4</v>
      </c>
      <c r="AS12" s="206">
        <f t="shared" ref="AS12:AS13" si="23">$C$42*AS$1^$D$42*($E$42*$S12^$F$42+$G$42*$U12^$H$42)</f>
        <v>9.5179530878247546E-4</v>
      </c>
      <c r="AT12" s="206">
        <f t="shared" si="18"/>
        <v>9.5179530878137977E-4</v>
      </c>
      <c r="AU12" s="206">
        <f t="shared" si="18"/>
        <v>9.5179530878028397E-4</v>
      </c>
      <c r="AV12" s="206">
        <f t="shared" si="18"/>
        <v>9.5179530877918795E-4</v>
      </c>
      <c r="AW12" s="206">
        <f t="shared" si="18"/>
        <v>9.5179530877842207E-4</v>
      </c>
      <c r="AX12" s="206">
        <f t="shared" ref="AX12:AX13" si="24">$C$43*AX$1^$D$43*($E$43*$S12^$F$43+$G$43*$U12^$H$43)</f>
        <v>0.38430457321899991</v>
      </c>
      <c r="AY12" s="206">
        <f t="shared" si="19"/>
        <v>1.7259510375105754E-2</v>
      </c>
      <c r="AZ12" s="206">
        <f t="shared" si="19"/>
        <v>7.7514221569938754E-4</v>
      </c>
      <c r="BA12" s="206">
        <f t="shared" si="19"/>
        <v>3.4812427554491084E-5</v>
      </c>
      <c r="BB12" s="206">
        <f t="shared" si="19"/>
        <v>3.978958618698504E-6</v>
      </c>
      <c r="BC12" s="206">
        <f t="shared" ref="BC12:BC13" si="25">$C$46*BC$1^$D$46*($E$46*$S12^$F$46+$G$46*$U12^$H$46)</f>
        <v>0.10974080370111601</v>
      </c>
      <c r="BD12" s="206">
        <f t="shared" si="20"/>
        <v>1.7757931054223977E-2</v>
      </c>
      <c r="BE12" s="206">
        <f t="shared" si="20"/>
        <v>2.8735356830940167E-3</v>
      </c>
      <c r="BF12" s="206">
        <f t="shared" si="20"/>
        <v>4.6498701322812556E-4</v>
      </c>
      <c r="BG12" s="206">
        <f t="shared" si="20"/>
        <v>1.3018845870215544E-4</v>
      </c>
    </row>
    <row r="13" spans="1:59" ht="20" customHeight="1" x14ac:dyDescent="0.2">
      <c r="A13" s="43" t="s">
        <v>878</v>
      </c>
      <c r="B13" s="43" t="s">
        <v>832</v>
      </c>
      <c r="C13" s="43" t="s">
        <v>834</v>
      </c>
      <c r="D13" s="43" t="s">
        <v>48</v>
      </c>
      <c r="E13" s="43" t="s">
        <v>843</v>
      </c>
      <c r="F13" s="42">
        <f t="shared" ref="F13" si="26">24*3600*N13</f>
        <v>8.6399999999999994E-16</v>
      </c>
      <c r="G13" s="42">
        <f>24*3600*O13</f>
        <v>2.5919999999999999E-6</v>
      </c>
      <c r="H13" s="42">
        <f t="shared" ref="H13" si="27">24*3600*P13</f>
        <v>8.6399999999999999E-5</v>
      </c>
      <c r="I13" s="188">
        <v>9.7418189261740999E-6</v>
      </c>
      <c r="J13" s="42">
        <f>C$44*R13^D$44*(E$44*S13^F$44+G$44*U13^H$44)</f>
        <v>3.0587714365284148E-5</v>
      </c>
      <c r="K13" s="188">
        <v>1.2383002084715778E-4</v>
      </c>
      <c r="L13" s="43" t="s">
        <v>827</v>
      </c>
      <c r="M13" s="42" t="s">
        <v>847</v>
      </c>
      <c r="N13" s="5">
        <v>9.9999999999999995E-21</v>
      </c>
      <c r="O13" s="5">
        <v>3E-11</v>
      </c>
      <c r="P13" s="5">
        <v>1.0000000000000001E-9</v>
      </c>
      <c r="Q13" s="4" t="s">
        <v>833</v>
      </c>
      <c r="R13" s="4">
        <f t="shared" si="7"/>
        <v>60</v>
      </c>
      <c r="S13" s="4">
        <f>'Drop-down lists'!Q10</f>
        <v>0</v>
      </c>
      <c r="T13" s="4">
        <v>0</v>
      </c>
      <c r="U13" s="5">
        <v>482000</v>
      </c>
      <c r="V13" s="5"/>
      <c r="W13" s="195">
        <v>3.5800000000000003E-8</v>
      </c>
      <c r="X13" s="196">
        <v>3.65</v>
      </c>
      <c r="Y13" s="206">
        <f t="shared" ref="Y13" si="28">$C$44*Y$1^$D$44*($E$44*$S13^$F$44+$G$44*$U13^$H$44)</f>
        <v>3.3628647305913803E-5</v>
      </c>
      <c r="Z13" s="206">
        <f t="shared" si="15"/>
        <v>3.2582815377841188E-5</v>
      </c>
      <c r="AA13" s="206">
        <f t="shared" si="15"/>
        <v>3.1569508231744662E-5</v>
      </c>
      <c r="AB13" s="206">
        <f t="shared" si="15"/>
        <v>3.0587714365284148E-5</v>
      </c>
      <c r="AC13" s="206">
        <f t="shared" si="15"/>
        <v>2.991965661003155E-5</v>
      </c>
      <c r="AD13" s="206">
        <f t="shared" si="22"/>
        <v>1.6321338455446772E-4</v>
      </c>
      <c r="AE13" s="206">
        <f t="shared" si="16"/>
        <v>9.3210187258271996E-5</v>
      </c>
      <c r="AF13" s="206">
        <f t="shared" si="16"/>
        <v>5.3231780178069385E-5</v>
      </c>
      <c r="AG13" s="206">
        <f t="shared" si="16"/>
        <v>3.0400351123367466E-5</v>
      </c>
      <c r="AH13" s="206">
        <f t="shared" si="16"/>
        <v>2.0550600493055679E-5</v>
      </c>
      <c r="AI13" s="195"/>
      <c r="AJ13" s="5"/>
      <c r="AK13" s="5"/>
      <c r="AL13" s="5"/>
      <c r="AM13" s="196"/>
      <c r="AN13" s="206">
        <f t="shared" ref="AN13" si="29">$C$41*AN$1^$D$41*($E$41*$S13^$F$41+$G$41*$U13^$H$41)</f>
        <v>6.593297756474098E-5</v>
      </c>
      <c r="AO13" s="206">
        <f t="shared" si="17"/>
        <v>6.593297755964237E-5</v>
      </c>
      <c r="AP13" s="206">
        <f t="shared" si="17"/>
        <v>6.5932977554543761E-5</v>
      </c>
      <c r="AQ13" s="206">
        <f t="shared" si="17"/>
        <v>6.5932977549445151E-5</v>
      </c>
      <c r="AR13" s="206">
        <f t="shared" si="17"/>
        <v>6.5932977545881378E-5</v>
      </c>
      <c r="AS13" s="206">
        <f t="shared" si="23"/>
        <v>8.0391222994992016E-5</v>
      </c>
      <c r="AT13" s="206">
        <f t="shared" si="18"/>
        <v>8.0391222994899466E-5</v>
      </c>
      <c r="AU13" s="206">
        <f t="shared" si="18"/>
        <v>8.0391222994806902E-5</v>
      </c>
      <c r="AV13" s="206">
        <f t="shared" si="18"/>
        <v>8.0391222994714338E-5</v>
      </c>
      <c r="AW13" s="206">
        <f t="shared" si="18"/>
        <v>8.0391222994649652E-5</v>
      </c>
      <c r="AX13" s="206">
        <f t="shared" si="24"/>
        <v>3.4596730786513644E-3</v>
      </c>
      <c r="AY13" s="206">
        <f t="shared" si="19"/>
        <v>1.5537744683935791E-4</v>
      </c>
      <c r="AZ13" s="206">
        <f t="shared" si="19"/>
        <v>6.9781596230267172E-6</v>
      </c>
      <c r="BA13" s="206">
        <f t="shared" si="19"/>
        <v>3.1339626641429535E-7</v>
      </c>
      <c r="BB13" s="206">
        <f>$C$43*BB$1^$D$43*($E$43*$S13^$F$43+$G$43*$U13^$H$43)</f>
        <v>3.5820276347152378E-8</v>
      </c>
      <c r="BC13" s="206">
        <f t="shared" si="25"/>
        <v>6.2195509415561311E-2</v>
      </c>
      <c r="BD13" s="206">
        <f t="shared" si="20"/>
        <v>1.0064292686355131E-2</v>
      </c>
      <c r="BE13" s="206">
        <f t="shared" si="20"/>
        <v>1.6285739634327809E-3</v>
      </c>
      <c r="BF13" s="206">
        <f t="shared" si="20"/>
        <v>2.635310038197716E-4</v>
      </c>
      <c r="BG13" s="206">
        <f t="shared" si="20"/>
        <v>7.3784200916372363E-5</v>
      </c>
    </row>
    <row r="14" spans="1:59" ht="20" customHeight="1" x14ac:dyDescent="0.2">
      <c r="A14" s="43" t="s">
        <v>879</v>
      </c>
      <c r="B14" s="43" t="s">
        <v>832</v>
      </c>
      <c r="C14" s="43" t="s">
        <v>834</v>
      </c>
      <c r="D14" s="43" t="s">
        <v>840</v>
      </c>
      <c r="E14" s="43" t="s">
        <v>836</v>
      </c>
      <c r="F14" s="43"/>
      <c r="G14" s="42">
        <f>LN(2)/O14</f>
        <v>1.3862943611198905E-4</v>
      </c>
      <c r="H14" s="43"/>
      <c r="I14" s="188">
        <v>2.419391281190053E-4</v>
      </c>
      <c r="J14" s="42">
        <f t="shared" si="21"/>
        <v>5.3195434885788091E-4</v>
      </c>
      <c r="K14" s="188">
        <v>2.9859124561264329E-3</v>
      </c>
      <c r="L14" s="43" t="s">
        <v>839</v>
      </c>
      <c r="M14" s="43" t="s">
        <v>848</v>
      </c>
      <c r="O14" s="4">
        <v>5000</v>
      </c>
      <c r="Q14" s="4" t="s">
        <v>838</v>
      </c>
      <c r="R14" s="4">
        <f t="shared" ref="R14:R16" si="30">6/1000*10^4</f>
        <v>60</v>
      </c>
      <c r="S14" s="4">
        <f>'Drop-down lists'!Q8</f>
        <v>10</v>
      </c>
      <c r="T14" s="4">
        <v>9.203884727313847E-3</v>
      </c>
      <c r="U14" s="5">
        <f>'Drop-down lists'!S8</f>
        <v>250000</v>
      </c>
      <c r="V14" s="5"/>
      <c r="W14" s="195">
        <v>4.2500000000000003E-5</v>
      </c>
      <c r="X14" s="196">
        <v>2.99E-3</v>
      </c>
      <c r="Y14" s="195"/>
      <c r="Z14" s="5"/>
      <c r="AA14" s="5"/>
      <c r="AB14" s="206">
        <f t="shared" si="15"/>
        <v>5.3195434885788091E-4</v>
      </c>
      <c r="AC14" s="196"/>
      <c r="AD14" s="195"/>
      <c r="AE14" s="5"/>
      <c r="AF14" s="5"/>
      <c r="AG14" s="206">
        <f t="shared" si="16"/>
        <v>1.3110181700334939E-4</v>
      </c>
      <c r="AH14" s="196"/>
      <c r="AI14" s="195"/>
      <c r="AJ14" s="5"/>
      <c r="AK14" s="5"/>
      <c r="AL14" s="5"/>
      <c r="AM14" s="196"/>
      <c r="AN14" s="195"/>
      <c r="AO14" s="5"/>
      <c r="AP14" s="5"/>
      <c r="AQ14" s="206">
        <f t="shared" si="17"/>
        <v>1.0179154269600934E-4</v>
      </c>
      <c r="AR14" s="196"/>
      <c r="AS14" s="195"/>
      <c r="AT14" s="5"/>
      <c r="AU14" s="5"/>
      <c r="AV14" s="206">
        <f t="shared" si="18"/>
        <v>1.8011813921878345E-4</v>
      </c>
      <c r="AW14" s="196"/>
      <c r="AX14" s="195"/>
      <c r="AY14" s="5"/>
      <c r="AZ14" s="5"/>
      <c r="BA14" s="206">
        <f t="shared" si="19"/>
        <v>4.2457276113729818E-5</v>
      </c>
      <c r="BB14" s="196"/>
      <c r="BC14" s="195"/>
      <c r="BD14" s="5"/>
      <c r="BE14" s="5"/>
      <c r="BF14" s="206">
        <f t="shared" si="20"/>
        <v>2.5648752524462331E-4</v>
      </c>
      <c r="BG14" s="196"/>
    </row>
    <row r="15" spans="1:59" ht="20" customHeight="1" x14ac:dyDescent="0.2">
      <c r="A15" s="43" t="s">
        <v>880</v>
      </c>
      <c r="B15" s="43" t="s">
        <v>832</v>
      </c>
      <c r="C15" s="43" t="s">
        <v>834</v>
      </c>
      <c r="D15" s="43" t="s">
        <v>841</v>
      </c>
      <c r="E15" s="43" t="s">
        <v>836</v>
      </c>
      <c r="F15" s="43"/>
      <c r="G15" s="42">
        <f t="shared" ref="G15:G16" si="31">LN(2)/O15</f>
        <v>1.3862943611198905E-4</v>
      </c>
      <c r="H15" s="43"/>
      <c r="I15" s="188">
        <v>3.9221793756292774E-6</v>
      </c>
      <c r="J15" s="42">
        <f t="shared" si="21"/>
        <v>1.0006772720094461E-5</v>
      </c>
      <c r="K15" s="188">
        <v>3.0901034205704649E-5</v>
      </c>
      <c r="L15" s="43" t="s">
        <v>839</v>
      </c>
      <c r="M15" s="43" t="s">
        <v>848</v>
      </c>
      <c r="O15" s="4">
        <v>5000</v>
      </c>
      <c r="Q15" s="4" t="s">
        <v>838</v>
      </c>
      <c r="R15" s="4">
        <f t="shared" si="30"/>
        <v>60</v>
      </c>
      <c r="S15" s="4">
        <f>'Drop-down lists'!Q9</f>
        <v>0</v>
      </c>
      <c r="T15" s="5">
        <v>4.7123889803846904E-6</v>
      </c>
      <c r="U15" s="5">
        <f>'Drop-down lists'!S9</f>
        <v>38500</v>
      </c>
      <c r="V15" s="5"/>
      <c r="W15" s="5">
        <v>6.0500000000000006E-8</v>
      </c>
      <c r="X15" s="196">
        <v>9.6599999999999995E-4</v>
      </c>
      <c r="Y15" s="195"/>
      <c r="Z15" s="5"/>
      <c r="AA15" s="5"/>
      <c r="AB15" s="206">
        <f t="shared" si="15"/>
        <v>1.0006772720094461E-5</v>
      </c>
      <c r="AC15" s="196"/>
      <c r="AD15" s="195"/>
      <c r="AE15" s="5"/>
      <c r="AF15" s="5"/>
      <c r="AG15" s="206">
        <f t="shared" si="16"/>
        <v>8.6783150312938988E-6</v>
      </c>
      <c r="AH15" s="196"/>
      <c r="AI15" s="195"/>
      <c r="AJ15" s="5"/>
      <c r="AK15" s="5"/>
      <c r="AL15" s="5"/>
      <c r="AM15" s="196"/>
      <c r="AN15" s="195"/>
      <c r="AO15" s="5"/>
      <c r="AP15" s="5"/>
      <c r="AQ15" s="206">
        <f t="shared" si="17"/>
        <v>3.8149484781896284E-5</v>
      </c>
      <c r="AR15" s="196"/>
      <c r="AS15" s="195"/>
      <c r="AT15" s="5"/>
      <c r="AU15" s="5"/>
      <c r="AV15" s="206">
        <f t="shared" si="18"/>
        <v>3.5442563194169012E-5</v>
      </c>
      <c r="AW15" s="196"/>
      <c r="AX15" s="195"/>
      <c r="AY15" s="5"/>
      <c r="AZ15" s="5"/>
      <c r="BA15" s="206">
        <f t="shared" si="19"/>
        <v>6.0496390791464145E-8</v>
      </c>
      <c r="BB15" s="196"/>
      <c r="BC15" s="195"/>
      <c r="BD15" s="5"/>
      <c r="BE15" s="5"/>
      <c r="BF15" s="206">
        <f t="shared" si="20"/>
        <v>2.1612895557484796E-4</v>
      </c>
      <c r="BG15" s="196"/>
    </row>
    <row r="16" spans="1:59" ht="20" customHeight="1" x14ac:dyDescent="0.2">
      <c r="A16" s="43" t="s">
        <v>881</v>
      </c>
      <c r="B16" s="43" t="s">
        <v>832</v>
      </c>
      <c r="C16" s="43" t="s">
        <v>834</v>
      </c>
      <c r="D16" s="43" t="s">
        <v>48</v>
      </c>
      <c r="E16" s="43" t="s">
        <v>836</v>
      </c>
      <c r="F16" s="43"/>
      <c r="G16" s="42">
        <f t="shared" si="31"/>
        <v>1.3862943611198905E-4</v>
      </c>
      <c r="H16" s="43"/>
      <c r="I16" s="188">
        <v>1.0035610685949183E-5</v>
      </c>
      <c r="J16" s="42">
        <f t="shared" si="21"/>
        <v>3.0587714365284148E-5</v>
      </c>
      <c r="K16" s="188">
        <v>1.2989411467643282E-4</v>
      </c>
      <c r="L16" s="43" t="s">
        <v>839</v>
      </c>
      <c r="M16" s="43" t="s">
        <v>848</v>
      </c>
      <c r="O16" s="4">
        <v>5000</v>
      </c>
      <c r="Q16" s="4" t="s">
        <v>838</v>
      </c>
      <c r="R16" s="4">
        <f t="shared" si="30"/>
        <v>60</v>
      </c>
      <c r="S16" s="4">
        <f>'Drop-down lists'!Q10</f>
        <v>0</v>
      </c>
      <c r="T16" s="4">
        <v>0</v>
      </c>
      <c r="U16" s="5">
        <f>'Drop-down lists'!S10</f>
        <v>482000</v>
      </c>
      <c r="V16" s="5"/>
      <c r="W16" s="5">
        <v>3.1300000000000001E-7</v>
      </c>
      <c r="X16" s="196">
        <v>1.1800000000000001E-3</v>
      </c>
      <c r="Y16" s="195"/>
      <c r="Z16" s="5"/>
      <c r="AA16" s="5"/>
      <c r="AB16" s="206">
        <f t="shared" si="15"/>
        <v>3.0587714365284148E-5</v>
      </c>
      <c r="AC16" s="196"/>
      <c r="AD16" s="195"/>
      <c r="AE16" s="5"/>
      <c r="AF16" s="5"/>
      <c r="AG16" s="206">
        <f t="shared" si="16"/>
        <v>3.0400351123367466E-5</v>
      </c>
      <c r="AH16" s="196"/>
      <c r="AI16" s="195"/>
      <c r="AJ16" s="5"/>
      <c r="AK16" s="5"/>
      <c r="AL16" s="5"/>
      <c r="AM16" s="196"/>
      <c r="AN16" s="195"/>
      <c r="AO16" s="5"/>
      <c r="AP16" s="5"/>
      <c r="AQ16" s="206">
        <f t="shared" si="17"/>
        <v>6.5932977549445151E-5</v>
      </c>
      <c r="AR16" s="196"/>
      <c r="AS16" s="195"/>
      <c r="AT16" s="5"/>
      <c r="AU16" s="5"/>
      <c r="AV16" s="206">
        <f t="shared" si="18"/>
        <v>8.0391222994714338E-5</v>
      </c>
      <c r="AW16" s="196"/>
      <c r="AX16" s="195"/>
      <c r="AY16" s="5"/>
      <c r="AZ16" s="5"/>
      <c r="BA16" s="206">
        <f t="shared" si="19"/>
        <v>3.1339626641429535E-7</v>
      </c>
      <c r="BB16" s="196"/>
      <c r="BC16" s="195"/>
      <c r="BD16" s="5"/>
      <c r="BE16" s="5"/>
      <c r="BF16" s="206">
        <f t="shared" si="20"/>
        <v>2.635310038197716E-4</v>
      </c>
      <c r="BG16" s="196"/>
    </row>
    <row r="17" spans="1:59" s="11" customFormat="1" ht="20" customHeight="1" x14ac:dyDescent="0.2">
      <c r="A17" s="60" t="s">
        <v>883</v>
      </c>
      <c r="B17" s="60" t="s">
        <v>832</v>
      </c>
      <c r="C17" s="60" t="s">
        <v>2</v>
      </c>
      <c r="D17" s="60" t="s">
        <v>844</v>
      </c>
      <c r="E17" s="60" t="s">
        <v>842</v>
      </c>
      <c r="F17" s="60"/>
      <c r="G17" s="44">
        <f>42.2*EXP(-27714/8.314/298)*1^0.781*11.5^0.108*21^0.575/365</f>
        <v>1.201860540707184E-5</v>
      </c>
      <c r="H17" s="60"/>
      <c r="I17" s="189">
        <v>2.1351766919693532E-4</v>
      </c>
      <c r="J17" s="42">
        <f t="shared" si="21"/>
        <v>5.0867301839797277E-4</v>
      </c>
      <c r="K17" s="189">
        <v>3.1033329639430425E-3</v>
      </c>
      <c r="L17" s="60" t="s">
        <v>858</v>
      </c>
      <c r="M17" s="60" t="s">
        <v>849</v>
      </c>
      <c r="N17" s="11" t="s">
        <v>860</v>
      </c>
      <c r="O17" s="11" t="s">
        <v>851</v>
      </c>
      <c r="P17" s="11" t="s">
        <v>845</v>
      </c>
      <c r="Q17" s="11" t="s">
        <v>846</v>
      </c>
      <c r="R17" s="6">
        <f>2*(12*12+2*12*0.375)/(12*12*0.375)*10</f>
        <v>56.666666666666671</v>
      </c>
      <c r="S17" s="11">
        <v>10</v>
      </c>
      <c r="T17" s="11" t="s">
        <v>867</v>
      </c>
      <c r="U17" s="11">
        <v>0</v>
      </c>
      <c r="W17" s="208"/>
      <c r="X17" s="209"/>
      <c r="Y17" s="195"/>
      <c r="Z17" s="5"/>
      <c r="AA17" s="5"/>
      <c r="AB17" s="5"/>
      <c r="AC17" s="196"/>
      <c r="AD17" s="208"/>
      <c r="AH17" s="209"/>
      <c r="AI17" s="208"/>
      <c r="AM17" s="209"/>
      <c r="AN17" s="208"/>
      <c r="AR17" s="209"/>
      <c r="AS17" s="208"/>
      <c r="AW17" s="209"/>
      <c r="AX17" s="208"/>
      <c r="BB17" s="209"/>
      <c r="BC17" s="208"/>
      <c r="BG17" s="209"/>
    </row>
    <row r="18" spans="1:59" s="11" customFormat="1" ht="20" customHeight="1" x14ac:dyDescent="0.2">
      <c r="A18" s="60" t="s">
        <v>884</v>
      </c>
      <c r="B18" s="60" t="s">
        <v>832</v>
      </c>
      <c r="C18" s="60" t="s">
        <v>108</v>
      </c>
      <c r="D18" s="60" t="s">
        <v>844</v>
      </c>
      <c r="E18" s="60" t="s">
        <v>842</v>
      </c>
      <c r="F18" s="60"/>
      <c r="G18" s="44">
        <f>1275*EXP(-30924/8.314/298)*1^0.258*11.5^0.06*21^0.54/365</f>
        <v>7.9465494618955479E-5</v>
      </c>
      <c r="H18" s="60"/>
      <c r="I18" s="189">
        <v>3.9120192104101118E-5</v>
      </c>
      <c r="J18" s="42">
        <f>C$43*R18^D$43*(E$43*S18^F$43+G$43*U18^H$43)</f>
        <v>3.9120338116178696E-5</v>
      </c>
      <c r="K18" s="189">
        <v>3.9120482637800647E-5</v>
      </c>
      <c r="L18" s="60" t="s">
        <v>858</v>
      </c>
      <c r="M18" s="60" t="s">
        <v>849</v>
      </c>
      <c r="N18" s="11" t="s">
        <v>860</v>
      </c>
      <c r="O18" s="11" t="s">
        <v>851</v>
      </c>
      <c r="P18" s="11" t="s">
        <v>845</v>
      </c>
      <c r="Q18" s="11" t="s">
        <v>846</v>
      </c>
      <c r="R18" s="6">
        <f>2*(12*12+2*12*0.375)/(12*12*0.375)*10</f>
        <v>56.666666666666671</v>
      </c>
      <c r="S18" s="11">
        <v>10</v>
      </c>
      <c r="T18" s="11" t="s">
        <v>867</v>
      </c>
      <c r="U18" s="11">
        <v>0</v>
      </c>
      <c r="W18" s="210"/>
      <c r="X18" s="212"/>
      <c r="Y18" s="197"/>
      <c r="Z18" s="198"/>
      <c r="AA18" s="198"/>
      <c r="AB18" s="198"/>
      <c r="AC18" s="199"/>
      <c r="AD18" s="210"/>
      <c r="AE18" s="211"/>
      <c r="AF18" s="211"/>
      <c r="AG18" s="211"/>
      <c r="AH18" s="212"/>
      <c r="AI18" s="210"/>
      <c r="AJ18" s="211"/>
      <c r="AK18" s="211"/>
      <c r="AL18" s="211"/>
      <c r="AM18" s="212"/>
      <c r="AN18" s="210"/>
      <c r="AO18" s="211"/>
      <c r="AP18" s="211"/>
      <c r="AQ18" s="211"/>
      <c r="AR18" s="212"/>
      <c r="AS18" s="210"/>
      <c r="AT18" s="211"/>
      <c r="AU18" s="211"/>
      <c r="AV18" s="211"/>
      <c r="AW18" s="212"/>
      <c r="AX18" s="210"/>
      <c r="AY18" s="211"/>
      <c r="AZ18" s="211"/>
      <c r="BA18" s="211"/>
      <c r="BB18" s="212"/>
      <c r="BC18" s="210"/>
      <c r="BD18" s="211"/>
      <c r="BE18" s="211"/>
      <c r="BF18" s="211"/>
      <c r="BG18" s="212"/>
    </row>
    <row r="19" spans="1:59" s="11" customFormat="1" ht="20" customHeight="1" x14ac:dyDescent="0.2">
      <c r="A19" s="180" t="s">
        <v>1014</v>
      </c>
    </row>
    <row r="20" spans="1:59" ht="20" customHeight="1" x14ac:dyDescent="0.2">
      <c r="N20" s="11"/>
    </row>
    <row r="21" spans="1:59" ht="20" customHeight="1" x14ac:dyDescent="0.2">
      <c r="A21" s="3" t="s">
        <v>232</v>
      </c>
      <c r="B21" s="3" t="s">
        <v>13</v>
      </c>
      <c r="C21" s="3" t="s">
        <v>12</v>
      </c>
      <c r="D21" s="3" t="s">
        <v>15</v>
      </c>
      <c r="E21" s="3" t="s">
        <v>14</v>
      </c>
      <c r="F21" s="3" t="s">
        <v>16</v>
      </c>
      <c r="G21" s="3" t="s">
        <v>17</v>
      </c>
      <c r="H21" s="3"/>
      <c r="I21" s="3"/>
      <c r="J21" s="58"/>
    </row>
    <row r="22" spans="1:59" ht="20" customHeight="1" x14ac:dyDescent="0.2">
      <c r="A22" s="5" t="s">
        <v>772</v>
      </c>
      <c r="B22" s="5">
        <f>'Drop-down lists'!C7</f>
        <v>4.6565907501850404E-6</v>
      </c>
      <c r="C22" s="5">
        <f>'Drop-down lists'!D7</f>
        <v>2.2591669322139198</v>
      </c>
      <c r="D22" s="5">
        <f>'Drop-down lists'!E7</f>
        <v>5.3412730896969978E-4</v>
      </c>
      <c r="E22" s="5">
        <f>'Drop-down lists'!F7</f>
        <v>4.9999999999999827E-13</v>
      </c>
      <c r="F22" s="5">
        <f>'Drop-down lists'!G7</f>
        <v>8.6756319826511703</v>
      </c>
      <c r="G22" s="5">
        <f>'Drop-down lists'!H7</f>
        <v>1.4363331500021483</v>
      </c>
      <c r="H22" s="3"/>
      <c r="I22" s="3"/>
      <c r="J22" s="58"/>
    </row>
    <row r="23" spans="1:59" ht="20" customHeight="1" x14ac:dyDescent="0.2">
      <c r="A23" s="5" t="s">
        <v>235</v>
      </c>
      <c r="B23" s="5">
        <f>'Drop-down lists'!C20</f>
        <v>5.498191491131529E-3</v>
      </c>
      <c r="C23" s="5">
        <f>'Drop-down lists'!D20</f>
        <v>1.3720790802151868E-2</v>
      </c>
      <c r="D23" s="5">
        <f>'Drop-down lists'!E20</f>
        <v>1.7245229542043029E-2</v>
      </c>
      <c r="E23" s="5">
        <f>'Drop-down lists'!F20</f>
        <v>0.70549281899550453</v>
      </c>
      <c r="F23" s="5">
        <f>'Drop-down lists'!G20</f>
        <v>1.6158543822027385E-5</v>
      </c>
      <c r="G23" s="5">
        <f>'Drop-down lists'!H20</f>
        <v>0.4421091864971286</v>
      </c>
      <c r="H23" s="5"/>
      <c r="I23" s="5"/>
      <c r="J23" s="58"/>
    </row>
    <row r="24" spans="1:59" ht="20" customHeight="1" x14ac:dyDescent="0.2">
      <c r="A24" s="4" t="s">
        <v>646</v>
      </c>
      <c r="B24" s="5">
        <f>'Drop-down lists'!C19</f>
        <v>4.7218302973121193E-9</v>
      </c>
      <c r="C24" s="5">
        <f>'Drop-down lists'!D19</f>
        <v>1.3476470812839827</v>
      </c>
      <c r="D24" s="5">
        <f>'Drop-down lists'!E19</f>
        <v>3.6784226416775896E-4</v>
      </c>
      <c r="E24" s="5">
        <f>'Drop-down lists'!F19</f>
        <v>4.9897636856199528</v>
      </c>
      <c r="F24" s="5">
        <f>'Drop-down lists'!G19</f>
        <v>5.3315116606357247E-5</v>
      </c>
      <c r="G24" s="5">
        <f>'Drop-down lists'!H19</f>
        <v>0.65085027677318608</v>
      </c>
      <c r="H24" s="3"/>
      <c r="I24" s="3"/>
      <c r="J24" s="58"/>
    </row>
    <row r="25" spans="1:59" ht="20" customHeight="1" x14ac:dyDescent="0.2">
      <c r="J25" s="58"/>
    </row>
    <row r="26" spans="1:59" ht="20" customHeight="1" x14ac:dyDescent="0.2">
      <c r="A26" s="4" t="str" cm="1">
        <f t="array" ref="A26:H50">'Drop-down lists'!A2:H26</f>
        <v>Polymer-specific empirical constants – Fragmentation</v>
      </c>
      <c r="B26" s="4">
        <v>0</v>
      </c>
      <c r="C26" s="4">
        <v>0</v>
      </c>
      <c r="D26" s="4">
        <v>0</v>
      </c>
      <c r="E26" s="4">
        <v>0</v>
      </c>
      <c r="F26" s="4">
        <v>0</v>
      </c>
      <c r="G26" s="4">
        <v>0</v>
      </c>
      <c r="H26" s="4">
        <v>0</v>
      </c>
    </row>
    <row r="27" spans="1:59" ht="20" customHeight="1" x14ac:dyDescent="0.2">
      <c r="A27" s="4" t="str">
        <v>Index (i)</v>
      </c>
      <c r="B27" s="4" t="str">
        <v>Polymer</v>
      </c>
      <c r="C27" s="4" t="str">
        <v>a_i</v>
      </c>
      <c r="D27" s="4" t="str">
        <v>delta_i</v>
      </c>
      <c r="E27" s="4" t="str">
        <v>b_i</v>
      </c>
      <c r="F27" s="4" t="str">
        <v>alpha_i</v>
      </c>
      <c r="G27" s="4" t="str">
        <v>c_i</v>
      </c>
      <c r="H27" s="4" t="str">
        <v>beta_i</v>
      </c>
    </row>
    <row r="28" spans="1:59" ht="20" customHeight="1" x14ac:dyDescent="0.2">
      <c r="A28" s="4">
        <v>1</v>
      </c>
      <c r="B28" s="4" t="str">
        <v>HDPE</v>
      </c>
      <c r="C28" s="4" t="str">
        <v>N/A</v>
      </c>
      <c r="D28" s="4" t="str">
        <v>N/A</v>
      </c>
      <c r="E28" s="4" t="str">
        <v>N/A</v>
      </c>
      <c r="F28" s="4" t="str">
        <v>N/A</v>
      </c>
      <c r="G28" s="4" t="str">
        <v>N/A</v>
      </c>
      <c r="H28" s="4" t="str">
        <v>N/A</v>
      </c>
    </row>
    <row r="29" spans="1:59" ht="20" customHeight="1" x14ac:dyDescent="0.2">
      <c r="A29" s="4">
        <v>2</v>
      </c>
      <c r="B29" s="4" t="str">
        <v>LDPE</v>
      </c>
      <c r="C29" s="4" t="str">
        <v>N/A</v>
      </c>
      <c r="D29" s="4" t="str">
        <v>N/A</v>
      </c>
      <c r="E29" s="4" t="str">
        <v>N/A</v>
      </c>
      <c r="F29" s="4" t="str">
        <v>N/A</v>
      </c>
      <c r="G29" s="4" t="str">
        <v>N/A</v>
      </c>
      <c r="H29" s="4" t="str">
        <v>N/A</v>
      </c>
    </row>
    <row r="30" spans="1:59" ht="20" customHeight="1" x14ac:dyDescent="0.2">
      <c r="A30" s="4">
        <v>3</v>
      </c>
      <c r="B30" s="4" t="str">
        <v>PE</v>
      </c>
      <c r="C30" s="4" t="str">
        <v>N/A</v>
      </c>
      <c r="D30" s="4" t="str">
        <v>N/A</v>
      </c>
      <c r="E30" s="4" t="str">
        <v>N/A</v>
      </c>
      <c r="F30" s="4" t="str">
        <v>N/A</v>
      </c>
      <c r="G30" s="4" t="str">
        <v>N/A</v>
      </c>
      <c r="H30" s="4" t="str">
        <v>N/A</v>
      </c>
    </row>
    <row r="31" spans="1:59" ht="20" customHeight="1" x14ac:dyDescent="0.2">
      <c r="A31" s="4">
        <v>4</v>
      </c>
      <c r="B31" s="4" t="str">
        <v>PP</v>
      </c>
      <c r="C31" s="4">
        <v>4.6565907501850404E-6</v>
      </c>
      <c r="D31" s="4">
        <v>2.2591669322139198</v>
      </c>
      <c r="E31" s="4">
        <v>5.3412730896969978E-4</v>
      </c>
      <c r="F31" s="4">
        <v>4.9999999999999827E-13</v>
      </c>
      <c r="G31" s="4">
        <v>8.6756319826511703</v>
      </c>
      <c r="H31" s="4">
        <v>1.4363331500021483</v>
      </c>
    </row>
    <row r="32" spans="1:59" ht="20" customHeight="1" x14ac:dyDescent="0.2">
      <c r="A32" s="4">
        <v>5</v>
      </c>
      <c r="B32" s="4" t="str">
        <v>PS</v>
      </c>
      <c r="C32" s="4">
        <v>7.2296289068305691E-3</v>
      </c>
      <c r="D32" s="4">
        <v>3.9038558090829327</v>
      </c>
      <c r="E32" s="4">
        <v>3.2687796728633455E-10</v>
      </c>
      <c r="F32" s="4">
        <v>0.5497565488813938</v>
      </c>
      <c r="G32" s="4">
        <v>55.746382030426993</v>
      </c>
      <c r="H32" s="4">
        <v>4.9468547671349521</v>
      </c>
    </row>
    <row r="33" spans="1:8" ht="20" customHeight="1" x14ac:dyDescent="0.2">
      <c r="A33" s="4">
        <v>6</v>
      </c>
      <c r="B33" s="4" t="str">
        <v>PET</v>
      </c>
      <c r="C33" s="4" t="str">
        <v>N/A</v>
      </c>
      <c r="D33" s="4" t="str">
        <v>N/A</v>
      </c>
      <c r="E33" s="4" t="str">
        <v>N/A</v>
      </c>
      <c r="F33" s="4" t="str">
        <v>N/A</v>
      </c>
      <c r="G33" s="4" t="str">
        <v>N/A</v>
      </c>
      <c r="H33" s="4" t="str">
        <v>N/A</v>
      </c>
    </row>
    <row r="34" spans="1:8" ht="20" customHeight="1" x14ac:dyDescent="0.2">
      <c r="A34" s="4">
        <v>7</v>
      </c>
      <c r="B34" s="4" t="str">
        <v>EPS</v>
      </c>
      <c r="C34" s="4">
        <v>2.901642600553464E-2</v>
      </c>
      <c r="D34" s="4">
        <v>9.3039280372760433E-12</v>
      </c>
      <c r="E34" s="4">
        <v>1.6976290256311595E-7</v>
      </c>
      <c r="F34" s="4">
        <v>4.9417608236281305</v>
      </c>
      <c r="G34" s="4">
        <v>19.912251463764076</v>
      </c>
      <c r="H34" s="4">
        <v>1.3446292576895287</v>
      </c>
    </row>
    <row r="35" spans="1:8" ht="20" customHeight="1" x14ac:dyDescent="0.2">
      <c r="A35" s="4">
        <v>8</v>
      </c>
      <c r="B35" s="4" t="str">
        <v>PVC</v>
      </c>
      <c r="C35" s="4" t="str">
        <v>N/A</v>
      </c>
      <c r="D35" s="4" t="str">
        <v>N/A</v>
      </c>
      <c r="E35" s="4" t="str">
        <v>N/A</v>
      </c>
      <c r="F35" s="4" t="str">
        <v>N/A</v>
      </c>
      <c r="G35" s="4" t="str">
        <v>N/A</v>
      </c>
      <c r="H35" s="4" t="str">
        <v>N/A</v>
      </c>
    </row>
    <row r="36" spans="1:8" ht="20" customHeight="1" x14ac:dyDescent="0.2">
      <c r="A36" s="4">
        <v>9</v>
      </c>
      <c r="B36" s="4" t="str">
        <v>PLA</v>
      </c>
      <c r="C36" s="4" t="str">
        <v>N/A</v>
      </c>
      <c r="D36" s="4" t="str">
        <v>N/A</v>
      </c>
      <c r="E36" s="4" t="str">
        <v>N/A</v>
      </c>
      <c r="F36" s="4" t="str">
        <v>N/A</v>
      </c>
      <c r="G36" s="4" t="str">
        <v>N/A</v>
      </c>
      <c r="H36" s="4" t="str">
        <v>N/A</v>
      </c>
    </row>
    <row r="37" spans="1:8" ht="20" customHeight="1" x14ac:dyDescent="0.2">
      <c r="A37" s="4">
        <v>10</v>
      </c>
      <c r="B37" s="4" t="str">
        <v>PA</v>
      </c>
      <c r="C37" s="4" t="str">
        <v>N/A</v>
      </c>
      <c r="D37" s="4" t="str">
        <v>N/A</v>
      </c>
      <c r="E37" s="4" t="str">
        <v>N/A</v>
      </c>
      <c r="F37" s="4" t="str">
        <v>N/A</v>
      </c>
      <c r="G37" s="4" t="str">
        <v>N/A</v>
      </c>
      <c r="H37" s="4" t="str">
        <v>N/A</v>
      </c>
    </row>
    <row r="38" spans="1:8" ht="20" customHeight="1" x14ac:dyDescent="0.2">
      <c r="A38" s="4">
        <v>0</v>
      </c>
      <c r="B38" s="4">
        <v>0</v>
      </c>
      <c r="C38" s="4">
        <v>0</v>
      </c>
      <c r="D38" s="4">
        <v>0</v>
      </c>
      <c r="E38" s="4">
        <v>0</v>
      </c>
      <c r="F38" s="4">
        <v>0</v>
      </c>
      <c r="G38" s="4">
        <v>0</v>
      </c>
      <c r="H38" s="4">
        <v>0</v>
      </c>
    </row>
    <row r="39" spans="1:8" ht="20" customHeight="1" x14ac:dyDescent="0.2">
      <c r="A39" s="4" t="str">
        <v>Polymer-specific empirical constants – Degradation</v>
      </c>
      <c r="B39" s="4">
        <v>0</v>
      </c>
      <c r="C39" s="4">
        <v>0</v>
      </c>
      <c r="D39" s="4">
        <v>0</v>
      </c>
      <c r="E39" s="4">
        <v>0</v>
      </c>
      <c r="F39" s="4">
        <v>0</v>
      </c>
      <c r="G39" s="4">
        <v>0</v>
      </c>
      <c r="H39" s="4">
        <v>0</v>
      </c>
    </row>
    <row r="40" spans="1:8" ht="20" customHeight="1" x14ac:dyDescent="0.2">
      <c r="A40" s="4" t="str">
        <v>Index (i)</v>
      </c>
      <c r="B40" s="4" t="str">
        <v>Polymer</v>
      </c>
      <c r="C40" s="4" t="str">
        <v>x_i</v>
      </c>
      <c r="D40" s="4" t="str">
        <v>tau_i</v>
      </c>
      <c r="E40" s="4" t="str">
        <v>y_i</v>
      </c>
      <c r="F40" s="4" t="str">
        <v>theta_i</v>
      </c>
      <c r="G40" s="4" t="str">
        <v>z_i</v>
      </c>
      <c r="H40" s="4" t="str">
        <v>eta_i</v>
      </c>
    </row>
    <row r="41" spans="1:8" ht="20" customHeight="1" x14ac:dyDescent="0.2">
      <c r="A41" s="4">
        <v>1</v>
      </c>
      <c r="B41" s="4" t="str">
        <v>HDPE</v>
      </c>
      <c r="C41" s="4">
        <v>1.0262753023911369E-2</v>
      </c>
      <c r="D41" s="4">
        <v>3.358408094206361E-11</v>
      </c>
      <c r="E41" s="4">
        <v>2.1825283888841857E-3</v>
      </c>
      <c r="F41" s="4">
        <v>0.29904863199407866</v>
      </c>
      <c r="G41" s="4">
        <v>3.780320604053785E-4</v>
      </c>
      <c r="H41" s="4">
        <v>0.21648776963088343</v>
      </c>
    </row>
    <row r="42" spans="1:8" ht="20" customHeight="1" x14ac:dyDescent="0.2">
      <c r="A42" s="4">
        <v>2</v>
      </c>
      <c r="B42" s="4" t="str">
        <v>LDPE</v>
      </c>
      <c r="C42" s="4">
        <v>1.1050589923981958E-2</v>
      </c>
      <c r="D42" s="4">
        <v>4.9999999999999827E-13</v>
      </c>
      <c r="E42" s="4">
        <v>1.0314560124374485E-2</v>
      </c>
      <c r="F42" s="4">
        <v>4.362022267738264E-3</v>
      </c>
      <c r="G42" s="4">
        <v>1.0475542749963076E-4</v>
      </c>
      <c r="H42" s="4">
        <v>0.32405972126395782</v>
      </c>
    </row>
    <row r="43" spans="1:8" ht="20" customHeight="1" x14ac:dyDescent="0.2">
      <c r="A43" s="4">
        <v>3</v>
      </c>
      <c r="B43" s="4" t="str">
        <v>PE</v>
      </c>
      <c r="C43" s="4">
        <v>4.7218302973121193E-9</v>
      </c>
      <c r="D43" s="4">
        <v>1.3476470812839827</v>
      </c>
      <c r="E43" s="4">
        <v>3.6784226416775896E-4</v>
      </c>
      <c r="F43" s="4">
        <v>4.9897636856199528</v>
      </c>
      <c r="G43" s="4">
        <v>5.3315116606357247E-5</v>
      </c>
      <c r="H43" s="4">
        <v>0.65085027677318608</v>
      </c>
    </row>
    <row r="44" spans="1:8" ht="20" customHeight="1" x14ac:dyDescent="0.2">
      <c r="A44" s="4">
        <v>4</v>
      </c>
      <c r="B44" s="4" t="str">
        <v>PP</v>
      </c>
      <c r="C44" s="4">
        <v>5.498191491131529E-3</v>
      </c>
      <c r="D44" s="4">
        <v>1.3720790802151868E-2</v>
      </c>
      <c r="E44" s="4">
        <v>1.7245229542043029E-2</v>
      </c>
      <c r="F44" s="4">
        <v>0.70549281899550453</v>
      </c>
      <c r="G44" s="4">
        <v>1.6158543822027385E-5</v>
      </c>
      <c r="H44" s="4">
        <v>0.4421091864971286</v>
      </c>
    </row>
    <row r="45" spans="1:8" ht="20" customHeight="1" x14ac:dyDescent="0.2">
      <c r="A45" s="4">
        <v>5</v>
      </c>
      <c r="B45" s="4" t="str">
        <v>PS</v>
      </c>
      <c r="C45" s="4">
        <v>2.7325414959528186E-4</v>
      </c>
      <c r="D45" s="4">
        <v>0.24329239036966804</v>
      </c>
      <c r="E45" s="4">
        <v>1.4446952203994605E-2</v>
      </c>
      <c r="F45" s="4">
        <v>1.0090731771779824</v>
      </c>
      <c r="G45" s="4">
        <v>6.2330521521325821E-5</v>
      </c>
      <c r="H45" s="4">
        <v>0.49603678909463539</v>
      </c>
    </row>
    <row r="46" spans="1:8" ht="20" customHeight="1" x14ac:dyDescent="0.2">
      <c r="A46" s="4">
        <v>6</v>
      </c>
      <c r="B46" s="4" t="str">
        <v>PET</v>
      </c>
      <c r="C46" s="4">
        <v>2.432762664179211E-4</v>
      </c>
      <c r="D46" s="4">
        <v>0.79097577099168459</v>
      </c>
      <c r="E46" s="4">
        <v>1.3261955767881682E-5</v>
      </c>
      <c r="F46" s="4">
        <v>1.8763022076137708</v>
      </c>
      <c r="G46" s="4">
        <v>1.5217890973559184E-2</v>
      </c>
      <c r="H46" s="4">
        <v>7.8461949501476475E-2</v>
      </c>
    </row>
    <row r="47" spans="1:8" ht="20" customHeight="1" x14ac:dyDescent="0.2">
      <c r="A47" s="4">
        <v>7</v>
      </c>
      <c r="B47" s="4" t="str">
        <v>EPS</v>
      </c>
      <c r="C47" s="4" t="str">
        <v>N/A</v>
      </c>
      <c r="D47" s="4" t="str">
        <v>N/A</v>
      </c>
      <c r="E47" s="4" t="str">
        <v>N/A</v>
      </c>
      <c r="F47" s="4" t="str">
        <v>N/A</v>
      </c>
      <c r="G47" s="4" t="str">
        <v>N/A</v>
      </c>
      <c r="H47" s="4" t="str">
        <v>N/A</v>
      </c>
    </row>
    <row r="48" spans="1:8" ht="20" customHeight="1" x14ac:dyDescent="0.2">
      <c r="A48" s="4">
        <v>8</v>
      </c>
      <c r="B48" s="4" t="str">
        <v>PVC</v>
      </c>
      <c r="C48" s="4" t="str">
        <v>N/A</v>
      </c>
      <c r="D48" s="4" t="str">
        <v>N/A</v>
      </c>
      <c r="E48" s="4" t="str">
        <v>N/A</v>
      </c>
      <c r="F48" s="4" t="str">
        <v>N/A</v>
      </c>
      <c r="G48" s="4" t="str">
        <v>N/A</v>
      </c>
      <c r="H48" s="4" t="str">
        <v>N/A</v>
      </c>
    </row>
    <row r="49" spans="1:8" ht="20" customHeight="1" x14ac:dyDescent="0.2">
      <c r="A49" s="4">
        <v>9</v>
      </c>
      <c r="B49" s="4" t="str">
        <v>PLA</v>
      </c>
      <c r="C49" s="4" t="str">
        <v>N/A</v>
      </c>
      <c r="D49" s="4" t="str">
        <v>N/A</v>
      </c>
      <c r="E49" s="4" t="str">
        <v>N/A</v>
      </c>
      <c r="F49" s="4" t="str">
        <v>N/A</v>
      </c>
      <c r="G49" s="4" t="str">
        <v>N/A</v>
      </c>
      <c r="H49" s="4" t="str">
        <v>N/A</v>
      </c>
    </row>
    <row r="50" spans="1:8" ht="20" customHeight="1" x14ac:dyDescent="0.2">
      <c r="A50" s="4">
        <v>10</v>
      </c>
      <c r="B50" s="4" t="str">
        <v>PA</v>
      </c>
      <c r="C50" s="4" t="str">
        <v>N/A</v>
      </c>
      <c r="D50" s="4" t="str">
        <v>N/A</v>
      </c>
      <c r="E50" s="4" t="str">
        <v>N/A</v>
      </c>
      <c r="F50" s="4" t="str">
        <v>N/A</v>
      </c>
      <c r="G50" s="4" t="str">
        <v>N/A</v>
      </c>
      <c r="H50" s="4" t="str">
        <v>N/A</v>
      </c>
    </row>
  </sheetData>
  <mergeCells count="1">
    <mergeCell ref="N2:P2"/>
  </mergeCells>
  <conditionalFormatting sqref="AB14:AB16 Y12:AH13 AG14:AG16 AQ14:AQ16 AV14:AV16 BA14:BA16 Y11:BG11 AN12:BG13 BF14:BF16">
    <cfRule type="top10" dxfId="3" priority="4" rank="1"/>
  </conditionalFormatting>
  <conditionalFormatting sqref="AI12:AM12">
    <cfRule type="top10" dxfId="2" priority="3" rank="1"/>
  </conditionalFormatting>
  <conditionalFormatting sqref="AR14:AU14 AW14:AZ14">
    <cfRule type="top10" dxfId="1" priority="2" rank="1"/>
  </conditionalFormatting>
  <conditionalFormatting sqref="AR15:AU15 AW15:AZ15">
    <cfRule type="top10" dxfId="0" priority="1" rank="1"/>
  </conditionalFormatting>
  <dataValidations count="1">
    <dataValidation operator="greaterThan" showInputMessage="1" showErrorMessage="1" sqref="B21:C22 D22:G22" xr:uid="{8600E8B5-9C5C-2340-A471-9826A54D5F42}"/>
  </dataValidations>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53368-65AC-6D47-A11B-B25274C2E101}">
  <dimension ref="A1:C10"/>
  <sheetViews>
    <sheetView zoomScaleNormal="100" workbookViewId="0"/>
  </sheetViews>
  <sheetFormatPr baseColWidth="10" defaultColWidth="15.83203125" defaultRowHeight="20" customHeight="1" x14ac:dyDescent="0.2"/>
  <cols>
    <col min="1" max="1" width="12.83203125" style="4" customWidth="1"/>
    <col min="2" max="2" width="20.83203125" style="4" customWidth="1"/>
    <col min="3" max="3" width="18.83203125" style="4" customWidth="1"/>
    <col min="4" max="16384" width="15.83203125" style="4"/>
  </cols>
  <sheetData>
    <row r="1" spans="1:3" ht="20" customHeight="1" x14ac:dyDescent="0.2">
      <c r="A1" s="158" t="s">
        <v>900</v>
      </c>
    </row>
    <row r="2" spans="1:3" ht="20" customHeight="1" x14ac:dyDescent="0.2">
      <c r="A2" s="3" t="s">
        <v>262</v>
      </c>
      <c r="B2" s="3" t="s">
        <v>817</v>
      </c>
      <c r="C2" s="3" t="s">
        <v>826</v>
      </c>
    </row>
    <row r="3" spans="1:3" ht="20" customHeight="1" x14ac:dyDescent="0.2">
      <c r="A3" s="4">
        <v>4</v>
      </c>
      <c r="B3" s="4">
        <v>200</v>
      </c>
      <c r="C3" s="4" t="s">
        <v>821</v>
      </c>
    </row>
    <row r="4" spans="1:3" ht="20" customHeight="1" x14ac:dyDescent="0.2">
      <c r="A4" s="4">
        <v>5</v>
      </c>
      <c r="B4" s="4">
        <v>250</v>
      </c>
      <c r="C4" s="4" t="s">
        <v>818</v>
      </c>
    </row>
    <row r="5" spans="1:3" ht="20" customHeight="1" x14ac:dyDescent="0.2">
      <c r="A5" s="4">
        <v>6</v>
      </c>
      <c r="B5" s="4">
        <v>300</v>
      </c>
      <c r="C5" s="4" t="s">
        <v>823</v>
      </c>
    </row>
    <row r="6" spans="1:3" ht="20" customHeight="1" x14ac:dyDescent="0.2">
      <c r="A6" s="4">
        <v>7</v>
      </c>
      <c r="B6" s="4">
        <v>350</v>
      </c>
      <c r="C6" s="4" t="s">
        <v>824</v>
      </c>
    </row>
    <row r="7" spans="1:3" ht="20" customHeight="1" x14ac:dyDescent="0.2">
      <c r="A7" s="4">
        <v>8</v>
      </c>
      <c r="B7" s="4">
        <v>400</v>
      </c>
      <c r="C7" s="4" t="s">
        <v>822</v>
      </c>
    </row>
    <row r="8" spans="1:3" ht="20" customHeight="1" x14ac:dyDescent="0.2">
      <c r="A8" s="4">
        <v>9</v>
      </c>
      <c r="B8" s="4">
        <v>450</v>
      </c>
      <c r="C8" s="4" t="s">
        <v>825</v>
      </c>
    </row>
    <row r="9" spans="1:3" ht="20" customHeight="1" x14ac:dyDescent="0.2">
      <c r="A9" s="4">
        <v>10</v>
      </c>
      <c r="B9" s="4">
        <v>500</v>
      </c>
      <c r="C9" s="4" t="s">
        <v>820</v>
      </c>
    </row>
    <row r="10" spans="1:3" ht="20" customHeight="1" x14ac:dyDescent="0.2">
      <c r="A10" s="4">
        <v>11</v>
      </c>
      <c r="B10" s="4">
        <v>550</v>
      </c>
      <c r="C10" s="4" t="s">
        <v>819</v>
      </c>
    </row>
  </sheetData>
  <phoneticPr fontId="7" type="noConversion"/>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D8608-D421-544E-A572-F4EDC5FDB22D}">
  <dimension ref="A1:J52"/>
  <sheetViews>
    <sheetView workbookViewId="0"/>
  </sheetViews>
  <sheetFormatPr baseColWidth="10" defaultColWidth="15.83203125" defaultRowHeight="20" customHeight="1" x14ac:dyDescent="0.2"/>
  <sheetData>
    <row r="1" spans="1:10" ht="20" customHeight="1" x14ac:dyDescent="0.2">
      <c r="A1" s="162" t="s">
        <v>1010</v>
      </c>
    </row>
    <row r="2" spans="1:10" ht="20" customHeight="1" x14ac:dyDescent="0.2">
      <c r="A2" s="180" t="s">
        <v>1015</v>
      </c>
    </row>
    <row r="3" spans="1:10" ht="20" customHeight="1" x14ac:dyDescent="0.2">
      <c r="A3" s="3" t="s">
        <v>1</v>
      </c>
      <c r="B3" s="3" t="s">
        <v>4</v>
      </c>
      <c r="C3" s="3" t="s">
        <v>119</v>
      </c>
      <c r="D3" s="3" t="s">
        <v>115</v>
      </c>
      <c r="E3" s="3" t="s">
        <v>19</v>
      </c>
      <c r="F3" s="3" t="s">
        <v>20</v>
      </c>
      <c r="G3" s="3" t="s">
        <v>121</v>
      </c>
      <c r="H3" s="3" t="s">
        <v>223</v>
      </c>
      <c r="I3" s="3" t="s">
        <v>663</v>
      </c>
      <c r="J3" s="3" t="s">
        <v>662</v>
      </c>
    </row>
    <row r="4" spans="1:10" ht="20" customHeight="1" x14ac:dyDescent="0.2">
      <c r="A4" s="4" t="s">
        <v>2</v>
      </c>
      <c r="B4" s="4" t="s">
        <v>31</v>
      </c>
      <c r="C4" s="4">
        <v>25</v>
      </c>
      <c r="D4" s="4">
        <v>10</v>
      </c>
      <c r="E4" s="181">
        <v>4.042500000000001E-3</v>
      </c>
      <c r="F4" s="4">
        <v>0.5</v>
      </c>
      <c r="G4" s="5">
        <v>2.2225329746217566E-5</v>
      </c>
      <c r="H4" s="5">
        <v>5.0095261948635721E-4</v>
      </c>
      <c r="I4" s="7">
        <v>36.173842870248833</v>
      </c>
      <c r="J4" s="7">
        <v>37.778736336627922</v>
      </c>
    </row>
    <row r="5" spans="1:10" ht="20" customHeight="1" x14ac:dyDescent="0.2">
      <c r="A5" s="4" t="s">
        <v>2</v>
      </c>
      <c r="B5" s="4" t="s">
        <v>1008</v>
      </c>
      <c r="C5" s="4">
        <v>25</v>
      </c>
      <c r="D5" s="4">
        <v>0.1</v>
      </c>
      <c r="E5" s="181">
        <v>1.1533095135726715E-3</v>
      </c>
      <c r="F5" s="5">
        <v>670000000</v>
      </c>
      <c r="G5" s="5">
        <v>4.311789555184545E-6</v>
      </c>
      <c r="H5" s="5">
        <v>1.0555996673399719E-3</v>
      </c>
      <c r="I5" s="7">
        <v>17.855601810510695</v>
      </c>
      <c r="J5" s="7">
        <v>17.928536275886287</v>
      </c>
    </row>
    <row r="6" spans="1:10" ht="20" customHeight="1" x14ac:dyDescent="0.2">
      <c r="A6" s="4" t="s">
        <v>2</v>
      </c>
      <c r="B6" s="4" t="s">
        <v>1009</v>
      </c>
      <c r="C6" s="4">
        <v>25</v>
      </c>
      <c r="D6" s="4">
        <v>0</v>
      </c>
      <c r="E6" s="4">
        <v>0</v>
      </c>
      <c r="F6" s="5">
        <v>121000000</v>
      </c>
      <c r="G6" s="182">
        <v>3.5283827634986957E-7</v>
      </c>
      <c r="H6" s="5">
        <v>3.5238518453994548E-4</v>
      </c>
      <c r="I6" s="7">
        <v>53.652727249578192</v>
      </c>
      <c r="J6" s="7">
        <v>53.706448962734001</v>
      </c>
    </row>
    <row r="7" spans="1:10" ht="20" customHeight="1" x14ac:dyDescent="0.2">
      <c r="A7" s="4" t="s">
        <v>2</v>
      </c>
      <c r="B7" s="4" t="s">
        <v>39</v>
      </c>
      <c r="C7" s="4">
        <v>25</v>
      </c>
      <c r="D7" s="4">
        <v>12.5</v>
      </c>
      <c r="E7" s="181">
        <v>2.6361360310232489E-2</v>
      </c>
      <c r="F7" s="5">
        <v>12500000</v>
      </c>
      <c r="G7" s="5">
        <v>8.9148721737899398E-4</v>
      </c>
      <c r="H7" s="5">
        <v>3.250615213749768E-3</v>
      </c>
      <c r="I7" s="183">
        <v>4.569021950420681</v>
      </c>
      <c r="J7" s="183">
        <v>5.8220846468280438</v>
      </c>
    </row>
    <row r="8" spans="1:10" ht="20" customHeight="1" x14ac:dyDescent="0.2">
      <c r="A8" s="4" t="s">
        <v>2</v>
      </c>
      <c r="B8" s="4" t="s">
        <v>840</v>
      </c>
      <c r="C8" s="4">
        <v>25</v>
      </c>
      <c r="D8" s="4">
        <v>10</v>
      </c>
      <c r="E8" s="181">
        <v>3.3000000000000008E-3</v>
      </c>
      <c r="F8" s="5">
        <v>250000</v>
      </c>
      <c r="G8" s="5">
        <v>1.7076770309035231E-5</v>
      </c>
      <c r="H8" s="5">
        <v>6.7639144773695725E-4</v>
      </c>
      <c r="I8" s="7">
        <v>27.290878566929525</v>
      </c>
      <c r="J8" s="7">
        <v>27.979887965819003</v>
      </c>
    </row>
    <row r="9" spans="1:10" ht="20" customHeight="1" x14ac:dyDescent="0.2">
      <c r="A9" s="4" t="s">
        <v>2</v>
      </c>
      <c r="B9" s="4" t="s">
        <v>841</v>
      </c>
      <c r="C9" s="4">
        <v>25</v>
      </c>
      <c r="D9" s="4">
        <v>0</v>
      </c>
      <c r="E9" s="5">
        <v>1.6895999999999999E-6</v>
      </c>
      <c r="F9" s="5">
        <v>38500</v>
      </c>
      <c r="G9" s="182">
        <v>3.5323214725514819E-7</v>
      </c>
      <c r="H9" s="5">
        <v>2.5482168750201063E-5</v>
      </c>
      <c r="I9" s="7">
        <v>732.53583344168646</v>
      </c>
      <c r="J9" s="7">
        <v>742.69019698603381</v>
      </c>
    </row>
    <row r="10" spans="1:10" ht="20" customHeight="1" x14ac:dyDescent="0.2">
      <c r="A10" s="4" t="s">
        <v>2</v>
      </c>
      <c r="B10" s="4" t="s">
        <v>48</v>
      </c>
      <c r="C10" s="4">
        <v>25</v>
      </c>
      <c r="D10" s="4">
        <v>0</v>
      </c>
      <c r="E10" s="4">
        <v>0</v>
      </c>
      <c r="F10" s="5">
        <v>482000</v>
      </c>
      <c r="G10" s="5">
        <v>3.5283827634986957E-7</v>
      </c>
      <c r="H10" s="5">
        <v>3.8157653925965752E-5</v>
      </c>
      <c r="I10" s="7">
        <v>491.43378457209661</v>
      </c>
      <c r="J10" s="7">
        <v>495.97800130578105</v>
      </c>
    </row>
    <row r="11" spans="1:10" ht="20" customHeight="1" x14ac:dyDescent="0.2">
      <c r="A11" s="4" t="s">
        <v>43</v>
      </c>
      <c r="B11" s="4" t="s">
        <v>31</v>
      </c>
      <c r="C11" s="4">
        <v>25</v>
      </c>
      <c r="D11" s="4">
        <v>10</v>
      </c>
      <c r="E11" s="181">
        <v>4.042500000000001E-3</v>
      </c>
      <c r="F11" s="4">
        <v>0.5</v>
      </c>
      <c r="G11" s="5">
        <v>2.1104273531579392E-6</v>
      </c>
      <c r="H11" s="5">
        <v>1.6148845686567336E-5</v>
      </c>
      <c r="I11" s="7">
        <v>1036.4792118253426</v>
      </c>
      <c r="J11" s="7">
        <v>1171.9324895438415</v>
      </c>
    </row>
    <row r="12" spans="1:10" ht="20" customHeight="1" x14ac:dyDescent="0.2">
      <c r="A12" s="4" t="s">
        <v>43</v>
      </c>
      <c r="B12" s="4" t="s">
        <v>1008</v>
      </c>
      <c r="C12" s="4">
        <v>25</v>
      </c>
      <c r="D12" s="4">
        <v>0.1</v>
      </c>
      <c r="E12" s="181">
        <v>1.1533095135726715E-3</v>
      </c>
      <c r="F12" s="5">
        <v>670000000</v>
      </c>
      <c r="G12" s="5">
        <v>1.2783783018326294E-7</v>
      </c>
      <c r="H12" s="5">
        <v>5.8137700979368247E-4</v>
      </c>
      <c r="I12" s="7">
        <v>32.545484368790092</v>
      </c>
      <c r="J12" s="7">
        <v>32.552640730383132</v>
      </c>
    </row>
    <row r="13" spans="1:10" ht="20" customHeight="1" x14ac:dyDescent="0.2">
      <c r="A13" s="4" t="s">
        <v>43</v>
      </c>
      <c r="B13" s="4" t="s">
        <v>1009</v>
      </c>
      <c r="C13" s="4">
        <v>25</v>
      </c>
      <c r="D13" s="4">
        <v>0</v>
      </c>
      <c r="E13" s="4">
        <v>0</v>
      </c>
      <c r="F13" s="5">
        <v>121000000</v>
      </c>
      <c r="G13" s="182">
        <v>6.8069692345934696E-8</v>
      </c>
      <c r="H13" s="5">
        <v>2.8443179666002449E-4</v>
      </c>
      <c r="I13" s="7">
        <v>66.521496728149515</v>
      </c>
      <c r="J13" s="7">
        <v>66.537416529908128</v>
      </c>
    </row>
    <row r="14" spans="1:10" ht="20" customHeight="1" x14ac:dyDescent="0.2">
      <c r="A14" s="4" t="s">
        <v>43</v>
      </c>
      <c r="B14" s="4" t="s">
        <v>39</v>
      </c>
      <c r="C14" s="4">
        <v>25</v>
      </c>
      <c r="D14" s="4">
        <v>12.5</v>
      </c>
      <c r="E14" s="181">
        <v>2.6361360310232489E-2</v>
      </c>
      <c r="F14" s="5">
        <v>12500000</v>
      </c>
      <c r="G14" s="182">
        <v>0.23549260536699337</v>
      </c>
      <c r="H14" s="5">
        <v>7.2937128534129618E-3</v>
      </c>
      <c r="I14" s="184">
        <v>7.7950673116338298E-2</v>
      </c>
      <c r="J14" s="183">
        <v>2.5947493833490309</v>
      </c>
    </row>
    <row r="15" spans="1:10" ht="20" customHeight="1" x14ac:dyDescent="0.2">
      <c r="A15" s="4" t="s">
        <v>43</v>
      </c>
      <c r="B15" s="4" t="s">
        <v>840</v>
      </c>
      <c r="C15" s="4">
        <v>25</v>
      </c>
      <c r="D15" s="4">
        <v>10</v>
      </c>
      <c r="E15" s="181">
        <v>3.3000000000000008E-3</v>
      </c>
      <c r="F15" s="5">
        <v>250000</v>
      </c>
      <c r="G15" s="5">
        <v>1.4251439530257716E-6</v>
      </c>
      <c r="H15" s="5">
        <v>1.105013707145798E-3</v>
      </c>
      <c r="I15" s="7">
        <v>17.104747279908946</v>
      </c>
      <c r="J15" s="7">
        <v>17.126807392825516</v>
      </c>
    </row>
    <row r="16" spans="1:10" ht="20" customHeight="1" x14ac:dyDescent="0.2">
      <c r="A16" s="4" t="s">
        <v>43</v>
      </c>
      <c r="B16" s="4" t="s">
        <v>841</v>
      </c>
      <c r="C16" s="4">
        <v>25</v>
      </c>
      <c r="D16" s="4">
        <v>0</v>
      </c>
      <c r="E16" s="5">
        <v>1.6895999999999999E-6</v>
      </c>
      <c r="F16" s="5">
        <v>38500</v>
      </c>
      <c r="G16" s="5">
        <v>6.8131401271759789E-8</v>
      </c>
      <c r="H16" s="5">
        <v>1.4421886777933533E-5</v>
      </c>
      <c r="I16" s="7">
        <v>1306.0961480281696</v>
      </c>
      <c r="J16" s="7">
        <v>1312.2663643203236</v>
      </c>
    </row>
    <row r="17" spans="1:10" ht="20" customHeight="1" x14ac:dyDescent="0.2">
      <c r="A17" s="4" t="s">
        <v>43</v>
      </c>
      <c r="B17" s="4" t="s">
        <v>48</v>
      </c>
      <c r="C17" s="4">
        <v>25</v>
      </c>
      <c r="D17" s="4">
        <v>0</v>
      </c>
      <c r="E17" s="4">
        <v>0</v>
      </c>
      <c r="F17" s="5">
        <v>482000</v>
      </c>
      <c r="G17" s="182">
        <v>6.8069692345934696E-8</v>
      </c>
      <c r="H17" s="5">
        <v>3.6763779600991639E-5</v>
      </c>
      <c r="I17" s="7">
        <v>513.8312979615049</v>
      </c>
      <c r="J17" s="7">
        <v>514.78267833505629</v>
      </c>
    </row>
    <row r="18" spans="1:10" ht="20" customHeight="1" x14ac:dyDescent="0.2">
      <c r="A18" s="4" t="s">
        <v>46</v>
      </c>
      <c r="B18" s="4" t="s">
        <v>31</v>
      </c>
      <c r="C18" s="4">
        <v>25</v>
      </c>
      <c r="D18" s="4">
        <v>10</v>
      </c>
      <c r="E18" s="181">
        <v>4.042500000000001E-3</v>
      </c>
      <c r="F18" s="4">
        <v>0.5</v>
      </c>
      <c r="G18" s="5">
        <v>1.1334038227110567E-3</v>
      </c>
      <c r="H18" s="4" t="s">
        <v>45</v>
      </c>
      <c r="I18" s="4" t="s">
        <v>45</v>
      </c>
      <c r="J18" s="4" t="s">
        <v>45</v>
      </c>
    </row>
    <row r="19" spans="1:10" ht="20" customHeight="1" x14ac:dyDescent="0.2">
      <c r="A19" s="4" t="s">
        <v>46</v>
      </c>
      <c r="B19" s="4" t="s">
        <v>1008</v>
      </c>
      <c r="C19" s="4">
        <v>25</v>
      </c>
      <c r="D19" s="4">
        <v>0.1</v>
      </c>
      <c r="E19" s="181">
        <v>1.1533095135726715E-3</v>
      </c>
      <c r="F19" s="5">
        <v>670000000</v>
      </c>
      <c r="G19" s="5">
        <v>2.9134047580619253E-6</v>
      </c>
      <c r="H19" s="4" t="s">
        <v>45</v>
      </c>
      <c r="I19" s="4" t="s">
        <v>45</v>
      </c>
      <c r="J19" s="4" t="s">
        <v>45</v>
      </c>
    </row>
    <row r="20" spans="1:10" ht="20" customHeight="1" x14ac:dyDescent="0.2">
      <c r="A20" s="4" t="s">
        <v>46</v>
      </c>
      <c r="B20" s="4" t="s">
        <v>1009</v>
      </c>
      <c r="C20" s="4">
        <v>25</v>
      </c>
      <c r="D20" s="4">
        <v>0</v>
      </c>
      <c r="E20" s="4">
        <v>0</v>
      </c>
      <c r="F20" s="5">
        <v>121000000</v>
      </c>
      <c r="G20" s="182">
        <v>2.1000795015851936E-6</v>
      </c>
      <c r="H20" s="4" t="s">
        <v>45</v>
      </c>
      <c r="I20" s="4" t="s">
        <v>45</v>
      </c>
      <c r="J20" s="4" t="s">
        <v>45</v>
      </c>
    </row>
    <row r="21" spans="1:10" ht="20" customHeight="1" x14ac:dyDescent="0.2">
      <c r="A21" s="4" t="s">
        <v>46</v>
      </c>
      <c r="B21" s="4" t="s">
        <v>39</v>
      </c>
      <c r="C21" s="4">
        <v>25</v>
      </c>
      <c r="D21" s="4">
        <v>12.5</v>
      </c>
      <c r="E21" s="181">
        <v>2.6361360310232489E-2</v>
      </c>
      <c r="F21" s="5">
        <v>12500000</v>
      </c>
      <c r="G21" s="182">
        <v>0.30644339438823098</v>
      </c>
      <c r="H21" s="4" t="s">
        <v>45</v>
      </c>
      <c r="I21" s="4" t="s">
        <v>45</v>
      </c>
      <c r="J21" s="4" t="s">
        <v>45</v>
      </c>
    </row>
    <row r="22" spans="1:10" ht="20" customHeight="1" x14ac:dyDescent="0.2">
      <c r="A22" s="4" t="s">
        <v>46</v>
      </c>
      <c r="B22" s="4" t="s">
        <v>840</v>
      </c>
      <c r="C22" s="4">
        <v>25</v>
      </c>
      <c r="D22" s="4">
        <v>10</v>
      </c>
      <c r="E22" s="181">
        <v>3.3000000000000008E-3</v>
      </c>
      <c r="F22" s="5">
        <v>250000</v>
      </c>
      <c r="G22" s="5">
        <v>9.6084524581021625E-4</v>
      </c>
      <c r="H22" s="4" t="s">
        <v>45</v>
      </c>
      <c r="I22" s="4" t="s">
        <v>45</v>
      </c>
      <c r="J22" s="4" t="s">
        <v>45</v>
      </c>
    </row>
    <row r="23" spans="1:10" ht="20" customHeight="1" x14ac:dyDescent="0.2">
      <c r="A23" s="4" t="s">
        <v>46</v>
      </c>
      <c r="B23" s="4" t="s">
        <v>841</v>
      </c>
      <c r="C23" s="4">
        <v>25</v>
      </c>
      <c r="D23" s="4">
        <v>0</v>
      </c>
      <c r="E23" s="5">
        <v>1.6895999999999999E-6</v>
      </c>
      <c r="F23" s="5">
        <v>38500</v>
      </c>
      <c r="G23" s="5">
        <v>2.1008981023571703E-6</v>
      </c>
      <c r="H23" s="4" t="s">
        <v>45</v>
      </c>
      <c r="I23" s="4" t="s">
        <v>45</v>
      </c>
      <c r="J23" s="4" t="s">
        <v>45</v>
      </c>
    </row>
    <row r="24" spans="1:10" ht="20" customHeight="1" x14ac:dyDescent="0.2">
      <c r="A24" s="4" t="s">
        <v>46</v>
      </c>
      <c r="B24" s="4" t="s">
        <v>48</v>
      </c>
      <c r="C24" s="4">
        <v>25</v>
      </c>
      <c r="D24" s="4">
        <v>0</v>
      </c>
      <c r="E24" s="4">
        <v>0</v>
      </c>
      <c r="F24" s="5">
        <v>482000</v>
      </c>
      <c r="G24" s="182">
        <v>2.1000795015851936E-6</v>
      </c>
      <c r="H24" s="4" t="s">
        <v>45</v>
      </c>
      <c r="I24" s="4" t="s">
        <v>45</v>
      </c>
      <c r="J24" s="4" t="s">
        <v>45</v>
      </c>
    </row>
    <row r="25" spans="1:10" ht="20" customHeight="1" x14ac:dyDescent="0.2">
      <c r="A25" s="4" t="s">
        <v>47</v>
      </c>
      <c r="B25" s="4" t="s">
        <v>31</v>
      </c>
      <c r="C25" s="4">
        <v>25</v>
      </c>
      <c r="D25" s="4">
        <v>10</v>
      </c>
      <c r="E25" s="181">
        <v>4.042500000000001E-3</v>
      </c>
      <c r="F25" s="4">
        <v>0.5</v>
      </c>
      <c r="G25" s="4" t="s">
        <v>45</v>
      </c>
      <c r="H25" s="5">
        <v>9.1158810016930114E-5</v>
      </c>
      <c r="I25" s="4" t="s">
        <v>45</v>
      </c>
      <c r="J25" s="7">
        <v>207.60864391717425</v>
      </c>
    </row>
    <row r="26" spans="1:10" ht="20" customHeight="1" x14ac:dyDescent="0.2">
      <c r="A26" s="4" t="s">
        <v>47</v>
      </c>
      <c r="B26" s="4" t="s">
        <v>1008</v>
      </c>
      <c r="C26" s="4">
        <v>25</v>
      </c>
      <c r="D26" s="4">
        <v>0.1</v>
      </c>
      <c r="E26" s="181">
        <v>1.1533095135726715E-3</v>
      </c>
      <c r="F26" s="5">
        <v>670000000</v>
      </c>
      <c r="G26" s="4" t="s">
        <v>45</v>
      </c>
      <c r="H26" s="5">
        <v>4.3466758991412511E-4</v>
      </c>
      <c r="I26" s="4" t="s">
        <v>45</v>
      </c>
      <c r="J26" s="7">
        <v>43.539839104307639</v>
      </c>
    </row>
    <row r="27" spans="1:10" ht="20" customHeight="1" x14ac:dyDescent="0.2">
      <c r="A27" s="4" t="s">
        <v>47</v>
      </c>
      <c r="B27" s="4" t="s">
        <v>1009</v>
      </c>
      <c r="C27" s="4">
        <v>25</v>
      </c>
      <c r="D27" s="4">
        <v>0</v>
      </c>
      <c r="E27" s="4">
        <v>0</v>
      </c>
      <c r="F27" s="5">
        <v>121000000</v>
      </c>
      <c r="G27" s="4" t="s">
        <v>45</v>
      </c>
      <c r="H27" s="5">
        <v>3.300936014321299E-4</v>
      </c>
      <c r="I27" s="4" t="s">
        <v>45</v>
      </c>
      <c r="J27" s="7">
        <v>57.333304391873831</v>
      </c>
    </row>
    <row r="28" spans="1:10" ht="20" customHeight="1" x14ac:dyDescent="0.2">
      <c r="A28" s="4" t="s">
        <v>47</v>
      </c>
      <c r="B28" s="4" t="s">
        <v>39</v>
      </c>
      <c r="C28" s="4">
        <v>25</v>
      </c>
      <c r="D28" s="4">
        <v>12.5</v>
      </c>
      <c r="E28" s="181">
        <v>2.6361360310232489E-2</v>
      </c>
      <c r="F28" s="5">
        <v>12500000</v>
      </c>
      <c r="G28" s="4" t="s">
        <v>45</v>
      </c>
      <c r="H28" s="5">
        <v>1.079550011402089E-3</v>
      </c>
      <c r="I28" s="4" t="s">
        <v>45</v>
      </c>
      <c r="J28" s="7">
        <v>17.530782945514925</v>
      </c>
    </row>
    <row r="29" spans="1:10" ht="20" customHeight="1" x14ac:dyDescent="0.2">
      <c r="A29" s="4" t="s">
        <v>47</v>
      </c>
      <c r="B29" s="4" t="s">
        <v>840</v>
      </c>
      <c r="C29" s="4">
        <v>25</v>
      </c>
      <c r="D29" s="4">
        <v>10</v>
      </c>
      <c r="E29" s="181">
        <v>3.3000000000000008E-3</v>
      </c>
      <c r="F29" s="5">
        <v>250000</v>
      </c>
      <c r="G29" s="4" t="s">
        <v>45</v>
      </c>
      <c r="H29" s="5">
        <v>4.6658915792417049E-4</v>
      </c>
      <c r="I29" s="4" t="s">
        <v>45</v>
      </c>
      <c r="J29" s="7">
        <v>40.561073071041889</v>
      </c>
    </row>
    <row r="30" spans="1:10" ht="20" customHeight="1" x14ac:dyDescent="0.2">
      <c r="A30" s="4" t="s">
        <v>47</v>
      </c>
      <c r="B30" s="4" t="s">
        <v>841</v>
      </c>
      <c r="C30" s="4">
        <v>25</v>
      </c>
      <c r="D30" s="4">
        <v>0</v>
      </c>
      <c r="E30" s="5">
        <v>1.6895999999999999E-6</v>
      </c>
      <c r="F30" s="5">
        <v>38500</v>
      </c>
      <c r="G30" s="4" t="s">
        <v>45</v>
      </c>
      <c r="H30" s="5">
        <v>9.7566398788392954E-5</v>
      </c>
      <c r="I30" s="4" t="s">
        <v>45</v>
      </c>
      <c r="J30" s="7">
        <v>193.97412596691689</v>
      </c>
    </row>
    <row r="31" spans="1:10" ht="20" customHeight="1" x14ac:dyDescent="0.2">
      <c r="A31" s="4" t="s">
        <v>47</v>
      </c>
      <c r="B31" s="4" t="s">
        <v>48</v>
      </c>
      <c r="C31" s="4">
        <v>25</v>
      </c>
      <c r="D31" s="4">
        <v>0</v>
      </c>
      <c r="E31" s="4">
        <v>0</v>
      </c>
      <c r="F31" s="5">
        <v>482000</v>
      </c>
      <c r="G31" s="4" t="s">
        <v>45</v>
      </c>
      <c r="H31" s="5">
        <v>1.4302777843662256E-4</v>
      </c>
      <c r="I31" s="4" t="s">
        <v>45</v>
      </c>
      <c r="J31" s="7">
        <v>132.31944965924399</v>
      </c>
    </row>
    <row r="32" spans="1:10" ht="20" customHeight="1" x14ac:dyDescent="0.2">
      <c r="A32" s="4" t="s">
        <v>30</v>
      </c>
      <c r="B32" s="4" t="s">
        <v>31</v>
      </c>
      <c r="C32" s="4">
        <v>25</v>
      </c>
      <c r="D32" s="4">
        <v>10</v>
      </c>
      <c r="E32" s="181">
        <v>4.042500000000001E-3</v>
      </c>
      <c r="F32" s="4">
        <v>0.5</v>
      </c>
      <c r="G32" s="4" t="s">
        <v>45</v>
      </c>
      <c r="H32" s="5">
        <v>4.3506469967853011E-5</v>
      </c>
      <c r="I32" s="4" t="s">
        <v>45</v>
      </c>
      <c r="J32" s="7">
        <v>435.00097669845786</v>
      </c>
    </row>
    <row r="33" spans="1:10" ht="20" customHeight="1" x14ac:dyDescent="0.2">
      <c r="A33" s="4" t="s">
        <v>30</v>
      </c>
      <c r="B33" s="4" t="s">
        <v>1008</v>
      </c>
      <c r="C33" s="4">
        <v>25</v>
      </c>
      <c r="D33" s="4">
        <v>0.1</v>
      </c>
      <c r="E33" s="181">
        <v>1.1533095135726715E-3</v>
      </c>
      <c r="F33" s="5">
        <v>670000000</v>
      </c>
      <c r="G33" s="4" t="s">
        <v>45</v>
      </c>
      <c r="H33" s="5">
        <v>3.1753513259350473E-4</v>
      </c>
      <c r="I33" s="4" t="s">
        <v>45</v>
      </c>
      <c r="J33" s="7">
        <v>59.600828337145416</v>
      </c>
    </row>
    <row r="34" spans="1:10" ht="20" customHeight="1" x14ac:dyDescent="0.2">
      <c r="A34" s="4" t="s">
        <v>30</v>
      </c>
      <c r="B34" s="4" t="s">
        <v>1009</v>
      </c>
      <c r="C34" s="4">
        <v>25</v>
      </c>
      <c r="D34" s="4">
        <v>0</v>
      </c>
      <c r="E34" s="4">
        <v>0</v>
      </c>
      <c r="F34" s="5">
        <v>121000000</v>
      </c>
      <c r="G34" s="4" t="s">
        <v>45</v>
      </c>
      <c r="H34" s="5">
        <v>2.3692515160825156E-4</v>
      </c>
      <c r="I34" s="4" t="s">
        <v>45</v>
      </c>
      <c r="J34" s="7">
        <v>79.879053786618144</v>
      </c>
    </row>
    <row r="35" spans="1:10" ht="20" customHeight="1" x14ac:dyDescent="0.2">
      <c r="A35" s="4" t="s">
        <v>30</v>
      </c>
      <c r="B35" s="4" t="s">
        <v>39</v>
      </c>
      <c r="C35" s="4">
        <v>25</v>
      </c>
      <c r="D35" s="4">
        <v>12.5</v>
      </c>
      <c r="E35" s="181">
        <v>2.6361360310232489E-2</v>
      </c>
      <c r="F35" s="5">
        <v>12500000</v>
      </c>
      <c r="G35" s="4" t="s">
        <v>45</v>
      </c>
      <c r="H35" s="5">
        <v>3.6343479163607174E-4</v>
      </c>
      <c r="I35" s="4" t="s">
        <v>45</v>
      </c>
      <c r="J35" s="7">
        <v>52.073597146607902</v>
      </c>
    </row>
    <row r="36" spans="1:10" ht="20" customHeight="1" x14ac:dyDescent="0.2">
      <c r="A36" s="4" t="s">
        <v>30</v>
      </c>
      <c r="B36" s="4" t="s">
        <v>840</v>
      </c>
      <c r="C36" s="4">
        <v>25</v>
      </c>
      <c r="D36" s="4">
        <v>10</v>
      </c>
      <c r="E36" s="181">
        <v>3.3000000000000008E-3</v>
      </c>
      <c r="F36" s="5">
        <v>250000</v>
      </c>
      <c r="G36" s="4" t="s">
        <v>45</v>
      </c>
      <c r="H36" s="5">
        <v>1.6469541702060654E-4</v>
      </c>
      <c r="I36" s="4" t="s">
        <v>45</v>
      </c>
      <c r="J36" s="7">
        <v>114.91125418717789</v>
      </c>
    </row>
    <row r="37" spans="1:10" ht="20" customHeight="1" x14ac:dyDescent="0.2">
      <c r="A37" s="4" t="s">
        <v>30</v>
      </c>
      <c r="B37" s="4" t="s">
        <v>841</v>
      </c>
      <c r="C37" s="4">
        <v>25</v>
      </c>
      <c r="D37" s="4">
        <v>0</v>
      </c>
      <c r="E37" s="5">
        <v>1.6895999999999999E-6</v>
      </c>
      <c r="F37" s="5">
        <v>38500</v>
      </c>
      <c r="G37" s="4" t="s">
        <v>45</v>
      </c>
      <c r="H37" s="5">
        <v>6.1966752483248031E-5</v>
      </c>
      <c r="I37" s="4" t="s">
        <v>45</v>
      </c>
      <c r="J37" s="7">
        <v>305.41146938165633</v>
      </c>
    </row>
    <row r="38" spans="1:10" ht="20" customHeight="1" x14ac:dyDescent="0.2">
      <c r="A38" s="4" t="s">
        <v>30</v>
      </c>
      <c r="B38" s="4" t="s">
        <v>48</v>
      </c>
      <c r="C38" s="4">
        <v>25</v>
      </c>
      <c r="D38" s="4">
        <v>0</v>
      </c>
      <c r="E38" s="4">
        <v>0</v>
      </c>
      <c r="F38" s="5">
        <v>482000</v>
      </c>
      <c r="G38" s="4" t="s">
        <v>45</v>
      </c>
      <c r="H38" s="5">
        <v>9.4375112983231363E-5</v>
      </c>
      <c r="I38" s="4" t="s">
        <v>45</v>
      </c>
      <c r="J38" s="7">
        <v>200.53334327748942</v>
      </c>
    </row>
    <row r="39" spans="1:10" ht="20" customHeight="1" x14ac:dyDescent="0.2">
      <c r="A39" s="4" t="s">
        <v>35</v>
      </c>
      <c r="B39" s="4" t="s">
        <v>31</v>
      </c>
      <c r="C39" s="4">
        <v>25</v>
      </c>
      <c r="D39" s="4">
        <v>10</v>
      </c>
      <c r="E39" s="181">
        <v>4.042500000000001E-3</v>
      </c>
      <c r="F39" s="4">
        <v>0.5</v>
      </c>
      <c r="G39" s="4" t="s">
        <v>45</v>
      </c>
      <c r="H39" s="182">
        <v>1.8512716377657199</v>
      </c>
      <c r="I39" s="4" t="s">
        <v>45</v>
      </c>
      <c r="J39" s="185">
        <v>1.0222895734285108E-2</v>
      </c>
    </row>
    <row r="40" spans="1:10" ht="20" customHeight="1" x14ac:dyDescent="0.2">
      <c r="A40" s="4" t="s">
        <v>35</v>
      </c>
      <c r="B40" s="4" t="s">
        <v>1008</v>
      </c>
      <c r="C40" s="4">
        <v>25</v>
      </c>
      <c r="D40" s="4">
        <v>0.1</v>
      </c>
      <c r="E40" s="181">
        <v>1.1533095135726715E-3</v>
      </c>
      <c r="F40" s="5">
        <v>670000000</v>
      </c>
      <c r="G40" s="4" t="s">
        <v>45</v>
      </c>
      <c r="H40" s="5">
        <v>3.1232211402586665E-2</v>
      </c>
      <c r="I40" s="4" t="s">
        <v>45</v>
      </c>
      <c r="J40" s="183">
        <v>0.60595635335481812</v>
      </c>
    </row>
    <row r="41" spans="1:10" ht="20" customHeight="1" x14ac:dyDescent="0.2">
      <c r="A41" s="4" t="s">
        <v>35</v>
      </c>
      <c r="B41" s="4" t="s">
        <v>1009</v>
      </c>
      <c r="C41" s="4">
        <v>25</v>
      </c>
      <c r="D41" s="4">
        <v>0</v>
      </c>
      <c r="E41" s="4">
        <v>0</v>
      </c>
      <c r="F41" s="5">
        <v>121000000</v>
      </c>
      <c r="G41" s="4" t="s">
        <v>45</v>
      </c>
      <c r="H41" s="5">
        <v>4.8180060930950747E-4</v>
      </c>
      <c r="I41" s="4" t="s">
        <v>45</v>
      </c>
      <c r="J41" s="7">
        <v>39.280475290060465</v>
      </c>
    </row>
    <row r="42" spans="1:10" ht="20" customHeight="1" x14ac:dyDescent="0.2">
      <c r="A42" s="4" t="s">
        <v>35</v>
      </c>
      <c r="B42" s="4" t="s">
        <v>39</v>
      </c>
      <c r="C42" s="4">
        <v>25</v>
      </c>
      <c r="D42" s="4">
        <v>12.5</v>
      </c>
      <c r="E42" s="181">
        <v>2.6361360310232489E-2</v>
      </c>
      <c r="F42" s="5">
        <v>12500000</v>
      </c>
      <c r="G42" s="4" t="s">
        <v>45</v>
      </c>
      <c r="H42" s="182">
        <v>808.17750704030777</v>
      </c>
      <c r="I42" s="4" t="s">
        <v>45</v>
      </c>
      <c r="J42" s="186">
        <v>2.3417326965738338E-5</v>
      </c>
    </row>
    <row r="43" spans="1:10" ht="20" customHeight="1" x14ac:dyDescent="0.2">
      <c r="A43" s="4" t="s">
        <v>35</v>
      </c>
      <c r="B43" s="4" t="s">
        <v>840</v>
      </c>
      <c r="C43" s="4">
        <v>25</v>
      </c>
      <c r="D43" s="4">
        <v>10</v>
      </c>
      <c r="E43" s="181">
        <v>3.3000000000000008E-3</v>
      </c>
      <c r="F43" s="5">
        <v>250000</v>
      </c>
      <c r="G43" s="4" t="s">
        <v>45</v>
      </c>
      <c r="H43" s="182">
        <v>130.09985083957741</v>
      </c>
      <c r="I43" s="4" t="s">
        <v>45</v>
      </c>
      <c r="J43" s="187">
        <v>1.454679371773802E-4</v>
      </c>
    </row>
    <row r="44" spans="1:10" ht="20" customHeight="1" x14ac:dyDescent="0.2">
      <c r="A44" s="4" t="s">
        <v>35</v>
      </c>
      <c r="B44" s="4" t="s">
        <v>841</v>
      </c>
      <c r="C44" s="4">
        <v>25</v>
      </c>
      <c r="D44" s="4">
        <v>0</v>
      </c>
      <c r="E44" s="5">
        <v>1.6895999999999999E-6</v>
      </c>
      <c r="F44" s="5">
        <v>38500</v>
      </c>
      <c r="G44" s="4" t="s">
        <v>45</v>
      </c>
      <c r="H44" s="5">
        <v>3.5442575993602658E-5</v>
      </c>
      <c r="I44" s="4" t="s">
        <v>45</v>
      </c>
      <c r="J44" s="7">
        <v>533.97238767673616</v>
      </c>
    </row>
    <row r="45" spans="1:10" ht="20" customHeight="1" x14ac:dyDescent="0.2">
      <c r="A45" s="4" t="s">
        <v>35</v>
      </c>
      <c r="B45" s="4" t="s">
        <v>48</v>
      </c>
      <c r="C45" s="4">
        <v>25</v>
      </c>
      <c r="D45" s="4">
        <v>0</v>
      </c>
      <c r="E45" s="4">
        <v>0</v>
      </c>
      <c r="F45" s="5">
        <v>482000</v>
      </c>
      <c r="G45" s="4" t="s">
        <v>45</v>
      </c>
      <c r="H45" s="5">
        <v>8.0391253037673141E-5</v>
      </c>
      <c r="I45" s="4" t="s">
        <v>45</v>
      </c>
      <c r="J45" s="7">
        <v>235.41562313812096</v>
      </c>
    </row>
    <row r="46" spans="1:10" ht="20" customHeight="1" x14ac:dyDescent="0.2">
      <c r="A46" s="4" t="s">
        <v>108</v>
      </c>
      <c r="B46" s="4" t="s">
        <v>31</v>
      </c>
      <c r="C46" s="4">
        <v>25</v>
      </c>
      <c r="D46" s="4">
        <v>10</v>
      </c>
      <c r="E46" s="181">
        <v>4.042500000000001E-3</v>
      </c>
      <c r="F46" s="4">
        <v>0.5</v>
      </c>
      <c r="G46" s="4" t="s">
        <v>45</v>
      </c>
      <c r="H46" s="5">
        <v>4.8370251583269789E-6</v>
      </c>
      <c r="I46" s="4" t="s">
        <v>45</v>
      </c>
      <c r="J46" s="7">
        <v>3912.6025416961138</v>
      </c>
    </row>
    <row r="47" spans="1:10" ht="20" customHeight="1" x14ac:dyDescent="0.2">
      <c r="A47" s="4" t="s">
        <v>108</v>
      </c>
      <c r="B47" s="4" t="s">
        <v>1008</v>
      </c>
      <c r="C47" s="4">
        <v>25</v>
      </c>
      <c r="D47" s="4">
        <v>0.1</v>
      </c>
      <c r="E47" s="181">
        <v>1.1533095135726715E-3</v>
      </c>
      <c r="F47" s="5">
        <v>670000000</v>
      </c>
      <c r="G47" s="4" t="s">
        <v>45</v>
      </c>
      <c r="H47" s="5">
        <v>1.4513345138731618E-4</v>
      </c>
      <c r="I47" s="4" t="s">
        <v>45</v>
      </c>
      <c r="J47" s="7">
        <v>130.39968902973496</v>
      </c>
    </row>
    <row r="48" spans="1:10" ht="20" customHeight="1" x14ac:dyDescent="0.2">
      <c r="A48" s="4" t="s">
        <v>108</v>
      </c>
      <c r="B48" s="4" t="s">
        <v>1009</v>
      </c>
      <c r="C48" s="4">
        <v>25</v>
      </c>
      <c r="D48" s="4">
        <v>0</v>
      </c>
      <c r="E48" s="4">
        <v>0</v>
      </c>
      <c r="F48" s="5">
        <v>121000000</v>
      </c>
      <c r="G48" s="4" t="s">
        <v>45</v>
      </c>
      <c r="H48" s="5">
        <v>4.5362709329027438E-5</v>
      </c>
      <c r="I48" s="4" t="s">
        <v>45</v>
      </c>
      <c r="J48" s="7">
        <v>417.20076266714335</v>
      </c>
    </row>
    <row r="49" spans="1:10" ht="20" customHeight="1" x14ac:dyDescent="0.2">
      <c r="A49" s="4" t="s">
        <v>108</v>
      </c>
      <c r="B49" s="4" t="s">
        <v>39</v>
      </c>
      <c r="C49" s="4">
        <v>25</v>
      </c>
      <c r="D49" s="4">
        <v>12.5</v>
      </c>
      <c r="E49" s="181">
        <v>2.6361360310232489E-2</v>
      </c>
      <c r="F49" s="5">
        <v>12500000</v>
      </c>
      <c r="G49" s="4" t="s">
        <v>45</v>
      </c>
      <c r="H49" s="5">
        <v>1.7064870876778708E-2</v>
      </c>
      <c r="I49" s="4" t="s">
        <v>45</v>
      </c>
      <c r="J49" s="183">
        <v>1.109024326370448</v>
      </c>
    </row>
    <row r="50" spans="1:10" ht="20" customHeight="1" x14ac:dyDescent="0.2">
      <c r="A50" s="4" t="s">
        <v>108</v>
      </c>
      <c r="B50" s="4" t="s">
        <v>840</v>
      </c>
      <c r="C50" s="4">
        <v>25</v>
      </c>
      <c r="D50" s="4">
        <v>10</v>
      </c>
      <c r="E50" s="181">
        <v>3.3000000000000008E-3</v>
      </c>
      <c r="F50" s="5">
        <v>250000</v>
      </c>
      <c r="G50" s="4" t="s">
        <v>45</v>
      </c>
      <c r="H50" s="5">
        <v>1.742211333201597E-3</v>
      </c>
      <c r="I50" s="4" t="s">
        <v>45</v>
      </c>
      <c r="J50" s="7">
        <v>10.862836538859931</v>
      </c>
    </row>
    <row r="51" spans="1:10" ht="20" customHeight="1" x14ac:dyDescent="0.2">
      <c r="A51" s="4" t="s">
        <v>108</v>
      </c>
      <c r="B51" s="4" t="s">
        <v>841</v>
      </c>
      <c r="C51" s="4">
        <v>25</v>
      </c>
      <c r="D51" s="4">
        <v>0</v>
      </c>
      <c r="E51" s="5">
        <v>1.6895999999999999E-6</v>
      </c>
      <c r="F51" s="5">
        <v>38500</v>
      </c>
      <c r="G51" s="4" t="s">
        <v>45</v>
      </c>
      <c r="H51" s="5">
        <v>1.0848887474305214E-6</v>
      </c>
      <c r="I51" s="4" t="s">
        <v>45</v>
      </c>
      <c r="J51" s="5">
        <v>17444.513986841037</v>
      </c>
    </row>
    <row r="52" spans="1:10" ht="20" customHeight="1" x14ac:dyDescent="0.2">
      <c r="A52" s="4" t="s">
        <v>108</v>
      </c>
      <c r="B52" s="4" t="s">
        <v>48</v>
      </c>
      <c r="C52" s="4">
        <v>25</v>
      </c>
      <c r="D52" s="4">
        <v>0</v>
      </c>
      <c r="E52" s="4">
        <v>0</v>
      </c>
      <c r="F52" s="5">
        <v>482000</v>
      </c>
      <c r="G52" s="4" t="s">
        <v>45</v>
      </c>
      <c r="H52" s="5">
        <v>3.5011520092990004E-6</v>
      </c>
      <c r="I52" s="4" t="s">
        <v>45</v>
      </c>
      <c r="J52" s="7">
        <v>5405.4656520061835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7A5FD-3288-4841-9DCC-64D948088B85}">
  <dimension ref="A1:C36"/>
  <sheetViews>
    <sheetView workbookViewId="0"/>
  </sheetViews>
  <sheetFormatPr baseColWidth="10" defaultColWidth="15.83203125" defaultRowHeight="20" customHeight="1" x14ac:dyDescent="0.2"/>
  <cols>
    <col min="1" max="1" width="19.83203125" style="1" customWidth="1"/>
    <col min="2" max="2" width="200.83203125" style="1" customWidth="1"/>
    <col min="3" max="3" width="180.83203125" style="1" customWidth="1"/>
    <col min="4" max="16384" width="15.83203125" style="1"/>
  </cols>
  <sheetData>
    <row r="1" spans="1:3" ht="20" customHeight="1" x14ac:dyDescent="0.2">
      <c r="A1" s="158" t="s">
        <v>901</v>
      </c>
      <c r="B1" s="246"/>
      <c r="C1" s="246"/>
    </row>
    <row r="2" spans="1:3" ht="20" customHeight="1" x14ac:dyDescent="0.2">
      <c r="A2" s="3" t="s">
        <v>812</v>
      </c>
      <c r="B2" s="247" t="s">
        <v>938</v>
      </c>
      <c r="C2" s="247"/>
    </row>
    <row r="3" spans="1:3" ht="20" customHeight="1" x14ac:dyDescent="0.2">
      <c r="A3" s="11" t="s">
        <v>764</v>
      </c>
      <c r="B3" s="246" t="s">
        <v>932</v>
      </c>
      <c r="C3" s="246"/>
    </row>
    <row r="4" spans="1:3" ht="20" customHeight="1" x14ac:dyDescent="0.2">
      <c r="A4" s="11" t="s">
        <v>147</v>
      </c>
      <c r="B4" s="246" t="s">
        <v>931</v>
      </c>
      <c r="C4" s="246"/>
    </row>
    <row r="5" spans="1:3" ht="20" customHeight="1" x14ac:dyDescent="0.2">
      <c r="A5" s="4" t="s">
        <v>146</v>
      </c>
      <c r="B5" s="246" t="s">
        <v>933</v>
      </c>
      <c r="C5" s="246"/>
    </row>
    <row r="6" spans="1:3" ht="20" customHeight="1" x14ac:dyDescent="0.2">
      <c r="A6" s="11" t="s">
        <v>363</v>
      </c>
      <c r="B6" s="246" t="s">
        <v>931</v>
      </c>
      <c r="C6" s="246"/>
    </row>
    <row r="7" spans="1:3" ht="20" customHeight="1" x14ac:dyDescent="0.2">
      <c r="A7" s="4" t="s">
        <v>77</v>
      </c>
      <c r="B7" s="246" t="s">
        <v>934</v>
      </c>
      <c r="C7" s="246"/>
    </row>
    <row r="8" spans="1:3" ht="20" customHeight="1" x14ac:dyDescent="0.2">
      <c r="A8" s="11" t="s">
        <v>585</v>
      </c>
      <c r="B8" s="246" t="s">
        <v>935</v>
      </c>
      <c r="C8" s="246"/>
    </row>
    <row r="9" spans="1:3" ht="20" customHeight="1" x14ac:dyDescent="0.2">
      <c r="A9" s="11" t="s">
        <v>73</v>
      </c>
      <c r="B9" s="246" t="s">
        <v>936</v>
      </c>
      <c r="C9" s="246"/>
    </row>
    <row r="10" spans="1:3" ht="20" customHeight="1" x14ac:dyDescent="0.2">
      <c r="A10" s="11" t="s">
        <v>385</v>
      </c>
      <c r="B10" s="246" t="s">
        <v>937</v>
      </c>
      <c r="C10" s="246"/>
    </row>
    <row r="11" spans="1:3" ht="20" customHeight="1" x14ac:dyDescent="0.2">
      <c r="A11" s="11" t="s">
        <v>756</v>
      </c>
      <c r="B11" s="246" t="s">
        <v>939</v>
      </c>
      <c r="C11" s="246"/>
    </row>
    <row r="12" spans="1:3" ht="20" customHeight="1" x14ac:dyDescent="0.2">
      <c r="A12" s="11" t="s">
        <v>381</v>
      </c>
      <c r="B12" s="246" t="s">
        <v>940</v>
      </c>
      <c r="C12" s="246"/>
    </row>
    <row r="13" spans="1:3" ht="20" customHeight="1" x14ac:dyDescent="0.2">
      <c r="A13" s="11" t="s">
        <v>476</v>
      </c>
      <c r="B13" s="246" t="s">
        <v>941</v>
      </c>
      <c r="C13" s="246"/>
    </row>
    <row r="14" spans="1:3" ht="20" customHeight="1" x14ac:dyDescent="0.2">
      <c r="A14" s="11" t="s">
        <v>568</v>
      </c>
      <c r="B14" s="246" t="s">
        <v>942</v>
      </c>
      <c r="C14" s="246"/>
    </row>
    <row r="15" spans="1:3" ht="20" customHeight="1" x14ac:dyDescent="0.2">
      <c r="A15" s="11" t="s">
        <v>649</v>
      </c>
      <c r="B15" s="246" t="s">
        <v>943</v>
      </c>
      <c r="C15" s="246"/>
    </row>
    <row r="16" spans="1:3" ht="20" customHeight="1" x14ac:dyDescent="0.2">
      <c r="A16" s="11" t="s">
        <v>92</v>
      </c>
      <c r="B16" s="246" t="s">
        <v>944</v>
      </c>
      <c r="C16" s="246"/>
    </row>
    <row r="17" spans="1:3" ht="20" customHeight="1" x14ac:dyDescent="0.2">
      <c r="A17" s="11" t="s">
        <v>94</v>
      </c>
      <c r="B17" s="246" t="s">
        <v>945</v>
      </c>
      <c r="C17" s="246"/>
    </row>
    <row r="18" spans="1:3" ht="20" customHeight="1" x14ac:dyDescent="0.2">
      <c r="A18" s="11" t="s">
        <v>410</v>
      </c>
      <c r="B18" s="246" t="s">
        <v>946</v>
      </c>
      <c r="C18" s="246"/>
    </row>
    <row r="19" spans="1:3" ht="20" customHeight="1" x14ac:dyDescent="0.2">
      <c r="A19" s="11" t="s">
        <v>418</v>
      </c>
      <c r="B19" s="246" t="s">
        <v>947</v>
      </c>
      <c r="C19" s="246"/>
    </row>
    <row r="20" spans="1:3" ht="20" customHeight="1" x14ac:dyDescent="0.2">
      <c r="A20" s="11" t="s">
        <v>327</v>
      </c>
      <c r="B20" s="246" t="s">
        <v>948</v>
      </c>
      <c r="C20" s="246"/>
    </row>
    <row r="21" spans="1:3" ht="20" customHeight="1" x14ac:dyDescent="0.2">
      <c r="A21" s="11" t="s">
        <v>559</v>
      </c>
      <c r="B21" s="246" t="s">
        <v>949</v>
      </c>
      <c r="C21" s="246"/>
    </row>
    <row r="22" spans="1:3" ht="20" customHeight="1" x14ac:dyDescent="0.2">
      <c r="A22" s="4" t="s">
        <v>70</v>
      </c>
      <c r="B22" s="246" t="s">
        <v>950</v>
      </c>
      <c r="C22" s="246"/>
    </row>
    <row r="23" spans="1:3" ht="20" customHeight="1" x14ac:dyDescent="0.2">
      <c r="A23" s="11" t="s">
        <v>136</v>
      </c>
      <c r="B23" s="246" t="s">
        <v>951</v>
      </c>
      <c r="C23" s="246"/>
    </row>
    <row r="24" spans="1:3" ht="20" customHeight="1" x14ac:dyDescent="0.2">
      <c r="A24" s="11" t="s">
        <v>128</v>
      </c>
      <c r="B24" s="246" t="s">
        <v>952</v>
      </c>
      <c r="C24" s="246"/>
    </row>
    <row r="25" spans="1:3" ht="20" customHeight="1" x14ac:dyDescent="0.2">
      <c r="A25" s="11" t="s">
        <v>369</v>
      </c>
      <c r="B25" s="246" t="s">
        <v>957</v>
      </c>
      <c r="C25" s="246"/>
    </row>
    <row r="26" spans="1:3" ht="20" customHeight="1" x14ac:dyDescent="0.2">
      <c r="A26" s="11" t="s">
        <v>202</v>
      </c>
      <c r="B26" s="246" t="s">
        <v>964</v>
      </c>
      <c r="C26" s="246"/>
    </row>
    <row r="27" spans="1:3" ht="20" customHeight="1" x14ac:dyDescent="0.2">
      <c r="A27" s="4" t="s">
        <v>60</v>
      </c>
      <c r="B27" s="246" t="s">
        <v>953</v>
      </c>
      <c r="C27" s="246"/>
    </row>
    <row r="28" spans="1:3" ht="20" customHeight="1" x14ac:dyDescent="0.2">
      <c r="A28" s="11" t="s">
        <v>102</v>
      </c>
      <c r="B28" s="246" t="s">
        <v>954</v>
      </c>
      <c r="C28" s="246"/>
    </row>
    <row r="29" spans="1:3" ht="20" customHeight="1" x14ac:dyDescent="0.2">
      <c r="A29" s="4" t="s">
        <v>64</v>
      </c>
      <c r="B29" s="246" t="s">
        <v>955</v>
      </c>
      <c r="C29" s="246"/>
    </row>
    <row r="30" spans="1:3" ht="20" customHeight="1" x14ac:dyDescent="0.2">
      <c r="A30" s="4" t="s">
        <v>67</v>
      </c>
      <c r="B30" s="246" t="s">
        <v>956</v>
      </c>
      <c r="C30" s="246"/>
    </row>
    <row r="31" spans="1:3" ht="20" customHeight="1" x14ac:dyDescent="0.2">
      <c r="A31" s="11" t="s">
        <v>404</v>
      </c>
      <c r="B31" s="246" t="s">
        <v>962</v>
      </c>
      <c r="C31" s="246"/>
    </row>
    <row r="32" spans="1:3" ht="20" customHeight="1" x14ac:dyDescent="0.2">
      <c r="A32" s="4" t="s">
        <v>98</v>
      </c>
      <c r="B32" s="246" t="s">
        <v>958</v>
      </c>
      <c r="C32" s="246"/>
    </row>
    <row r="33" spans="1:3" ht="20" customHeight="1" x14ac:dyDescent="0.2">
      <c r="A33" s="11" t="s">
        <v>473</v>
      </c>
      <c r="B33" s="246" t="s">
        <v>959</v>
      </c>
      <c r="C33" s="246"/>
    </row>
    <row r="34" spans="1:3" ht="20" customHeight="1" x14ac:dyDescent="0.2">
      <c r="A34" s="11" t="s">
        <v>593</v>
      </c>
      <c r="B34" s="246" t="s">
        <v>963</v>
      </c>
      <c r="C34" s="246"/>
    </row>
    <row r="35" spans="1:3" ht="20" customHeight="1" x14ac:dyDescent="0.2">
      <c r="A35" s="11" t="s">
        <v>298</v>
      </c>
      <c r="B35" s="246" t="s">
        <v>961</v>
      </c>
      <c r="C35" s="246"/>
    </row>
    <row r="36" spans="1:3" ht="20" customHeight="1" x14ac:dyDescent="0.2">
      <c r="A36" s="4" t="s">
        <v>85</v>
      </c>
      <c r="B36" s="246" t="s">
        <v>960</v>
      </c>
      <c r="C36" s="246"/>
    </row>
  </sheetData>
  <sortState xmlns:xlrd2="http://schemas.microsoft.com/office/spreadsheetml/2017/richdata2" ref="A3:A36">
    <sortCondition ref="A3:A36"/>
  </sortState>
  <mergeCells count="36">
    <mergeCell ref="B36:C36"/>
    <mergeCell ref="B25:C25"/>
    <mergeCell ref="B26:C26"/>
    <mergeCell ref="B27:C27"/>
    <mergeCell ref="B28:C28"/>
    <mergeCell ref="B29:C29"/>
    <mergeCell ref="B30:C30"/>
    <mergeCell ref="B31:C31"/>
    <mergeCell ref="B32:C32"/>
    <mergeCell ref="B33:C33"/>
    <mergeCell ref="B34:C34"/>
    <mergeCell ref="B35:C35"/>
    <mergeCell ref="B24:C24"/>
    <mergeCell ref="B13:C13"/>
    <mergeCell ref="B14:C14"/>
    <mergeCell ref="B15:C15"/>
    <mergeCell ref="B16:C16"/>
    <mergeCell ref="B17:C17"/>
    <mergeCell ref="B18:C18"/>
    <mergeCell ref="B19:C19"/>
    <mergeCell ref="B20:C20"/>
    <mergeCell ref="B21:C21"/>
    <mergeCell ref="B22:C22"/>
    <mergeCell ref="B23:C23"/>
    <mergeCell ref="B12:C12"/>
    <mergeCell ref="B2:C2"/>
    <mergeCell ref="B1:C1"/>
    <mergeCell ref="B3:C3"/>
    <mergeCell ref="B4:C4"/>
    <mergeCell ref="B5:C5"/>
    <mergeCell ref="B6:C6"/>
    <mergeCell ref="B7:C7"/>
    <mergeCell ref="B8:C8"/>
    <mergeCell ref="B9:C9"/>
    <mergeCell ref="B10:C10"/>
    <mergeCell ref="B11:C11"/>
  </mergeCells>
  <phoneticPr fontId="7" type="noConversion"/>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0"/>
  <sheetViews>
    <sheetView topLeftCell="A22" zoomScaleNormal="100" workbookViewId="0">
      <selection activeCell="B10" sqref="B10"/>
    </sheetView>
  </sheetViews>
  <sheetFormatPr baseColWidth="10" defaultColWidth="15.83203125" defaultRowHeight="20" customHeight="1" x14ac:dyDescent="0.2"/>
  <cols>
    <col min="1" max="1" width="20.83203125" style="4" customWidth="1"/>
    <col min="2" max="2" width="18.83203125" style="4" customWidth="1"/>
    <col min="3" max="9" width="15.83203125" style="4" customWidth="1"/>
    <col min="10" max="16384" width="15.83203125" style="4"/>
  </cols>
  <sheetData>
    <row r="1" spans="1:7" ht="20" customHeight="1" x14ac:dyDescent="0.2">
      <c r="A1" s="158" t="s">
        <v>0</v>
      </c>
      <c r="B1" s="23"/>
      <c r="D1" s="14"/>
    </row>
    <row r="2" spans="1:7" ht="20" customHeight="1" x14ac:dyDescent="0.2">
      <c r="A2" s="38" t="s">
        <v>811</v>
      </c>
      <c r="B2" s="3"/>
    </row>
    <row r="3" spans="1:7" ht="20" customHeight="1" x14ac:dyDescent="0.2">
      <c r="A3" s="3" t="s">
        <v>800</v>
      </c>
      <c r="B3" s="3" t="s">
        <v>730</v>
      </c>
      <c r="C3" s="9" t="s">
        <v>801</v>
      </c>
      <c r="D3" s="3"/>
      <c r="E3" s="3"/>
      <c r="F3" s="9" t="s">
        <v>802</v>
      </c>
    </row>
    <row r="4" spans="1:7" ht="20" customHeight="1" x14ac:dyDescent="0.2">
      <c r="A4" s="3" t="s">
        <v>1</v>
      </c>
      <c r="B4" s="4" t="s">
        <v>2</v>
      </c>
      <c r="C4" s="63" t="s">
        <v>791</v>
      </c>
      <c r="F4" s="63" t="s">
        <v>797</v>
      </c>
    </row>
    <row r="5" spans="1:7" ht="20" customHeight="1" x14ac:dyDescent="0.2">
      <c r="A5" s="3" t="s">
        <v>224</v>
      </c>
      <c r="B5" s="4" t="s">
        <v>107</v>
      </c>
      <c r="C5" s="63" t="s">
        <v>791</v>
      </c>
      <c r="F5" s="63" t="s">
        <v>799</v>
      </c>
    </row>
    <row r="6" spans="1:7" ht="20" customHeight="1" x14ac:dyDescent="0.2">
      <c r="A6" s="3" t="s">
        <v>716</v>
      </c>
      <c r="B6" s="4" t="s">
        <v>717</v>
      </c>
      <c r="C6" s="63" t="s">
        <v>791</v>
      </c>
      <c r="F6" s="63" t="s">
        <v>803</v>
      </c>
    </row>
    <row r="7" spans="1:7" ht="20" customHeight="1" x14ac:dyDescent="0.2">
      <c r="A7" s="3" t="s">
        <v>4</v>
      </c>
      <c r="B7" s="4" t="s">
        <v>39</v>
      </c>
      <c r="C7" s="63" t="s">
        <v>791</v>
      </c>
      <c r="F7" s="63" t="s">
        <v>806</v>
      </c>
    </row>
    <row r="8" spans="1:7" ht="20" customHeight="1" x14ac:dyDescent="0.2">
      <c r="A8" s="3" t="s">
        <v>719</v>
      </c>
      <c r="B8" s="4">
        <f>2*(PI()*5.5^2+2*PI()*5.5*4)</f>
        <v>466.52650905808423</v>
      </c>
      <c r="C8" s="63" t="s">
        <v>792</v>
      </c>
      <c r="F8" s="63" t="s">
        <v>798</v>
      </c>
    </row>
    <row r="9" spans="1:7" ht="20" customHeight="1" x14ac:dyDescent="0.2">
      <c r="A9" s="3" t="s">
        <v>720</v>
      </c>
      <c r="B9" s="4">
        <f>(PI()*5.5^2+2*PI()*5.5*4)*0.08</f>
        <v>18.661060362323369</v>
      </c>
      <c r="C9" s="63" t="s">
        <v>793</v>
      </c>
      <c r="F9" s="63" t="s">
        <v>805</v>
      </c>
    </row>
    <row r="10" spans="1:7" ht="20" customHeight="1" x14ac:dyDescent="0.2">
      <c r="A10" s="3" t="s">
        <v>721</v>
      </c>
      <c r="B10" s="4">
        <v>0.9</v>
      </c>
      <c r="C10" s="63" t="s">
        <v>794</v>
      </c>
      <c r="F10" s="63" t="s">
        <v>804</v>
      </c>
    </row>
    <row r="11" spans="1:7" s="11" customFormat="1" ht="20" customHeight="1" x14ac:dyDescent="0.2">
      <c r="A11" s="10" t="s">
        <v>5</v>
      </c>
      <c r="B11" s="11">
        <v>100</v>
      </c>
      <c r="C11" s="63" t="s">
        <v>795</v>
      </c>
    </row>
    <row r="12" spans="1:7" s="11" customFormat="1" ht="20" customHeight="1" x14ac:dyDescent="0.2">
      <c r="A12" s="10" t="s">
        <v>222</v>
      </c>
      <c r="B12" s="11">
        <v>10</v>
      </c>
      <c r="C12" s="63" t="s">
        <v>796</v>
      </c>
    </row>
    <row r="13" spans="1:7" ht="20" customHeight="1" x14ac:dyDescent="0.2">
      <c r="A13" s="3"/>
    </row>
    <row r="14" spans="1:7" ht="20" customHeight="1" x14ac:dyDescent="0.2">
      <c r="A14" s="38" t="s">
        <v>807</v>
      </c>
      <c r="G14" s="14"/>
    </row>
    <row r="15" spans="1:7" ht="20" customHeight="1" x14ac:dyDescent="0.2">
      <c r="A15" s="10" t="s">
        <v>225</v>
      </c>
      <c r="B15" s="4">
        <f>B8/B9</f>
        <v>25</v>
      </c>
      <c r="G15" s="14"/>
    </row>
    <row r="16" spans="1:7" ht="20" customHeight="1" x14ac:dyDescent="0.2">
      <c r="A16" s="217" t="s">
        <v>231</v>
      </c>
      <c r="B16" s="217" t="s">
        <v>233</v>
      </c>
      <c r="C16" s="3" t="s">
        <v>18</v>
      </c>
      <c r="D16" s="4">
        <f>VLOOKUP(B7,'Drop-down lists'!P4:Q10,2,FALSE)</f>
        <v>12.5</v>
      </c>
      <c r="E16" s="3"/>
      <c r="G16" s="14"/>
    </row>
    <row r="17" spans="1:11" ht="20" customHeight="1" x14ac:dyDescent="0.2">
      <c r="A17" s="217"/>
      <c r="B17" s="217"/>
      <c r="C17" s="3" t="s">
        <v>19</v>
      </c>
      <c r="D17" s="4">
        <f>VLOOKUP(B7,'Drop-down lists'!P4:R10,3,FALSE)</f>
        <v>2.6361360310232489E-2</v>
      </c>
      <c r="E17" s="63"/>
      <c r="G17" s="14"/>
    </row>
    <row r="18" spans="1:11" ht="20" customHeight="1" x14ac:dyDescent="0.2">
      <c r="A18" s="217"/>
      <c r="B18" s="217"/>
      <c r="C18" s="3" t="s">
        <v>20</v>
      </c>
      <c r="D18" s="5">
        <f>VLOOKUP(B7,'Drop-down lists'!P4:S10,4,FALSE)</f>
        <v>12500000</v>
      </c>
      <c r="E18" s="5"/>
      <c r="G18" s="14"/>
    </row>
    <row r="19" spans="1:11" ht="20" customHeight="1" x14ac:dyDescent="0.2">
      <c r="A19" s="63" t="s">
        <v>1013</v>
      </c>
      <c r="B19" s="168"/>
      <c r="C19" s="3"/>
      <c r="D19" s="5"/>
      <c r="E19" s="5"/>
      <c r="G19" s="14"/>
    </row>
    <row r="20" spans="1:11" ht="20" customHeight="1" x14ac:dyDescent="0.2">
      <c r="A20" s="30"/>
      <c r="G20" s="14"/>
    </row>
    <row r="21" spans="1:11" ht="20" customHeight="1" x14ac:dyDescent="0.2">
      <c r="A21" s="38" t="s">
        <v>808</v>
      </c>
      <c r="G21" s="14"/>
    </row>
    <row r="22" spans="1:11" ht="20" customHeight="1" x14ac:dyDescent="0.2">
      <c r="A22" s="217" t="s">
        <v>232</v>
      </c>
      <c r="B22" s="219" t="s">
        <v>234</v>
      </c>
      <c r="C22" s="3" t="s">
        <v>7</v>
      </c>
      <c r="D22" s="3" t="s">
        <v>6</v>
      </c>
      <c r="E22" s="3" t="s">
        <v>9</v>
      </c>
      <c r="F22" s="3" t="s">
        <v>8</v>
      </c>
      <c r="G22" s="3" t="s">
        <v>11</v>
      </c>
      <c r="H22" s="3" t="s">
        <v>10</v>
      </c>
      <c r="I22" s="3"/>
    </row>
    <row r="23" spans="1:11" ht="20" customHeight="1" x14ac:dyDescent="0.2">
      <c r="A23" s="218"/>
      <c r="B23" s="219"/>
      <c r="C23" s="5">
        <f>VLOOKUP(B4,'Drop-down lists'!B4:C13,2,FALSE)</f>
        <v>4.6565907501850404E-6</v>
      </c>
      <c r="D23" s="5">
        <f>VLOOKUP(B4,'Drop-down lists'!B4:D13,3,FALSE)</f>
        <v>2.2591669322139198</v>
      </c>
      <c r="E23" s="5">
        <f>VLOOKUP(B4,'Drop-down lists'!B4:E13,4,FALSE)</f>
        <v>5.3412730896969978E-4</v>
      </c>
      <c r="F23" s="5">
        <f>VLOOKUP(B4,'Drop-down lists'!B4:F13,5,FALSE)</f>
        <v>4.9999999999999827E-13</v>
      </c>
      <c r="G23" s="5">
        <f>VLOOKUP(B4,'Drop-down lists'!B4:G13,6,FALSE)</f>
        <v>8.6756319826511703</v>
      </c>
      <c r="H23" s="5">
        <f>VLOOKUP(B4,'Drop-down lists'!B4:H13,7,FALSE)</f>
        <v>1.4363331500021483</v>
      </c>
    </row>
    <row r="24" spans="1:11" ht="20" customHeight="1" x14ac:dyDescent="0.2">
      <c r="A24" s="218"/>
      <c r="B24" s="219"/>
      <c r="C24" s="3" t="s">
        <v>13</v>
      </c>
      <c r="D24" s="3" t="s">
        <v>12</v>
      </c>
      <c r="E24" s="3" t="s">
        <v>15</v>
      </c>
      <c r="F24" s="3" t="s">
        <v>14</v>
      </c>
      <c r="G24" s="3" t="s">
        <v>16</v>
      </c>
      <c r="H24" s="3" t="s">
        <v>17</v>
      </c>
      <c r="I24" s="3"/>
    </row>
    <row r="25" spans="1:11" ht="20" customHeight="1" x14ac:dyDescent="0.2">
      <c r="A25" s="218"/>
      <c r="B25" s="219"/>
      <c r="C25" s="5">
        <f>VLOOKUP(B4,'Drop-down lists'!B17:C26,2,FALSE)</f>
        <v>5.498191491131529E-3</v>
      </c>
      <c r="D25" s="5">
        <f>VLOOKUP(B4,'Drop-down lists'!B17:D26,3,FALSE)</f>
        <v>1.3720790802151868E-2</v>
      </c>
      <c r="E25" s="5">
        <f>VLOOKUP(B4,'Drop-down lists'!B17:E26,4,FALSE)</f>
        <v>1.7245229542043029E-2</v>
      </c>
      <c r="F25" s="5">
        <f>VLOOKUP(B4,'Drop-down lists'!B17:F26,5,FALSE)</f>
        <v>0.70549281899550453</v>
      </c>
      <c r="G25" s="5">
        <f>VLOOKUP(B4,'Drop-down lists'!B17:G26,6,FALSE)</f>
        <v>1.6158543822027385E-5</v>
      </c>
      <c r="H25" s="5">
        <f>VLOOKUP(B4,'Drop-down lists'!B17:H26,7,FALSE)</f>
        <v>0.4421091864971286</v>
      </c>
    </row>
    <row r="26" spans="1:11" ht="20" customHeight="1" x14ac:dyDescent="0.2">
      <c r="A26" s="3"/>
      <c r="B26" s="3"/>
      <c r="C26" s="3"/>
      <c r="E26" s="3"/>
      <c r="G26" s="3"/>
      <c r="I26" s="3"/>
      <c r="K26" s="3"/>
    </row>
    <row r="27" spans="1:11" ht="21" customHeight="1" x14ac:dyDescent="0.2">
      <c r="A27" s="38" t="s">
        <v>21</v>
      </c>
    </row>
    <row r="28" spans="1:11" ht="40" customHeight="1" x14ac:dyDescent="0.2">
      <c r="A28" s="24" t="s">
        <v>113</v>
      </c>
      <c r="B28" s="5">
        <f>C23*B15^D23*(E23*D16^F23+G23*D17^H23)</f>
        <v>3.1729325888014417E-4</v>
      </c>
    </row>
    <row r="29" spans="1:11" ht="40" customHeight="1" x14ac:dyDescent="0.2">
      <c r="A29" s="24" t="s">
        <v>114</v>
      </c>
      <c r="B29" s="5">
        <f>C25*B15^D25*(E25*D16^F25+G25*D18^H25)</f>
        <v>7.1622240951078387E-4</v>
      </c>
    </row>
    <row r="30" spans="1:11" ht="20" customHeight="1" x14ac:dyDescent="0.2">
      <c r="A30" s="24"/>
      <c r="B30" s="5"/>
    </row>
    <row r="31" spans="1:11" s="31" customFormat="1" ht="20" customHeight="1" x14ac:dyDescent="0.2">
      <c r="A31" s="161" t="s">
        <v>722</v>
      </c>
      <c r="B31" s="28"/>
    </row>
    <row r="32" spans="1:11" ht="40" customHeight="1" x14ac:dyDescent="0.2">
      <c r="A32" s="24" t="s">
        <v>704</v>
      </c>
      <c r="B32" s="7" cm="1">
        <f t="array" ref="B32">_xlfn.SWITCH(B5, "Macroplastics", -LN(0.001)/(B28+B29)/365)</f>
        <v>18.311630396646922</v>
      </c>
    </row>
    <row r="33" spans="1:12" ht="40" customHeight="1" x14ac:dyDescent="0.2">
      <c r="A33" s="24" t="s">
        <v>703</v>
      </c>
      <c r="B33" s="7" cm="1">
        <f t="array" ref="B33">_xlfn.SWITCH(B5, "Macroplastics", -LN(0.001)/B29/365, "Micro/Nanoplastics", -LN(0.001)/B29/365)</f>
        <v>26.423854765512239</v>
      </c>
    </row>
    <row r="34" spans="1:12" s="11" customFormat="1" ht="40" customHeight="1" x14ac:dyDescent="0.2">
      <c r="A34" s="74" t="s">
        <v>228</v>
      </c>
      <c r="B34" s="159" cm="1">
        <f t="array" ref="B34">_xlfn.SWITCH(B5, "Macroplastics", EXP(-(B28+B29)*B12*365)*$B$11, "Micro/Nanoplastics", 0)</f>
        <v>2.2998364146977295</v>
      </c>
      <c r="C34" s="75"/>
    </row>
    <row r="35" spans="1:12" s="11" customFormat="1" ht="40" customHeight="1" x14ac:dyDescent="0.2">
      <c r="A35" s="74" t="s">
        <v>229</v>
      </c>
      <c r="B35" s="159" cm="1">
        <f t="array" ref="B35">_xlfn.SWITCH(B5, "Macroplastics", (EXP(-B29*B12*365)-EXP(-(B28+B29)*B12*365))*$B$11, "Micro/Nanoplastics", EXP(-B29*B12*365)*$B$11)</f>
        <v>5.0227118521153562</v>
      </c>
      <c r="C35" s="75"/>
    </row>
    <row r="36" spans="1:12" s="11" customFormat="1" ht="40" customHeight="1" x14ac:dyDescent="0.2">
      <c r="A36" s="74" t="s">
        <v>230</v>
      </c>
      <c r="B36" s="159" cm="1">
        <f t="array" ref="B36">_xlfn.SWITCH(B5, "Macroplastics", (1-EXP(-B29*B12*365))*$B$11, "Micro/Nanoplastics", (1-EXP(-B29*B12*365))*$B$11)</f>
        <v>92.677451733186913</v>
      </c>
      <c r="C36" s="75"/>
    </row>
    <row r="37" spans="1:12" ht="20" customHeight="1" x14ac:dyDescent="0.2">
      <c r="B37" s="58"/>
    </row>
    <row r="38" spans="1:12" ht="40" customHeight="1" x14ac:dyDescent="0.2">
      <c r="A38" s="216" t="s">
        <v>809</v>
      </c>
      <c r="B38" s="215"/>
      <c r="C38" s="215"/>
      <c r="D38" s="215"/>
      <c r="E38" s="215"/>
      <c r="F38" s="215"/>
      <c r="G38" s="215"/>
      <c r="H38" s="215"/>
      <c r="I38" s="215"/>
      <c r="J38" s="215"/>
      <c r="K38" s="215"/>
      <c r="L38" s="215"/>
    </row>
    <row r="39" spans="1:12" ht="20" customHeight="1" x14ac:dyDescent="0.2">
      <c r="A39" s="215"/>
      <c r="B39" s="215"/>
      <c r="C39" s="215"/>
      <c r="D39" s="215"/>
      <c r="E39" s="215"/>
      <c r="F39" s="215"/>
      <c r="G39" s="215"/>
      <c r="H39" s="215"/>
      <c r="I39" s="215"/>
      <c r="J39" s="215"/>
      <c r="K39" s="215"/>
      <c r="L39" s="215"/>
    </row>
    <row r="40" spans="1:12" ht="21" customHeight="1" x14ac:dyDescent="0.2">
      <c r="A40" s="169"/>
    </row>
  </sheetData>
  <mergeCells count="6">
    <mergeCell ref="A39:L39"/>
    <mergeCell ref="A38:L38"/>
    <mergeCell ref="A22:A25"/>
    <mergeCell ref="B22:B25"/>
    <mergeCell ref="A16:A18"/>
    <mergeCell ref="B16:B18"/>
  </mergeCells>
  <phoneticPr fontId="7" type="noConversion"/>
  <dataValidations count="3">
    <dataValidation operator="greaterThan" showInputMessage="1" showErrorMessage="1" sqref="C23 D24 E23:E24 G23 I25 C25" xr:uid="{00000000-0002-0000-0000-000001000000}"/>
    <dataValidation type="whole" operator="greaterThan" showInputMessage="1" showErrorMessage="1" sqref="B13:B15 B20:B21 B11 C16" xr:uid="{00000000-0002-0000-0000-000000000000}">
      <formula1>0</formula1>
    </dataValidation>
    <dataValidation type="decimal" operator="greaterThanOrEqual" showInputMessage="1" showErrorMessage="1" sqref="B12" xr:uid="{C854FC4F-41D2-2D42-91C8-BB08927652B0}">
      <formula1>0</formula1>
    </dataValidation>
  </dataValidations>
  <pageMargins left="0.7" right="0.7" top="0.75" bottom="0.75" header="0.3" footer="0.3"/>
  <pageSetup orientation="portrait" horizontalDpi="0" verticalDpi="0"/>
  <ignoredErrors>
    <ignoredError sqref="B36" evalError="1"/>
  </ignoredErrors>
  <extLst>
    <ext xmlns:x14="http://schemas.microsoft.com/office/spreadsheetml/2009/9/main" uri="{CCE6A557-97BC-4b89-ADB6-D9C93CAAB3DF}">
      <x14:dataValidations xmlns:xm="http://schemas.microsoft.com/office/excel/2006/main" count="4">
        <x14:dataValidation type="list" allowBlank="1" showInputMessage="1" showErrorMessage="1" xr:uid="{DE0E15A4-259C-9442-A0D5-F52859344D10}">
          <x14:formula1>
            <xm:f>'Drop-down lists'!$J$4:$J$11</xm:f>
          </x14:formula1>
          <xm:sqref>B4</xm:sqref>
        </x14:dataValidation>
        <x14:dataValidation type="list" allowBlank="1" showInputMessage="1" showErrorMessage="1" xr:uid="{112215CB-7354-3E44-9B30-4D1782F9207D}">
          <x14:formula1>
            <xm:f>'Drop-down lists'!$K$4:$K$6</xm:f>
          </x14:formula1>
          <xm:sqref>B5</xm:sqref>
        </x14:dataValidation>
        <x14:dataValidation type="list" allowBlank="1" showInputMessage="1" showErrorMessage="1" xr:uid="{65BEC675-A881-594A-ABC6-180F67E5614B}">
          <x14:formula1>
            <xm:f>'Drop-down lists'!$M$4:$M$11</xm:f>
          </x14:formula1>
          <xm:sqref>B7</xm:sqref>
        </x14:dataValidation>
        <x14:dataValidation type="list" allowBlank="1" showInputMessage="1" showErrorMessage="1" xr:uid="{0BA21DA7-89DC-EE4B-8DA5-B70B3027C989}">
          <x14:formula1>
            <xm:f>'Drop-down lists'!$L$4:$L$9</xm:f>
          </x14:formula1>
          <xm:sqref>B6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9"/>
  <sheetViews>
    <sheetView topLeftCell="K1" zoomScaleNormal="100" workbookViewId="0">
      <selection activeCell="Q5" sqref="Q5"/>
    </sheetView>
  </sheetViews>
  <sheetFormatPr baseColWidth="10" defaultColWidth="15.83203125" defaultRowHeight="20" customHeight="1" x14ac:dyDescent="0.2"/>
  <cols>
    <col min="1" max="8" width="14.83203125" style="4" customWidth="1"/>
    <col min="9" max="9" width="10.83203125" style="4" customWidth="1"/>
    <col min="10" max="10" width="20.83203125" style="4" customWidth="1"/>
    <col min="11" max="11" width="18.83203125" style="4" customWidth="1"/>
    <col min="12" max="13" width="17.83203125" style="4" customWidth="1"/>
    <col min="14" max="14" width="10.83203125" style="4" customWidth="1"/>
    <col min="15" max="18" width="16.83203125" style="4" customWidth="1"/>
    <col min="19" max="19" width="19.83203125" style="4" customWidth="1"/>
    <col min="20" max="16384" width="15.83203125" style="4"/>
  </cols>
  <sheetData>
    <row r="1" spans="1:20" s="9" customFormat="1" ht="20" customHeight="1" x14ac:dyDescent="0.2">
      <c r="A1" s="158" t="s">
        <v>991</v>
      </c>
    </row>
    <row r="2" spans="1:20" s="3" customFormat="1" ht="20" customHeight="1" x14ac:dyDescent="0.2">
      <c r="A2" s="223" t="s">
        <v>22</v>
      </c>
      <c r="B2" s="223"/>
      <c r="C2" s="223"/>
      <c r="D2" s="223"/>
      <c r="E2" s="223"/>
      <c r="F2" s="223"/>
      <c r="G2" s="223"/>
      <c r="H2" s="223"/>
      <c r="J2" s="223" t="s">
        <v>226</v>
      </c>
      <c r="K2" s="223"/>
      <c r="L2" s="223"/>
      <c r="M2" s="223"/>
      <c r="O2" s="223" t="s">
        <v>763</v>
      </c>
      <c r="P2" s="224"/>
      <c r="Q2" s="224"/>
      <c r="R2" s="224"/>
      <c r="S2" s="224"/>
    </row>
    <row r="3" spans="1:20" ht="20" customHeight="1" x14ac:dyDescent="0.2">
      <c r="A3" s="39" t="s">
        <v>23</v>
      </c>
      <c r="B3" s="39" t="s">
        <v>24</v>
      </c>
      <c r="C3" s="39" t="s">
        <v>7</v>
      </c>
      <c r="D3" s="39" t="s">
        <v>6</v>
      </c>
      <c r="E3" s="39" t="s">
        <v>9</v>
      </c>
      <c r="F3" s="39" t="s">
        <v>8</v>
      </c>
      <c r="G3" s="39" t="s">
        <v>11</v>
      </c>
      <c r="H3" s="39" t="s">
        <v>10</v>
      </c>
      <c r="I3" s="3"/>
      <c r="J3" s="39" t="s">
        <v>24</v>
      </c>
      <c r="K3" s="39" t="s">
        <v>224</v>
      </c>
      <c r="L3" s="17" t="s">
        <v>716</v>
      </c>
      <c r="M3" s="39" t="s">
        <v>26</v>
      </c>
      <c r="O3" s="39" t="s">
        <v>25</v>
      </c>
      <c r="P3" s="39" t="s">
        <v>26</v>
      </c>
      <c r="Q3" s="39" t="s">
        <v>115</v>
      </c>
      <c r="R3" s="17" t="s">
        <v>116</v>
      </c>
      <c r="S3" s="39" t="s">
        <v>20</v>
      </c>
    </row>
    <row r="4" spans="1:20" ht="20" customHeight="1" x14ac:dyDescent="0.2">
      <c r="A4" s="27">
        <v>1</v>
      </c>
      <c r="B4" s="27" t="s">
        <v>30</v>
      </c>
      <c r="C4" s="27" t="s">
        <v>705</v>
      </c>
      <c r="D4" s="27" t="s">
        <v>705</v>
      </c>
      <c r="E4" s="27" t="s">
        <v>705</v>
      </c>
      <c r="F4" s="27" t="s">
        <v>705</v>
      </c>
      <c r="G4" s="27" t="s">
        <v>705</v>
      </c>
      <c r="H4" s="27" t="s">
        <v>705</v>
      </c>
      <c r="I4" s="7"/>
      <c r="J4" s="27" t="s">
        <v>227</v>
      </c>
      <c r="K4" s="27" t="s">
        <v>227</v>
      </c>
      <c r="L4" s="27" t="s">
        <v>227</v>
      </c>
      <c r="M4" s="27" t="s">
        <v>227</v>
      </c>
      <c r="O4" s="27">
        <v>1</v>
      </c>
      <c r="P4" s="27" t="s">
        <v>31</v>
      </c>
      <c r="Q4" s="40">
        <v>10</v>
      </c>
      <c r="R4" s="171" cm="1">
        <f t="array" ref="R4">500*S18*Q28*(S23*VLOOKUP(S28, J27:M31, 4, FALSE))^3*_xlfn._xlws.FILTER(Q18:Q26,IF(OR('Model interface'!B6=O18, 'Model interface'!B6=O19, 'Model interface'!B6=O26), O18:O26='Model interface'!B6, (O18:O26='Model interface'!B6)*(P18:P26=P4)))</f>
        <v>4.042500000000001E-3</v>
      </c>
      <c r="S4" s="40">
        <v>0.5</v>
      </c>
    </row>
    <row r="5" spans="1:20" ht="20" customHeight="1" x14ac:dyDescent="0.2">
      <c r="A5" s="27">
        <v>2</v>
      </c>
      <c r="B5" s="27" t="s">
        <v>35</v>
      </c>
      <c r="C5" s="27" t="s">
        <v>705</v>
      </c>
      <c r="D5" s="27" t="s">
        <v>705</v>
      </c>
      <c r="E5" s="27" t="s">
        <v>705</v>
      </c>
      <c r="F5" s="27" t="s">
        <v>705</v>
      </c>
      <c r="G5" s="27" t="s">
        <v>705</v>
      </c>
      <c r="H5" s="27" t="s">
        <v>705</v>
      </c>
      <c r="I5" s="7"/>
      <c r="J5" s="27" t="s">
        <v>30</v>
      </c>
      <c r="K5" s="27" t="s">
        <v>123</v>
      </c>
      <c r="L5" s="27" t="s">
        <v>429</v>
      </c>
      <c r="M5" s="27" t="s">
        <v>31</v>
      </c>
      <c r="O5" s="27">
        <v>2</v>
      </c>
      <c r="P5" s="27" t="s">
        <v>750</v>
      </c>
      <c r="Q5" s="40">
        <v>0.1</v>
      </c>
      <c r="R5" s="171">
        <f>1000*S21*('Model interface'!B9*'Model interface'!B10/1000)*S22*(S27*VLOOKUP(S28, J27:M31, 4, FALSE))</f>
        <v>1.1533095135726715E-3</v>
      </c>
      <c r="S5" s="76">
        <v>670000000</v>
      </c>
    </row>
    <row r="6" spans="1:20" ht="20" customHeight="1" x14ac:dyDescent="0.2">
      <c r="A6" s="27">
        <v>3</v>
      </c>
      <c r="B6" s="27" t="s">
        <v>137</v>
      </c>
      <c r="C6" s="27" t="s">
        <v>705</v>
      </c>
      <c r="D6" s="27" t="s">
        <v>705</v>
      </c>
      <c r="E6" s="27" t="s">
        <v>705</v>
      </c>
      <c r="F6" s="27" t="s">
        <v>705</v>
      </c>
      <c r="G6" s="27" t="s">
        <v>705</v>
      </c>
      <c r="H6" s="27" t="s">
        <v>705</v>
      </c>
      <c r="I6" s="7"/>
      <c r="J6" s="27" t="s">
        <v>35</v>
      </c>
      <c r="K6" s="27" t="s">
        <v>723</v>
      </c>
      <c r="L6" s="27" t="s">
        <v>739</v>
      </c>
      <c r="M6" s="27" t="s">
        <v>750</v>
      </c>
      <c r="O6" s="27">
        <v>3</v>
      </c>
      <c r="P6" s="27" t="s">
        <v>751</v>
      </c>
      <c r="Q6" s="40">
        <v>0</v>
      </c>
      <c r="R6" s="40">
        <v>0</v>
      </c>
      <c r="S6" s="76">
        <v>121000000</v>
      </c>
      <c r="T6" s="13"/>
    </row>
    <row r="7" spans="1:20" ht="20" customHeight="1" x14ac:dyDescent="0.2">
      <c r="A7" s="27">
        <v>4</v>
      </c>
      <c r="B7" s="27" t="s">
        <v>2</v>
      </c>
      <c r="C7" s="154">
        <v>4.6565907501850404E-6</v>
      </c>
      <c r="D7" s="154">
        <v>2.2591669322139198</v>
      </c>
      <c r="E7" s="154">
        <v>5.3412730896969978E-4</v>
      </c>
      <c r="F7" s="154">
        <v>4.9999999999999827E-13</v>
      </c>
      <c r="G7" s="154">
        <v>8.6756319826511703</v>
      </c>
      <c r="H7" s="154">
        <v>1.4363331500021483</v>
      </c>
      <c r="I7" s="7"/>
      <c r="J7" s="27" t="s">
        <v>108</v>
      </c>
      <c r="K7" s="27"/>
      <c r="L7" s="27" t="s">
        <v>124</v>
      </c>
      <c r="M7" s="27" t="s">
        <v>751</v>
      </c>
      <c r="O7" s="27">
        <v>4</v>
      </c>
      <c r="P7" s="27" t="s">
        <v>39</v>
      </c>
      <c r="Q7" s="40">
        <v>12.5</v>
      </c>
      <c r="R7" s="171">
        <f>1000*S20*('Model interface'!B9*'Model interface'!B10/1000)*S22*(S26*VLOOKUP(S28, J27:M31, 4, FALSE))</f>
        <v>2.6361360310232489E-2</v>
      </c>
      <c r="S7" s="76">
        <v>12500000</v>
      </c>
    </row>
    <row r="8" spans="1:20" ht="20" customHeight="1" x14ac:dyDescent="0.2">
      <c r="A8" s="27">
        <v>5</v>
      </c>
      <c r="B8" s="27" t="s">
        <v>43</v>
      </c>
      <c r="C8" s="154">
        <v>7.2296289068305691E-3</v>
      </c>
      <c r="D8" s="154">
        <v>3.9038558090829327</v>
      </c>
      <c r="E8" s="154">
        <v>3.2687796728633455E-10</v>
      </c>
      <c r="F8" s="154">
        <v>0.5497565488813938</v>
      </c>
      <c r="G8" s="154">
        <v>55.746382030426993</v>
      </c>
      <c r="H8" s="154">
        <v>4.9468547671349521</v>
      </c>
      <c r="I8" s="7"/>
      <c r="J8" s="27" t="s">
        <v>2</v>
      </c>
      <c r="K8" s="27"/>
      <c r="L8" s="27" t="s">
        <v>130</v>
      </c>
      <c r="M8" s="27" t="s">
        <v>39</v>
      </c>
      <c r="O8" s="27">
        <v>5</v>
      </c>
      <c r="P8" s="27" t="s">
        <v>175</v>
      </c>
      <c r="Q8" s="40">
        <v>10</v>
      </c>
      <c r="R8" s="171" cm="1">
        <f t="array" ref="R8">500*S19*Q28*(S24*VLOOKUP(S28, J27:M31, 4, FALSE))^3*_xlfn._xlws.FILTER(Q18:Q26,IF(OR('Model interface'!B6=O18, 'Model interface'!B6=O19, 'Model interface'!B6=O26), O18:O26='Model interface'!B6, (O18:O26='Model interface'!B6)*(P18:P26=P8)))</f>
        <v>3.3000000000000008E-3</v>
      </c>
      <c r="S8" s="76">
        <v>250000</v>
      </c>
    </row>
    <row r="9" spans="1:20" ht="20" customHeight="1" x14ac:dyDescent="0.2">
      <c r="A9" s="27">
        <v>6</v>
      </c>
      <c r="B9" s="27" t="s">
        <v>138</v>
      </c>
      <c r="C9" s="27" t="s">
        <v>705</v>
      </c>
      <c r="D9" s="27" t="s">
        <v>705</v>
      </c>
      <c r="E9" s="27" t="s">
        <v>705</v>
      </c>
      <c r="F9" s="27" t="s">
        <v>705</v>
      </c>
      <c r="G9" s="27" t="s">
        <v>705</v>
      </c>
      <c r="H9" s="27" t="s">
        <v>705</v>
      </c>
      <c r="I9" s="6"/>
      <c r="J9" s="27" t="s">
        <v>43</v>
      </c>
      <c r="K9" s="27"/>
      <c r="L9" s="27" t="s">
        <v>718</v>
      </c>
      <c r="M9" s="27" t="s">
        <v>175</v>
      </c>
      <c r="O9" s="27">
        <v>6</v>
      </c>
      <c r="P9" s="27" t="s">
        <v>176</v>
      </c>
      <c r="Q9" s="40">
        <v>0</v>
      </c>
      <c r="R9" s="76" cm="1">
        <f t="array" ref="R9">500*S19*Q28*(S25*VLOOKUP(S28, J27:M31, 4, FALSE))^3*_xlfn._xlws.FILTER(Q18:Q26,IF(OR('Model interface'!B6=O18, 'Model interface'!B6=O19, 'Model interface'!B6=O26), O18:O26='Model interface'!B6, (O18:O26='Model interface'!B6)*(P18:P26=P9)))</f>
        <v>1.6895999999999999E-6</v>
      </c>
      <c r="S9" s="76">
        <v>38500</v>
      </c>
    </row>
    <row r="10" spans="1:20" ht="20" customHeight="1" x14ac:dyDescent="0.2">
      <c r="A10" s="27">
        <v>7</v>
      </c>
      <c r="B10" s="27" t="s">
        <v>126</v>
      </c>
      <c r="C10" s="154">
        <v>2.901642600553464E-2</v>
      </c>
      <c r="D10" s="154">
        <v>9.3039280372760433E-12</v>
      </c>
      <c r="E10" s="154">
        <v>1.6976290256311595E-7</v>
      </c>
      <c r="F10" s="154">
        <v>4.9417608236281305</v>
      </c>
      <c r="G10" s="154">
        <v>19.912251463764076</v>
      </c>
      <c r="H10" s="154">
        <v>1.3446292576895287</v>
      </c>
      <c r="I10" s="7"/>
      <c r="J10" s="27" t="s">
        <v>47</v>
      </c>
      <c r="K10" s="27"/>
      <c r="L10" s="27"/>
      <c r="M10" s="27" t="s">
        <v>176</v>
      </c>
      <c r="O10" s="27">
        <v>7</v>
      </c>
      <c r="P10" s="27" t="s">
        <v>48</v>
      </c>
      <c r="Q10" s="40">
        <v>0</v>
      </c>
      <c r="R10" s="40">
        <v>0</v>
      </c>
      <c r="S10" s="76">
        <v>482000</v>
      </c>
    </row>
    <row r="11" spans="1:20" ht="20" customHeight="1" x14ac:dyDescent="0.2">
      <c r="A11" s="27">
        <v>8</v>
      </c>
      <c r="B11" s="27" t="s">
        <v>49</v>
      </c>
      <c r="C11" s="27" t="s">
        <v>705</v>
      </c>
      <c r="D11" s="27" t="s">
        <v>705</v>
      </c>
      <c r="E11" s="27" t="s">
        <v>705</v>
      </c>
      <c r="F11" s="27" t="s">
        <v>705</v>
      </c>
      <c r="G11" s="27" t="s">
        <v>705</v>
      </c>
      <c r="H11" s="27" t="s">
        <v>705</v>
      </c>
      <c r="I11" s="7"/>
      <c r="J11" s="27" t="s">
        <v>46</v>
      </c>
      <c r="K11" s="27"/>
      <c r="L11" s="27"/>
      <c r="M11" s="27" t="s">
        <v>48</v>
      </c>
      <c r="N11" s="9"/>
      <c r="O11" s="222" t="s">
        <v>810</v>
      </c>
      <c r="P11" s="222"/>
      <c r="Q11" s="222"/>
      <c r="R11" s="222"/>
      <c r="S11" s="222"/>
    </row>
    <row r="12" spans="1:20" ht="20" customHeight="1" x14ac:dyDescent="0.2">
      <c r="A12" s="27">
        <v>9</v>
      </c>
      <c r="B12" s="27" t="s">
        <v>50</v>
      </c>
      <c r="C12" s="27" t="s">
        <v>705</v>
      </c>
      <c r="D12" s="27" t="s">
        <v>705</v>
      </c>
      <c r="E12" s="27" t="s">
        <v>705</v>
      </c>
      <c r="F12" s="27" t="s">
        <v>705</v>
      </c>
      <c r="G12" s="27" t="s">
        <v>705</v>
      </c>
      <c r="H12" s="27" t="s">
        <v>705</v>
      </c>
      <c r="I12" s="7"/>
      <c r="J12" s="27" t="s">
        <v>49</v>
      </c>
      <c r="K12" s="27"/>
      <c r="L12" s="27"/>
      <c r="M12" s="27"/>
      <c r="O12" s="222"/>
      <c r="P12" s="222"/>
      <c r="Q12" s="222"/>
      <c r="R12" s="222"/>
      <c r="S12" s="222"/>
    </row>
    <row r="13" spans="1:20" ht="20" customHeight="1" x14ac:dyDescent="0.2">
      <c r="A13" s="27">
        <v>10</v>
      </c>
      <c r="B13" s="27" t="s">
        <v>51</v>
      </c>
      <c r="C13" s="27" t="s">
        <v>705</v>
      </c>
      <c r="D13" s="27" t="s">
        <v>705</v>
      </c>
      <c r="E13" s="27" t="s">
        <v>705</v>
      </c>
      <c r="F13" s="27" t="s">
        <v>705</v>
      </c>
      <c r="G13" s="27" t="s">
        <v>705</v>
      </c>
      <c r="H13" s="27" t="s">
        <v>705</v>
      </c>
      <c r="I13" s="7"/>
      <c r="J13" s="27" t="s">
        <v>50</v>
      </c>
      <c r="K13" s="27"/>
      <c r="L13" s="27"/>
      <c r="M13" s="27"/>
      <c r="O13" s="222"/>
      <c r="P13" s="222"/>
      <c r="Q13" s="222"/>
      <c r="R13" s="222"/>
      <c r="S13" s="222"/>
      <c r="T13" s="3"/>
    </row>
    <row r="14" spans="1:20" ht="20" customHeight="1" x14ac:dyDescent="0.2">
      <c r="D14" s="7"/>
      <c r="E14" s="7"/>
      <c r="F14" s="7"/>
      <c r="G14" s="7"/>
      <c r="H14" s="7"/>
      <c r="I14" s="7"/>
      <c r="J14" s="40" t="s">
        <v>51</v>
      </c>
      <c r="K14" s="40"/>
      <c r="L14" s="27"/>
      <c r="M14" s="40"/>
    </row>
    <row r="15" spans="1:20" ht="20" customHeight="1" x14ac:dyDescent="0.2">
      <c r="A15" s="223" t="s">
        <v>52</v>
      </c>
      <c r="B15" s="223"/>
      <c r="C15" s="223"/>
      <c r="D15" s="223"/>
      <c r="E15" s="223"/>
      <c r="F15" s="223"/>
      <c r="G15" s="223"/>
      <c r="H15" s="223"/>
      <c r="O15" s="164" t="s">
        <v>731</v>
      </c>
      <c r="P15" s="164"/>
      <c r="Q15" s="164"/>
      <c r="R15" s="164"/>
      <c r="S15" s="27"/>
    </row>
    <row r="16" spans="1:20" ht="20" customHeight="1" x14ac:dyDescent="0.2">
      <c r="A16" s="39" t="s">
        <v>23</v>
      </c>
      <c r="B16" s="39" t="s">
        <v>24</v>
      </c>
      <c r="C16" s="39" t="s">
        <v>13</v>
      </c>
      <c r="D16" s="39" t="s">
        <v>12</v>
      </c>
      <c r="E16" s="39" t="s">
        <v>15</v>
      </c>
      <c r="F16" s="39" t="s">
        <v>14</v>
      </c>
      <c r="G16" s="39" t="s">
        <v>16</v>
      </c>
      <c r="H16" s="39" t="s">
        <v>17</v>
      </c>
      <c r="I16" s="3"/>
      <c r="J16" s="223" t="s">
        <v>729</v>
      </c>
      <c r="K16" s="223"/>
      <c r="L16" s="223"/>
      <c r="M16" s="223"/>
      <c r="O16" s="39" t="s">
        <v>738</v>
      </c>
      <c r="P16" s="39"/>
      <c r="Q16" s="27"/>
      <c r="R16" s="39" t="s">
        <v>737</v>
      </c>
      <c r="S16" s="27"/>
    </row>
    <row r="17" spans="1:20" ht="20" customHeight="1" x14ac:dyDescent="0.2">
      <c r="A17" s="27">
        <v>1</v>
      </c>
      <c r="B17" s="27" t="s">
        <v>30</v>
      </c>
      <c r="C17" s="160">
        <v>1.0262753023911369E-2</v>
      </c>
      <c r="D17" s="160">
        <v>3.358408094206361E-11</v>
      </c>
      <c r="E17" s="154">
        <v>2.1825283888841857E-3</v>
      </c>
      <c r="F17" s="160">
        <v>0.29904863199407866</v>
      </c>
      <c r="G17" s="154">
        <v>3.780320604053785E-4</v>
      </c>
      <c r="H17" s="154">
        <v>0.21648776963088343</v>
      </c>
      <c r="I17" s="7"/>
      <c r="J17" s="17" t="s">
        <v>27</v>
      </c>
      <c r="K17" s="39" t="s">
        <v>28</v>
      </c>
      <c r="L17" s="39" t="s">
        <v>29</v>
      </c>
      <c r="M17" s="39" t="s">
        <v>728</v>
      </c>
      <c r="O17" s="39" t="s">
        <v>716</v>
      </c>
      <c r="P17" s="39" t="s">
        <v>152</v>
      </c>
      <c r="Q17" s="39" t="s">
        <v>730</v>
      </c>
      <c r="R17" s="39" t="s">
        <v>609</v>
      </c>
      <c r="S17" s="39" t="s">
        <v>730</v>
      </c>
    </row>
    <row r="18" spans="1:20" ht="20" customHeight="1" x14ac:dyDescent="0.2">
      <c r="A18" s="27">
        <v>2</v>
      </c>
      <c r="B18" s="27" t="s">
        <v>35</v>
      </c>
      <c r="C18" s="160">
        <v>1.1050589923981958E-2</v>
      </c>
      <c r="D18" s="160">
        <v>4.9999999999999827E-13</v>
      </c>
      <c r="E18" s="154">
        <v>1.0314560124374485E-2</v>
      </c>
      <c r="F18" s="160">
        <v>4.362022267738264E-3</v>
      </c>
      <c r="G18" s="154">
        <v>1.0475542749963076E-4</v>
      </c>
      <c r="H18" s="154">
        <v>0.32405972126395782</v>
      </c>
      <c r="I18" s="7"/>
      <c r="J18" s="40" t="s">
        <v>32</v>
      </c>
      <c r="K18" s="40" t="s">
        <v>33</v>
      </c>
      <c r="L18" s="40" t="s">
        <v>34</v>
      </c>
      <c r="M18" s="27" t="s">
        <v>187</v>
      </c>
      <c r="O18" s="27" t="s">
        <v>429</v>
      </c>
      <c r="P18" s="27" t="s">
        <v>444</v>
      </c>
      <c r="Q18" s="27">
        <v>0.47</v>
      </c>
      <c r="R18" s="27" t="s">
        <v>732</v>
      </c>
      <c r="S18" s="27">
        <v>1.2250000000000001</v>
      </c>
      <c r="T18" s="58"/>
    </row>
    <row r="19" spans="1:20" ht="20" customHeight="1" x14ac:dyDescent="0.2">
      <c r="A19" s="27">
        <v>3</v>
      </c>
      <c r="B19" s="27" t="s">
        <v>137</v>
      </c>
      <c r="C19" s="154">
        <v>4.7218302973121193E-9</v>
      </c>
      <c r="D19" s="154">
        <v>1.3476470812839827</v>
      </c>
      <c r="E19" s="154">
        <v>3.6784226416775896E-4</v>
      </c>
      <c r="F19" s="154">
        <v>4.9897636856199528</v>
      </c>
      <c r="G19" s="154">
        <v>5.3315116606357247E-5</v>
      </c>
      <c r="H19" s="154">
        <v>0.65085027677318608</v>
      </c>
      <c r="I19" s="5"/>
      <c r="J19" s="27" t="s">
        <v>724</v>
      </c>
      <c r="K19" s="40" t="s">
        <v>37</v>
      </c>
      <c r="L19" s="40" t="s">
        <v>38</v>
      </c>
      <c r="M19" s="40" t="s">
        <v>186</v>
      </c>
      <c r="O19" s="27" t="s">
        <v>739</v>
      </c>
      <c r="P19" s="27" t="s">
        <v>444</v>
      </c>
      <c r="Q19" s="27">
        <v>1.05</v>
      </c>
      <c r="R19" s="27" t="s">
        <v>736</v>
      </c>
      <c r="S19" s="27">
        <v>1000</v>
      </c>
    </row>
    <row r="20" spans="1:20" ht="20" customHeight="1" x14ac:dyDescent="0.2">
      <c r="A20" s="27">
        <v>4</v>
      </c>
      <c r="B20" s="27" t="s">
        <v>2</v>
      </c>
      <c r="C20" s="160">
        <v>5.498191491131529E-3</v>
      </c>
      <c r="D20" s="160">
        <v>1.3720790802151868E-2</v>
      </c>
      <c r="E20" s="154">
        <v>1.7245229542043029E-2</v>
      </c>
      <c r="F20" s="160">
        <v>0.70549281899550453</v>
      </c>
      <c r="G20" s="154">
        <v>1.6158543822027385E-5</v>
      </c>
      <c r="H20" s="154">
        <v>0.4421091864971286</v>
      </c>
      <c r="I20" s="5"/>
      <c r="J20" s="27" t="s">
        <v>725</v>
      </c>
      <c r="K20" s="27" t="s">
        <v>41</v>
      </c>
      <c r="L20" s="27" t="s">
        <v>42</v>
      </c>
      <c r="M20" s="40" t="s">
        <v>185</v>
      </c>
      <c r="O20" s="27" t="s">
        <v>124</v>
      </c>
      <c r="P20" s="27" t="s">
        <v>607</v>
      </c>
      <c r="Q20" s="27">
        <v>1.2</v>
      </c>
      <c r="R20" s="27" t="s">
        <v>745</v>
      </c>
      <c r="S20" s="27">
        <v>0.4</v>
      </c>
    </row>
    <row r="21" spans="1:20" ht="20" customHeight="1" x14ac:dyDescent="0.2">
      <c r="A21" s="27">
        <v>5</v>
      </c>
      <c r="B21" s="27" t="s">
        <v>43</v>
      </c>
      <c r="C21" s="154">
        <v>2.7325414959528186E-4</v>
      </c>
      <c r="D21" s="160">
        <v>0.24329239036966804</v>
      </c>
      <c r="E21" s="160">
        <v>1.4446952203994605E-2</v>
      </c>
      <c r="F21" s="160">
        <v>1.0090731771779824</v>
      </c>
      <c r="G21" s="154">
        <v>6.2330521521325821E-5</v>
      </c>
      <c r="H21" s="160">
        <v>0.49603678909463539</v>
      </c>
      <c r="I21" s="56"/>
      <c r="J21" s="27" t="s">
        <v>726</v>
      </c>
      <c r="K21" s="27" t="s">
        <v>45</v>
      </c>
      <c r="L21" s="27" t="s">
        <v>45</v>
      </c>
      <c r="M21" s="40"/>
      <c r="O21" s="27" t="s">
        <v>124</v>
      </c>
      <c r="P21" s="27" t="s">
        <v>175</v>
      </c>
      <c r="Q21" s="27">
        <v>1.2</v>
      </c>
      <c r="R21" s="27" t="s">
        <v>752</v>
      </c>
      <c r="S21" s="27">
        <v>0.35</v>
      </c>
    </row>
    <row r="22" spans="1:20" ht="20" customHeight="1" x14ac:dyDescent="0.2">
      <c r="A22" s="27">
        <v>6</v>
      </c>
      <c r="B22" s="27" t="s">
        <v>138</v>
      </c>
      <c r="C22" s="160">
        <v>2.432762664179211E-4</v>
      </c>
      <c r="D22" s="160">
        <v>0.79097577099168459</v>
      </c>
      <c r="E22" s="154">
        <v>1.3261955767881682E-5</v>
      </c>
      <c r="F22" s="160">
        <v>1.8763022076137708</v>
      </c>
      <c r="G22" s="154">
        <v>1.5217890973559184E-2</v>
      </c>
      <c r="H22" s="154">
        <v>7.8461949501476475E-2</v>
      </c>
      <c r="I22" s="5"/>
      <c r="J22" s="27" t="s">
        <v>45</v>
      </c>
      <c r="K22" s="36"/>
      <c r="L22" s="36"/>
      <c r="M22" s="36"/>
      <c r="O22" s="27" t="s">
        <v>124</v>
      </c>
      <c r="P22" s="27" t="s">
        <v>176</v>
      </c>
      <c r="Q22" s="27">
        <v>5.0000000000000001E-3</v>
      </c>
      <c r="R22" s="27" t="s">
        <v>733</v>
      </c>
      <c r="S22" s="27">
        <v>9.81</v>
      </c>
    </row>
    <row r="23" spans="1:20" ht="20" customHeight="1" x14ac:dyDescent="0.2">
      <c r="A23" s="27">
        <v>7</v>
      </c>
      <c r="B23" s="27" t="s">
        <v>126</v>
      </c>
      <c r="C23" s="27" t="s">
        <v>705</v>
      </c>
      <c r="D23" s="27" t="s">
        <v>705</v>
      </c>
      <c r="E23" s="27" t="s">
        <v>705</v>
      </c>
      <c r="F23" s="27" t="s">
        <v>705</v>
      </c>
      <c r="G23" s="27" t="s">
        <v>705</v>
      </c>
      <c r="H23" s="27" t="s">
        <v>705</v>
      </c>
      <c r="I23" s="7"/>
      <c r="O23" s="27" t="s">
        <v>130</v>
      </c>
      <c r="P23" s="27" t="s">
        <v>607</v>
      </c>
      <c r="Q23" s="27">
        <v>1.2</v>
      </c>
      <c r="R23" s="27" t="s">
        <v>734</v>
      </c>
      <c r="S23" s="27">
        <v>5</v>
      </c>
    </row>
    <row r="24" spans="1:20" ht="20" customHeight="1" x14ac:dyDescent="0.2">
      <c r="A24" s="27">
        <v>8</v>
      </c>
      <c r="B24" s="27" t="s">
        <v>49</v>
      </c>
      <c r="C24" s="27" t="s">
        <v>705</v>
      </c>
      <c r="D24" s="27" t="s">
        <v>705</v>
      </c>
      <c r="E24" s="27" t="s">
        <v>705</v>
      </c>
      <c r="F24" s="27" t="s">
        <v>705</v>
      </c>
      <c r="G24" s="27" t="s">
        <v>705</v>
      </c>
      <c r="H24" s="27" t="s">
        <v>705</v>
      </c>
      <c r="I24" s="7"/>
      <c r="J24" s="223" t="s">
        <v>742</v>
      </c>
      <c r="K24" s="223"/>
      <c r="L24" s="223"/>
      <c r="M24" s="223" t="s">
        <v>741</v>
      </c>
      <c r="O24" s="27" t="s">
        <v>130</v>
      </c>
      <c r="P24" s="27" t="s">
        <v>175</v>
      </c>
      <c r="Q24" s="27">
        <v>1.2</v>
      </c>
      <c r="R24" s="27" t="s">
        <v>815</v>
      </c>
      <c r="S24" s="27">
        <v>0.5</v>
      </c>
    </row>
    <row r="25" spans="1:20" ht="20" customHeight="1" x14ac:dyDescent="0.2">
      <c r="A25" s="27">
        <v>9</v>
      </c>
      <c r="B25" s="27" t="s">
        <v>50</v>
      </c>
      <c r="C25" s="27" t="s">
        <v>705</v>
      </c>
      <c r="D25" s="27" t="s">
        <v>705</v>
      </c>
      <c r="E25" s="27" t="s">
        <v>705</v>
      </c>
      <c r="F25" s="27" t="s">
        <v>705</v>
      </c>
      <c r="G25" s="27" t="s">
        <v>705</v>
      </c>
      <c r="H25" s="27" t="s">
        <v>705</v>
      </c>
      <c r="I25" s="7"/>
      <c r="J25" s="17" t="s">
        <v>740</v>
      </c>
      <c r="K25" s="220" t="s">
        <v>743</v>
      </c>
      <c r="L25" s="220"/>
      <c r="M25" s="17" t="s">
        <v>744</v>
      </c>
      <c r="O25" s="27" t="s">
        <v>130</v>
      </c>
      <c r="P25" s="27" t="s">
        <v>176</v>
      </c>
      <c r="Q25" s="27">
        <v>5.0000000000000001E-3</v>
      </c>
      <c r="R25" s="27" t="s">
        <v>816</v>
      </c>
      <c r="S25" s="27">
        <v>0.04</v>
      </c>
    </row>
    <row r="26" spans="1:20" ht="20" customHeight="1" x14ac:dyDescent="0.2">
      <c r="A26" s="27">
        <v>10</v>
      </c>
      <c r="B26" s="27" t="s">
        <v>51</v>
      </c>
      <c r="C26" s="27" t="s">
        <v>705</v>
      </c>
      <c r="D26" s="27" t="s">
        <v>705</v>
      </c>
      <c r="E26" s="27" t="s">
        <v>705</v>
      </c>
      <c r="F26" s="27" t="s">
        <v>705</v>
      </c>
      <c r="G26" s="27" t="s">
        <v>705</v>
      </c>
      <c r="H26" s="27" t="s">
        <v>705</v>
      </c>
      <c r="I26" s="7"/>
      <c r="J26" s="27" t="s">
        <v>748</v>
      </c>
      <c r="K26" s="225" t="s">
        <v>705</v>
      </c>
      <c r="L26" s="225"/>
      <c r="M26" s="27" t="s">
        <v>705</v>
      </c>
      <c r="O26" s="27" t="s">
        <v>718</v>
      </c>
      <c r="P26" s="27" t="s">
        <v>444</v>
      </c>
      <c r="Q26" s="155">
        <v>1.5</v>
      </c>
      <c r="R26" s="27" t="s">
        <v>735</v>
      </c>
      <c r="S26" s="27">
        <v>0.02</v>
      </c>
    </row>
    <row r="27" spans="1:20" ht="20" customHeight="1" x14ac:dyDescent="0.2">
      <c r="C27" s="56"/>
      <c r="D27" s="57"/>
      <c r="E27" s="7"/>
      <c r="F27" s="57"/>
      <c r="G27" s="7"/>
      <c r="H27" s="7"/>
      <c r="I27" s="7"/>
      <c r="J27" s="40" t="s">
        <v>747</v>
      </c>
      <c r="K27" s="221" t="s">
        <v>746</v>
      </c>
      <c r="L27" s="221"/>
      <c r="M27" s="40">
        <v>5.0000000000000001E-3</v>
      </c>
      <c r="O27" s="165" t="s">
        <v>749</v>
      </c>
      <c r="P27" s="165"/>
      <c r="Q27" s="165"/>
      <c r="R27" s="27" t="s">
        <v>753</v>
      </c>
      <c r="S27" s="27">
        <v>1E-3</v>
      </c>
    </row>
    <row r="28" spans="1:20" ht="20" customHeight="1" x14ac:dyDescent="0.2">
      <c r="C28" s="175"/>
      <c r="D28" s="175"/>
      <c r="E28" s="175"/>
      <c r="F28" s="175"/>
      <c r="G28" s="175"/>
      <c r="H28" s="175"/>
      <c r="I28" s="175"/>
      <c r="J28" s="40" t="s">
        <v>965</v>
      </c>
      <c r="K28" s="221" t="s">
        <v>966</v>
      </c>
      <c r="L28" s="221"/>
      <c r="M28" s="40">
        <v>0.02</v>
      </c>
      <c r="O28" s="46" t="s">
        <v>977</v>
      </c>
      <c r="P28" s="43" t="s">
        <v>973</v>
      </c>
      <c r="Q28" s="43">
        <f>11*4/10^4</f>
        <v>4.4000000000000003E-3</v>
      </c>
      <c r="R28" s="43" t="s">
        <v>974</v>
      </c>
      <c r="S28" s="43" t="s">
        <v>978</v>
      </c>
    </row>
    <row r="29" spans="1:20" ht="20" customHeight="1" x14ac:dyDescent="0.2">
      <c r="C29" s="14"/>
      <c r="D29" s="14"/>
      <c r="E29" s="14"/>
      <c r="F29" s="14"/>
      <c r="G29" s="14"/>
      <c r="H29" s="14"/>
      <c r="I29" s="14"/>
      <c r="J29" s="40" t="s">
        <v>967</v>
      </c>
      <c r="K29" s="221" t="s">
        <v>968</v>
      </c>
      <c r="L29" s="221"/>
      <c r="M29" s="40">
        <v>0.2</v>
      </c>
      <c r="O29" s="60" t="s">
        <v>975</v>
      </c>
      <c r="P29" s="60"/>
      <c r="Q29" s="60"/>
      <c r="R29" s="60"/>
      <c r="S29" s="60"/>
    </row>
    <row r="30" spans="1:20" ht="20" customHeight="1" x14ac:dyDescent="0.2">
      <c r="J30" s="40" t="s">
        <v>969</v>
      </c>
      <c r="K30" s="221" t="s">
        <v>970</v>
      </c>
      <c r="L30" s="221"/>
      <c r="M30" s="40">
        <v>0.5</v>
      </c>
      <c r="O30" s="60" t="s">
        <v>976</v>
      </c>
      <c r="P30" s="60"/>
      <c r="Q30" s="60"/>
      <c r="R30" s="60"/>
      <c r="S30" s="60"/>
    </row>
    <row r="31" spans="1:20" ht="20" customHeight="1" x14ac:dyDescent="0.2">
      <c r="J31" s="27" t="s">
        <v>971</v>
      </c>
      <c r="K31" s="221" t="s">
        <v>972</v>
      </c>
      <c r="L31" s="221"/>
      <c r="M31" s="155">
        <v>1</v>
      </c>
    </row>
    <row r="33" spans="3:13" ht="20" customHeight="1" x14ac:dyDescent="0.2">
      <c r="J33" s="11"/>
      <c r="K33" s="16"/>
      <c r="L33" s="16"/>
      <c r="M33" s="11"/>
    </row>
    <row r="34" spans="3:13" ht="20" customHeight="1" x14ac:dyDescent="0.2">
      <c r="J34" s="11"/>
      <c r="K34" s="16"/>
      <c r="L34" s="16"/>
      <c r="M34" s="11"/>
    </row>
    <row r="35" spans="3:13" ht="20" customHeight="1" x14ac:dyDescent="0.2">
      <c r="J35" s="11"/>
      <c r="K35" s="16"/>
      <c r="L35" s="16"/>
      <c r="M35" s="11"/>
    </row>
    <row r="36" spans="3:13" ht="20" customHeight="1" x14ac:dyDescent="0.2">
      <c r="J36" s="11"/>
      <c r="K36" s="16"/>
      <c r="L36" s="16"/>
      <c r="M36" s="11"/>
    </row>
    <row r="39" spans="3:13" ht="20" customHeight="1" x14ac:dyDescent="0.2">
      <c r="C39" s="2"/>
      <c r="D39" s="2"/>
      <c r="E39" s="2"/>
      <c r="F39" s="2"/>
      <c r="G39" s="2"/>
      <c r="H39" s="2"/>
      <c r="I39" s="2"/>
    </row>
  </sheetData>
  <mergeCells count="14">
    <mergeCell ref="K28:L28"/>
    <mergeCell ref="K29:L29"/>
    <mergeCell ref="K30:L30"/>
    <mergeCell ref="K31:L31"/>
    <mergeCell ref="K26:L26"/>
    <mergeCell ref="K25:L25"/>
    <mergeCell ref="K27:L27"/>
    <mergeCell ref="O11:S13"/>
    <mergeCell ref="A2:H2"/>
    <mergeCell ref="A15:H15"/>
    <mergeCell ref="J2:M2"/>
    <mergeCell ref="J24:M24"/>
    <mergeCell ref="O2:S2"/>
    <mergeCell ref="J16:M16"/>
  </mergeCells>
  <phoneticPr fontId="7" type="noConversion"/>
  <dataValidations count="1">
    <dataValidation type="list" allowBlank="1" showInputMessage="1" showErrorMessage="1" sqref="S28" xr:uid="{C78F0B0C-0963-F64B-901E-CC54D52396C6}">
      <formula1>$J$26:$J$31</formula1>
    </dataValidation>
  </dataValidation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9CC83-C306-3C4A-B529-34E1ACB23F20}">
  <dimension ref="A1:AM108"/>
  <sheetViews>
    <sheetView zoomScaleNormal="100" workbookViewId="0"/>
  </sheetViews>
  <sheetFormatPr baseColWidth="10" defaultColWidth="15.83203125" defaultRowHeight="20" customHeight="1" x14ac:dyDescent="0.2"/>
  <cols>
    <col min="1" max="1" width="12.33203125" style="11" customWidth="1"/>
    <col min="2" max="2" width="10.83203125" style="4" customWidth="1"/>
    <col min="3" max="3" width="10.6640625" style="4" customWidth="1"/>
    <col min="4" max="4" width="12.83203125" style="4" customWidth="1"/>
    <col min="5" max="5" width="19.33203125" style="4" customWidth="1"/>
    <col min="6" max="6" width="23.83203125" style="4" customWidth="1"/>
    <col min="7" max="9" width="12.1640625" style="4" customWidth="1"/>
    <col min="10" max="10" width="16" style="4" customWidth="1"/>
    <col min="11" max="11" width="12.1640625" style="4" customWidth="1"/>
    <col min="12" max="12" width="11" style="4" customWidth="1"/>
    <col min="13" max="13" width="33.33203125" style="4" customWidth="1"/>
    <col min="14" max="14" width="54.83203125" style="4" customWidth="1"/>
    <col min="15" max="15" width="44.83203125" style="4" customWidth="1"/>
    <col min="16" max="16" width="17.83203125" style="4" customWidth="1"/>
    <col min="17" max="18" width="13.83203125" style="4" customWidth="1"/>
    <col min="19" max="19" width="10.83203125" style="4" customWidth="1"/>
    <col min="20" max="20" width="15.6640625" style="4" customWidth="1"/>
    <col min="21" max="21" width="11.83203125" style="4" customWidth="1"/>
    <col min="22" max="22" width="13.33203125" style="4" customWidth="1"/>
    <col min="23" max="23" width="11.83203125" style="4" customWidth="1"/>
    <col min="24" max="24" width="12.1640625" style="4" customWidth="1"/>
    <col min="25" max="25" width="12.83203125" style="4" customWidth="1"/>
    <col min="26" max="26" width="9.83203125" style="4" customWidth="1"/>
    <col min="27" max="27" width="8.33203125" style="4" customWidth="1"/>
    <col min="28" max="28" width="15.6640625" style="4" customWidth="1"/>
    <col min="29" max="30" width="8.6640625" style="4" customWidth="1"/>
    <col min="31" max="31" width="13.83203125" style="4" customWidth="1"/>
    <col min="32" max="32" width="10.6640625" style="4" customWidth="1"/>
    <col min="33" max="33" width="13" style="4" customWidth="1"/>
    <col min="34" max="34" width="10.83203125" style="4" customWidth="1"/>
    <col min="35" max="35" width="10.83203125" style="5" customWidth="1"/>
    <col min="36" max="36" width="11" style="5" customWidth="1"/>
    <col min="37" max="37" width="10.83203125" style="4" customWidth="1"/>
    <col min="38" max="38" width="13" style="4" customWidth="1"/>
    <col min="39" max="39" width="64.83203125" style="4" customWidth="1"/>
    <col min="40" max="40" width="15.83203125" style="4" customWidth="1"/>
    <col min="41" max="16384" width="15.83203125" style="4"/>
  </cols>
  <sheetData>
    <row r="1" spans="1:39" ht="20" customHeight="1" x14ac:dyDescent="0.2">
      <c r="A1" s="162" t="s">
        <v>992</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4"/>
      <c r="AJ1" s="174"/>
      <c r="AK1" s="173"/>
      <c r="AL1" s="173"/>
    </row>
    <row r="2" spans="1:39" ht="20" customHeight="1" x14ac:dyDescent="0.2">
      <c r="A2" s="82" t="s">
        <v>250</v>
      </c>
      <c r="B2" s="231"/>
      <c r="C2" s="218"/>
      <c r="D2" s="218"/>
      <c r="E2" s="83"/>
      <c r="F2" s="232" t="s">
        <v>251</v>
      </c>
      <c r="G2" s="232"/>
      <c r="H2" s="232"/>
      <c r="I2" s="232"/>
      <c r="J2" s="232"/>
      <c r="K2" s="232"/>
      <c r="L2" s="232"/>
      <c r="M2" s="233" t="s">
        <v>252</v>
      </c>
      <c r="N2" s="218"/>
      <c r="O2" s="218"/>
      <c r="P2" s="218"/>
      <c r="Q2" s="226" t="s">
        <v>253</v>
      </c>
      <c r="R2" s="227"/>
      <c r="S2" s="227"/>
      <c r="T2" s="227"/>
      <c r="U2" s="227"/>
      <c r="V2" s="227"/>
      <c r="W2" s="227"/>
      <c r="X2" s="227"/>
      <c r="Y2" s="227"/>
      <c r="Z2" s="227"/>
      <c r="AA2" s="227"/>
      <c r="AB2" s="227"/>
      <c r="AC2" s="227"/>
      <c r="AD2" s="227"/>
      <c r="AE2" s="227"/>
      <c r="AF2" s="227"/>
      <c r="AG2" s="227"/>
      <c r="AH2" s="227"/>
      <c r="AI2" s="228" t="s">
        <v>254</v>
      </c>
      <c r="AJ2" s="228"/>
      <c r="AK2" s="228"/>
      <c r="AL2" s="228"/>
      <c r="AM2" s="84" t="s">
        <v>255</v>
      </c>
    </row>
    <row r="3" spans="1:39" s="91" customFormat="1" ht="20" customHeight="1" x14ac:dyDescent="0.2">
      <c r="A3" s="82" t="s">
        <v>53</v>
      </c>
      <c r="B3" s="85" t="s">
        <v>256</v>
      </c>
      <c r="C3" s="85" t="s">
        <v>19</v>
      </c>
      <c r="D3" s="85" t="s">
        <v>20</v>
      </c>
      <c r="E3" s="85" t="s">
        <v>257</v>
      </c>
      <c r="F3" s="86" t="s">
        <v>27</v>
      </c>
      <c r="G3" s="86" t="s">
        <v>258</v>
      </c>
      <c r="H3" s="86" t="s">
        <v>259</v>
      </c>
      <c r="I3" s="86" t="s">
        <v>260</v>
      </c>
      <c r="J3" s="86" t="s">
        <v>261</v>
      </c>
      <c r="K3" s="86" t="s">
        <v>262</v>
      </c>
      <c r="L3" s="86" t="s">
        <v>263</v>
      </c>
      <c r="M3" s="87" t="s">
        <v>264</v>
      </c>
      <c r="N3" s="64" t="s">
        <v>265</v>
      </c>
      <c r="O3" s="64" t="s">
        <v>266</v>
      </c>
      <c r="P3" s="64" t="s">
        <v>28</v>
      </c>
      <c r="Q3" s="46" t="s">
        <v>267</v>
      </c>
      <c r="R3" s="46" t="s">
        <v>268</v>
      </c>
      <c r="S3" s="46" t="s">
        <v>269</v>
      </c>
      <c r="T3" s="46" t="s">
        <v>270</v>
      </c>
      <c r="U3" s="46" t="s">
        <v>271</v>
      </c>
      <c r="V3" s="46" t="s">
        <v>272</v>
      </c>
      <c r="W3" s="46" t="s">
        <v>273</v>
      </c>
      <c r="X3" s="46" t="s">
        <v>274</v>
      </c>
      <c r="Y3" s="46" t="s">
        <v>275</v>
      </c>
      <c r="Z3" s="46" t="s">
        <v>276</v>
      </c>
      <c r="AA3" s="46" t="s">
        <v>277</v>
      </c>
      <c r="AB3" s="46" t="s">
        <v>278</v>
      </c>
      <c r="AC3" s="46" t="s">
        <v>279</v>
      </c>
      <c r="AD3" s="46" t="s">
        <v>280</v>
      </c>
      <c r="AE3" s="46" t="s">
        <v>281</v>
      </c>
      <c r="AF3" s="46" t="s">
        <v>282</v>
      </c>
      <c r="AG3" s="46" t="s">
        <v>283</v>
      </c>
      <c r="AH3" s="46" t="s">
        <v>284</v>
      </c>
      <c r="AI3" s="88" t="s">
        <v>285</v>
      </c>
      <c r="AJ3" s="88" t="s">
        <v>286</v>
      </c>
      <c r="AK3" s="89" t="s">
        <v>105</v>
      </c>
      <c r="AL3" s="89" t="s">
        <v>287</v>
      </c>
      <c r="AM3" s="90"/>
    </row>
    <row r="4" spans="1:39" ht="20" customHeight="1" x14ac:dyDescent="0.2">
      <c r="A4" s="32" t="s">
        <v>59</v>
      </c>
      <c r="B4" s="83">
        <f t="shared" ref="B4:B59" si="0">L4</f>
        <v>11.169999999999998</v>
      </c>
      <c r="C4" s="83">
        <f t="shared" ref="C4:C59" si="1">AH4</f>
        <v>0</v>
      </c>
      <c r="D4" s="83">
        <f t="shared" ref="D4:D59" si="2">AL4</f>
        <v>0</v>
      </c>
      <c r="E4" s="83" t="s">
        <v>60</v>
      </c>
      <c r="F4" s="34" t="s">
        <v>647</v>
      </c>
      <c r="G4" s="34">
        <v>11.01</v>
      </c>
      <c r="H4" s="34">
        <v>0.12</v>
      </c>
      <c r="I4" s="34">
        <v>0.04</v>
      </c>
      <c r="J4" s="34"/>
      <c r="K4" s="34"/>
      <c r="L4" s="34" cm="1">
        <f t="array" ref="L4">_xlfn.SWITCH(F4, "Artificial UV", G4+H4+I4, "Sunlight (intensity given)", 0.05*J4, "Sunlight (UV Index given)", 1.6*K4, "UV + Sunlight (Intensity)", G4+H4+I4+0.05*J4, "N.A.", 0)</f>
        <v>11.169999999999998</v>
      </c>
      <c r="M4" s="92" t="s">
        <v>288</v>
      </c>
      <c r="N4" s="92"/>
      <c r="O4" s="92"/>
      <c r="P4" s="92" t="s">
        <v>45</v>
      </c>
      <c r="Q4" s="43"/>
      <c r="R4" s="43"/>
      <c r="S4" s="43"/>
      <c r="T4" s="43"/>
      <c r="U4" s="43"/>
      <c r="V4" s="43"/>
      <c r="W4" s="43"/>
      <c r="X4" s="43"/>
      <c r="Y4" s="43"/>
      <c r="Z4" s="43"/>
      <c r="AA4" s="43"/>
      <c r="AB4" s="43"/>
      <c r="AC4" s="43"/>
      <c r="AD4" s="43"/>
      <c r="AE4" s="43"/>
      <c r="AF4" s="93"/>
      <c r="AG4" s="43"/>
      <c r="AH4" s="43">
        <f t="array" ref="AH4">_xlfn.SWITCH(P4, "Frictional force", AG4*AB4*1000, "Drag force", AG4*AB4*1000, "Shear force", AG4*AB4*1000, "N.A.", 0)</f>
        <v>0</v>
      </c>
      <c r="AI4" s="94" t="s">
        <v>45</v>
      </c>
      <c r="AJ4" s="94"/>
      <c r="AK4" s="95"/>
      <c r="AL4" s="95" cm="1">
        <f t="array" ref="AL4">_xlfn.SWITCH(AI4, "CFU/ml", AK4, "Cells/ml", 0.8*AK4, "OD600", 1.77*10^9*AK4, "N.A.", 0)</f>
        <v>0</v>
      </c>
      <c r="AM4" s="27"/>
    </row>
    <row r="5" spans="1:39" ht="20" customHeight="1" x14ac:dyDescent="0.2">
      <c r="A5" s="32" t="s">
        <v>62</v>
      </c>
      <c r="B5" s="83">
        <f t="shared" si="0"/>
        <v>27.5</v>
      </c>
      <c r="C5" s="83">
        <f t="shared" si="1"/>
        <v>0</v>
      </c>
      <c r="D5" s="83">
        <f t="shared" si="2"/>
        <v>0</v>
      </c>
      <c r="E5" s="83" t="s">
        <v>64</v>
      </c>
      <c r="F5" s="34" t="s">
        <v>36</v>
      </c>
      <c r="G5" s="34"/>
      <c r="H5" s="34"/>
      <c r="I5" s="34"/>
      <c r="J5" s="34">
        <v>550</v>
      </c>
      <c r="K5" s="34"/>
      <c r="L5" s="34" cm="1">
        <f t="array" ref="L5">_xlfn.SWITCH(F5, "Artificial UV", G5+H5+I5, "Sunlight (intensity given)", 0.05*J5, "Sunlight (UV Index given)", 1.6*K5, "UV + Sunlight (Intensity)", G5+H5+I5+0.05*J5, "N.A.", 0)</f>
        <v>27.5</v>
      </c>
      <c r="M5" s="47" t="s">
        <v>289</v>
      </c>
      <c r="N5" s="92"/>
      <c r="O5" s="92"/>
      <c r="P5" s="92" t="s">
        <v>45</v>
      </c>
      <c r="Q5" s="43"/>
      <c r="R5" s="43"/>
      <c r="S5" s="43"/>
      <c r="T5" s="43"/>
      <c r="U5" s="43"/>
      <c r="V5" s="43"/>
      <c r="W5" s="43"/>
      <c r="X5" s="43"/>
      <c r="Y5" s="43"/>
      <c r="Z5" s="43"/>
      <c r="AA5" s="43"/>
      <c r="AB5" s="96"/>
      <c r="AC5" s="43"/>
      <c r="AD5" s="43"/>
      <c r="AE5" s="43"/>
      <c r="AF5" s="43"/>
      <c r="AG5" s="43"/>
      <c r="AH5" s="43">
        <f t="array" ref="AH5">_xlfn.SWITCH(P5, "Frictional force", AG5*AB5*1000, "Drag force", AG5*AB5*1000, "Shear force", AG5*AB5*1000, "N.A.", 0)</f>
        <v>0</v>
      </c>
      <c r="AI5" s="94" t="s">
        <v>45</v>
      </c>
      <c r="AJ5" s="94"/>
      <c r="AK5" s="95"/>
      <c r="AL5" s="95" cm="1">
        <f t="array" ref="AL5">_xlfn.SWITCH(AI5, "CFU/ml", AK5, "Cells/ml", 0.8*AK5, "OD600", 1.77*10^9*AK5, "N.A.", 0)</f>
        <v>0</v>
      </c>
      <c r="AM5" s="27"/>
    </row>
    <row r="6" spans="1:39" ht="20" customHeight="1" x14ac:dyDescent="0.2">
      <c r="A6" s="32" t="s">
        <v>63</v>
      </c>
      <c r="B6" s="83">
        <f t="shared" si="0"/>
        <v>27.5</v>
      </c>
      <c r="C6" s="83">
        <f t="shared" si="1"/>
        <v>0</v>
      </c>
      <c r="D6" s="83">
        <f t="shared" si="2"/>
        <v>0</v>
      </c>
      <c r="E6" s="83" t="s">
        <v>67</v>
      </c>
      <c r="F6" s="34" t="s">
        <v>36</v>
      </c>
      <c r="G6" s="34"/>
      <c r="H6" s="34"/>
      <c r="I6" s="34"/>
      <c r="J6" s="34">
        <v>550</v>
      </c>
      <c r="K6" s="34"/>
      <c r="L6" s="34" cm="1">
        <f t="array" ref="L6">_xlfn.SWITCH(F6, "Artificial UV", G6+H6+I6, "Sunlight (intensity given)", 0.05*J6, "Sunlight (UV Index given)", 1.6*K6, "UV + Sunlight (Intensity)", G6+H6+I6+0.05*J6, "N.A.", 0)</f>
        <v>27.5</v>
      </c>
      <c r="M6" s="48" t="s">
        <v>290</v>
      </c>
      <c r="N6" s="92"/>
      <c r="O6" s="92"/>
      <c r="P6" s="92" t="s">
        <v>45</v>
      </c>
      <c r="Q6" s="43"/>
      <c r="R6" s="43"/>
      <c r="S6" s="43"/>
      <c r="T6" s="43"/>
      <c r="U6" s="43"/>
      <c r="V6" s="43"/>
      <c r="W6" s="43"/>
      <c r="X6" s="43"/>
      <c r="Y6" s="43"/>
      <c r="Z6" s="43"/>
      <c r="AA6" s="43"/>
      <c r="AB6" s="96"/>
      <c r="AC6" s="43"/>
      <c r="AD6" s="43"/>
      <c r="AE6" s="43"/>
      <c r="AF6" s="43"/>
      <c r="AG6" s="43"/>
      <c r="AH6" s="43">
        <f t="array" ref="AH6">_xlfn.SWITCH(P6, "Frictional force", AG6*AB6*1000, "Drag force", AG6*AB6*1000, "Shear force", AG6*AB6*1000, "N.A.", 0)</f>
        <v>0</v>
      </c>
      <c r="AI6" s="94" t="s">
        <v>45</v>
      </c>
      <c r="AJ6" s="94"/>
      <c r="AK6" s="95"/>
      <c r="AL6" s="95" cm="1">
        <f t="array" ref="AL6">_xlfn.SWITCH(AI6, "CFU/ml", AK6, "Cells/ml", 0.8*AK6, "OD600", 1.77*10^9*AK6, "N.A.", 0)</f>
        <v>0</v>
      </c>
      <c r="AM6" s="27"/>
    </row>
    <row r="7" spans="1:39" ht="20" customHeight="1" x14ac:dyDescent="0.2">
      <c r="A7" s="32" t="s">
        <v>66</v>
      </c>
      <c r="B7" s="83">
        <f t="shared" si="0"/>
        <v>0</v>
      </c>
      <c r="C7" s="112">
        <f t="shared" si="1"/>
        <v>2.7774403644125034E-2</v>
      </c>
      <c r="D7" s="83">
        <f t="shared" si="2"/>
        <v>0</v>
      </c>
      <c r="E7" s="83" t="s">
        <v>60</v>
      </c>
      <c r="F7" s="34" t="s">
        <v>45</v>
      </c>
      <c r="G7" s="34"/>
      <c r="H7" s="34"/>
      <c r="I7" s="34"/>
      <c r="J7" s="34"/>
      <c r="K7" s="34"/>
      <c r="L7" s="34" cm="1">
        <f t="array" ref="L7">_xlfn.SWITCH(F7, "Artificial UV", G7+H7+I7, "Sunlight (intensity given)", 0.05*J7, "Sunlight (UV Index given)", 1.6*K7, "UV + Sunlight (Intensity)", G7+H7+I7+0.05*J7, "N.A.", 0)</f>
        <v>0</v>
      </c>
      <c r="M7" s="92" t="s">
        <v>288</v>
      </c>
      <c r="N7" s="92" t="s">
        <v>291</v>
      </c>
      <c r="O7" s="98" t="s">
        <v>706</v>
      </c>
      <c r="P7" s="92" t="s">
        <v>33</v>
      </c>
      <c r="Q7" s="43">
        <f>0.9*19/1000</f>
        <v>1.7100000000000001E-2</v>
      </c>
      <c r="R7" s="99">
        <f>(3*19/4/PI())^(1/3)/1000</f>
        <v>1.655344272701427E-3</v>
      </c>
      <c r="S7" s="43">
        <v>37</v>
      </c>
      <c r="T7" s="43">
        <v>1.4999999999999999E-2</v>
      </c>
      <c r="U7" s="100">
        <f t="shared" ref="U7:U12" si="3">S7*2*PI()/60</f>
        <v>3.8746309394274117</v>
      </c>
      <c r="V7" s="100">
        <f>U7*T7</f>
        <v>5.8119464091411173E-2</v>
      </c>
      <c r="W7" s="43">
        <v>50</v>
      </c>
      <c r="X7" s="99">
        <f>2*R7</f>
        <v>3.310688545402854E-3</v>
      </c>
      <c r="Y7" s="96">
        <f>R7^2/T7^2</f>
        <v>1.2178509605179627E-2</v>
      </c>
      <c r="Z7" s="96">
        <f>(Y7*W7)*9.81/1000</f>
        <v>5.9735589613406073E-3</v>
      </c>
      <c r="AA7" s="43">
        <v>0.2</v>
      </c>
      <c r="AB7" s="100">
        <f t="shared" ref="AB7:AB12" si="4">AA7*V7</f>
        <v>1.1623892818282236E-2</v>
      </c>
      <c r="AC7" s="43"/>
      <c r="AD7" s="43"/>
      <c r="AE7" s="43"/>
      <c r="AF7" s="43"/>
      <c r="AG7" s="96">
        <f t="array" ref="AG7">_xlfn.SWITCH(P7, "Frictional force", 0.4*Z7, "Drag force", 6*PI()*R7*0.001*AB7, "Shear force", AD7*AF7)</f>
        <v>2.3894235845362431E-3</v>
      </c>
      <c r="AH7" s="96">
        <f t="array" ref="AH7">_xlfn.SWITCH(P7, "Frictional force", AG7*AB7*1000, "Drag force", AG7*AB7*1000, "Shear force", AG7*AB7*1000, "N.A.", 0)</f>
        <v>2.7774403644125034E-2</v>
      </c>
      <c r="AI7" s="94" t="s">
        <v>45</v>
      </c>
      <c r="AJ7" s="94"/>
      <c r="AK7" s="95"/>
      <c r="AL7" s="95" cm="1">
        <f t="array" ref="AL7">_xlfn.SWITCH(AI7, "CFU/ml", AK7, "Cells/ml", 0.8*AK7, "OD600", 1.77*10^9*AK7, "N.A.", 0)</f>
        <v>0</v>
      </c>
      <c r="AM7" s="27"/>
    </row>
    <row r="8" spans="1:39" ht="20" customHeight="1" x14ac:dyDescent="0.2">
      <c r="A8" s="32" t="s">
        <v>292</v>
      </c>
      <c r="B8" s="83">
        <f t="shared" si="0"/>
        <v>0</v>
      </c>
      <c r="C8" s="97">
        <f t="shared" si="1"/>
        <v>0.29608813203268075</v>
      </c>
      <c r="D8" s="83">
        <f t="shared" si="2"/>
        <v>0</v>
      </c>
      <c r="E8" s="83" t="s">
        <v>67</v>
      </c>
      <c r="F8" s="34" t="s">
        <v>45</v>
      </c>
      <c r="G8" s="101"/>
      <c r="H8" s="34"/>
      <c r="I8" s="101"/>
      <c r="J8" s="34"/>
      <c r="K8" s="34"/>
      <c r="L8" s="34" cm="1">
        <f t="array" ref="L8">_xlfn.SWITCH(F8, "Artificial UV", G8+H8+I8, "Sunlight (intensity given)", 0.05*J8, "Sunlight (UV Index given)", 1.6*K8, "UV + Sunlight (Intensity)", G8+H8+I8+0.05*J8, "N.A.", 0)</f>
        <v>0</v>
      </c>
      <c r="M8" s="48" t="s">
        <v>290</v>
      </c>
      <c r="N8" s="35" t="s">
        <v>293</v>
      </c>
      <c r="O8" s="102" t="s">
        <v>294</v>
      </c>
      <c r="P8" s="92" t="s">
        <v>41</v>
      </c>
      <c r="Q8" s="60"/>
      <c r="R8" s="60"/>
      <c r="S8" s="60">
        <v>3000</v>
      </c>
      <c r="T8" s="60">
        <v>0.01</v>
      </c>
      <c r="U8" s="103">
        <f t="shared" si="3"/>
        <v>314.15926535897933</v>
      </c>
      <c r="V8" s="100">
        <f>U8*T8</f>
        <v>3.1415926535897931</v>
      </c>
      <c r="W8" s="60"/>
      <c r="X8" s="60"/>
      <c r="Y8" s="60"/>
      <c r="Z8" s="60"/>
      <c r="AA8" s="43">
        <v>0.2</v>
      </c>
      <c r="AB8" s="100">
        <f t="shared" si="4"/>
        <v>0.62831853071795862</v>
      </c>
      <c r="AC8" s="104">
        <f>AB8/0.001</f>
        <v>628.31853071795865</v>
      </c>
      <c r="AD8" s="105">
        <f>0.001*AC8</f>
        <v>0.62831853071795862</v>
      </c>
      <c r="AE8" s="105"/>
      <c r="AF8" s="60">
        <f>1*(5*1.5)/10^4</f>
        <v>7.5000000000000002E-4</v>
      </c>
      <c r="AG8" s="99" cm="1">
        <f t="array" ref="AG8">_xlfn.SWITCH(P8, "Frictional force", 0.4*Z8, "Drag force", 6*PI()*R8*0.001*AB8, "Shear force", AD8*AF8)</f>
        <v>4.7123889803846896E-4</v>
      </c>
      <c r="AH8" s="100">
        <f t="array" ref="AH8">_xlfn.SWITCH(P8, "Frictional force", AG8*AB8*1000, "Drag force", AG8*AB8*1000, "Shear force", AG8*AB8*1000, "N.A.", 0)</f>
        <v>0.29608813203268075</v>
      </c>
      <c r="AI8" s="94" t="s">
        <v>45</v>
      </c>
      <c r="AJ8" s="94"/>
      <c r="AK8" s="95"/>
      <c r="AL8" s="95" cm="1">
        <f t="array" ref="AL8">_xlfn.SWITCH(AI8, "CFU/ml", AK8, "Cells/ml", 0.8*AK8, "OD600", 1.77*10^9*AK8, "N.A.", 0)</f>
        <v>0</v>
      </c>
      <c r="AM8" s="27"/>
    </row>
    <row r="9" spans="1:39" s="11" customFormat="1" ht="35" customHeight="1" x14ac:dyDescent="0.2">
      <c r="A9" s="32" t="s">
        <v>69</v>
      </c>
      <c r="B9" s="33">
        <f t="shared" si="0"/>
        <v>0</v>
      </c>
      <c r="C9" s="106">
        <f t="shared" si="1"/>
        <v>9.8696044010893585E-3</v>
      </c>
      <c r="D9" s="83">
        <f t="shared" si="2"/>
        <v>0</v>
      </c>
      <c r="E9" s="33" t="s">
        <v>73</v>
      </c>
      <c r="F9" s="34" t="s">
        <v>45</v>
      </c>
      <c r="G9" s="22"/>
      <c r="H9" s="22"/>
      <c r="I9" s="22"/>
      <c r="J9" s="22"/>
      <c r="K9" s="22"/>
      <c r="L9" s="34" cm="1">
        <f t="array" ref="L9">_xlfn.SWITCH(F9, "Artificial UV", G9+H9+I9, "Sunlight (intensity given)", 0.05*J9, "Sunlight (UV Index given)", 1.6*K9, "UV + Sunlight (Intensity)", G9+H9+I9+0.05*J9, "N.A.", 0)</f>
        <v>0</v>
      </c>
      <c r="M9" s="35" t="s">
        <v>295</v>
      </c>
      <c r="N9" s="102" t="s">
        <v>296</v>
      </c>
      <c r="O9" s="35" t="s">
        <v>297</v>
      </c>
      <c r="P9" s="92" t="s">
        <v>41</v>
      </c>
      <c r="Q9" s="60"/>
      <c r="R9" s="60"/>
      <c r="S9" s="60">
        <v>30</v>
      </c>
      <c r="T9" s="60">
        <v>0.25</v>
      </c>
      <c r="U9" s="105">
        <f t="shared" si="3"/>
        <v>3.1415926535897927</v>
      </c>
      <c r="V9" s="105">
        <f>T9*U9</f>
        <v>0.78539816339744817</v>
      </c>
      <c r="W9" s="60"/>
      <c r="X9" s="60"/>
      <c r="Y9" s="60"/>
      <c r="Z9" s="60"/>
      <c r="AA9" s="60">
        <v>0.2</v>
      </c>
      <c r="AB9" s="100">
        <f t="shared" si="4"/>
        <v>0.15707963267948966</v>
      </c>
      <c r="AC9" s="104">
        <f>AB9/0.001</f>
        <v>157.07963267948966</v>
      </c>
      <c r="AD9" s="105">
        <f>0.001*AC9</f>
        <v>0.15707963267948966</v>
      </c>
      <c r="AE9" s="105"/>
      <c r="AF9" s="60">
        <f>1*(2*2)/10^4</f>
        <v>4.0000000000000002E-4</v>
      </c>
      <c r="AG9" s="99">
        <f t="array" ref="AG9">_xlfn.SWITCH(P9, "Frictional force", 0.4*Z9, "Drag force", 6*PI()*R9*0.001*AB9, "Shear force", AD9*AF9)</f>
        <v>6.283185307179587E-5</v>
      </c>
      <c r="AH9" s="99">
        <f t="array" ref="AH9">_xlfn.SWITCH(P9, "Frictional force", AG9*AB9*1000, "Drag force", AG9*AB9*1000, "Shear force", AG9*AB9*1000, "N.A.", 0)</f>
        <v>9.8696044010893585E-3</v>
      </c>
      <c r="AI9" s="94" t="s">
        <v>45</v>
      </c>
      <c r="AJ9" s="94"/>
      <c r="AK9" s="37"/>
      <c r="AL9" s="95" cm="1">
        <f t="array" ref="AL9">_xlfn.SWITCH(AI9, "CFU/ml", AK9, "Cells/ml", 0.8*AK9, "OD600", 1.77*10^9*AK9, "N.A.", 0)</f>
        <v>0</v>
      </c>
      <c r="AM9" s="40"/>
    </row>
    <row r="10" spans="1:39" s="11" customFormat="1" ht="20" customHeight="1" x14ac:dyDescent="0.2">
      <c r="A10" s="32" t="s">
        <v>72</v>
      </c>
      <c r="B10" s="33">
        <f t="shared" si="0"/>
        <v>0</v>
      </c>
      <c r="C10" s="106">
        <f t="shared" si="1"/>
        <v>1.1229416563017226E-4</v>
      </c>
      <c r="D10" s="83">
        <f t="shared" si="2"/>
        <v>0</v>
      </c>
      <c r="E10" s="33" t="s">
        <v>298</v>
      </c>
      <c r="F10" s="34" t="s">
        <v>45</v>
      </c>
      <c r="G10" s="22"/>
      <c r="H10" s="22"/>
      <c r="I10" s="22"/>
      <c r="J10" s="22"/>
      <c r="K10" s="22"/>
      <c r="L10" s="34" cm="1">
        <f t="array" ref="L10">_xlfn.SWITCH(F10, "Artificial UV", G10+H10+I10, "Sunlight (intensity given)", 0.05*J10, "Sunlight (UV Index given)", 1.6*K10, "UV + Sunlight (Intensity)", G10+H10+I10+0.05*J10, "N.A.", 0)</f>
        <v>0</v>
      </c>
      <c r="M10" s="35" t="s">
        <v>299</v>
      </c>
      <c r="N10" s="102" t="s">
        <v>300</v>
      </c>
      <c r="O10" s="102" t="s">
        <v>301</v>
      </c>
      <c r="P10" s="92" t="s">
        <v>41</v>
      </c>
      <c r="Q10" s="60"/>
      <c r="R10" s="60"/>
      <c r="S10" s="60">
        <v>100</v>
      </c>
      <c r="T10" s="60">
        <v>0.04</v>
      </c>
      <c r="U10" s="105">
        <f t="shared" si="3"/>
        <v>10.471975511965978</v>
      </c>
      <c r="V10" s="105">
        <f>T10*U10</f>
        <v>0.41887902047863912</v>
      </c>
      <c r="W10" s="60"/>
      <c r="X10" s="60"/>
      <c r="Y10" s="60"/>
      <c r="Z10" s="60"/>
      <c r="AA10" s="60">
        <v>0.2</v>
      </c>
      <c r="AB10" s="105">
        <f t="shared" si="4"/>
        <v>8.3775804095727824E-2</v>
      </c>
      <c r="AC10" s="104">
        <f>AB10/0.001</f>
        <v>83.775804095727821</v>
      </c>
      <c r="AD10" s="105">
        <f>0.001*AC10</f>
        <v>8.3775804095727824E-2</v>
      </c>
      <c r="AE10" s="105"/>
      <c r="AF10" s="60">
        <f>1*(4*4)/10^6</f>
        <v>1.5999999999999999E-5</v>
      </c>
      <c r="AG10" s="42">
        <f t="array" ref="AG10">_xlfn.SWITCH(P10, "Frictional force", 0.4*Z10, "Drag force", 6*PI()*R10*0.001*AB10, "Shear force", AD10*AF10)</f>
        <v>1.3404128655316452E-6</v>
      </c>
      <c r="AH10" s="99">
        <f t="array" ref="AH10">_xlfn.SWITCH(P10, "Frictional force", AG10*AB10*1000, "Drag force", AG10*AB10*1000, "Shear force", AG10*AB10*1000, "N.A.", 0)</f>
        <v>1.1229416563017226E-4</v>
      </c>
      <c r="AI10" s="94" t="s">
        <v>45</v>
      </c>
      <c r="AJ10" s="94"/>
      <c r="AK10" s="37"/>
      <c r="AL10" s="95" cm="1">
        <f t="array" ref="AL10">_xlfn.SWITCH(AI10, "CFU/ml", AK10, "Cells/ml", 0.8*AK10, "OD600", 1.77*10^9*AK10, "N.A.", 0)</f>
        <v>0</v>
      </c>
      <c r="AM10" s="40"/>
    </row>
    <row r="11" spans="1:39" s="11" customFormat="1" ht="20" customHeight="1" x14ac:dyDescent="0.2">
      <c r="A11" s="32" t="s">
        <v>245</v>
      </c>
      <c r="B11" s="33">
        <f t="shared" si="0"/>
        <v>4.99</v>
      </c>
      <c r="C11" s="106">
        <f t="shared" si="1"/>
        <v>1.1229416563017226E-4</v>
      </c>
      <c r="D11" s="83">
        <f t="shared" si="2"/>
        <v>0</v>
      </c>
      <c r="E11" s="33" t="s">
        <v>298</v>
      </c>
      <c r="F11" s="34" t="s">
        <v>32</v>
      </c>
      <c r="G11" s="22">
        <v>0</v>
      </c>
      <c r="H11" s="22">
        <v>0</v>
      </c>
      <c r="I11" s="22">
        <v>4.99</v>
      </c>
      <c r="J11" s="22"/>
      <c r="K11" s="22"/>
      <c r="L11" s="34" cm="1">
        <f t="array" ref="L11">_xlfn.SWITCH(F11, "Artificial UV", G11+H11+I11, "Sunlight (intensity given)", 0.05*J11, "Sunlight (UV Index given)", 1.6*K11, "UV + Sunlight (Intensity)", G11+H11+I11+0.05*J11, "N.A.", 0)</f>
        <v>4.99</v>
      </c>
      <c r="M11" s="35" t="s">
        <v>299</v>
      </c>
      <c r="N11" s="102" t="s">
        <v>300</v>
      </c>
      <c r="O11" s="102" t="s">
        <v>301</v>
      </c>
      <c r="P11" s="92" t="s">
        <v>41</v>
      </c>
      <c r="Q11" s="60"/>
      <c r="R11" s="60"/>
      <c r="S11" s="60">
        <v>100</v>
      </c>
      <c r="T11" s="60">
        <v>0.04</v>
      </c>
      <c r="U11" s="105">
        <f t="shared" si="3"/>
        <v>10.471975511965978</v>
      </c>
      <c r="V11" s="105">
        <f>T11*U11</f>
        <v>0.41887902047863912</v>
      </c>
      <c r="W11" s="60"/>
      <c r="X11" s="60"/>
      <c r="Y11" s="60"/>
      <c r="Z11" s="60"/>
      <c r="AA11" s="60">
        <v>0.2</v>
      </c>
      <c r="AB11" s="105">
        <f t="shared" si="4"/>
        <v>8.3775804095727824E-2</v>
      </c>
      <c r="AC11" s="104">
        <f>AB11/0.001</f>
        <v>83.775804095727821</v>
      </c>
      <c r="AD11" s="105">
        <f>0.001*AC11</f>
        <v>8.3775804095727824E-2</v>
      </c>
      <c r="AE11" s="105"/>
      <c r="AF11" s="60">
        <f>1*(4*4)/10^6</f>
        <v>1.5999999999999999E-5</v>
      </c>
      <c r="AG11" s="42">
        <f t="array" ref="AG11">_xlfn.SWITCH(P11, "Frictional force", 0.4*Z11, "Drag force", 6*PI()*R11*0.001*AB11, "Shear force", AD11*AF11)</f>
        <v>1.3404128655316452E-6</v>
      </c>
      <c r="AH11" s="99">
        <f t="array" ref="AH11">_xlfn.SWITCH(P11, "Frictional force", AG11*AB11*1000, "Drag force", AG11*AB11*1000, "Shear force", AG11*AB11*1000, "N.A.", 0)</f>
        <v>1.1229416563017226E-4</v>
      </c>
      <c r="AI11" s="94" t="s">
        <v>45</v>
      </c>
      <c r="AJ11" s="94"/>
      <c r="AK11" s="37"/>
      <c r="AL11" s="95" cm="1">
        <f t="array" ref="AL11">_xlfn.SWITCH(AI11, "CFU/ml", AK11, "Cells/ml", 0.8*AK11, "OD600", 1.77*10^9*AK11, "N.A.", 0)</f>
        <v>0</v>
      </c>
      <c r="AM11" s="40"/>
    </row>
    <row r="12" spans="1:39" s="11" customFormat="1" ht="35" customHeight="1" x14ac:dyDescent="0.2">
      <c r="A12" s="32" t="s">
        <v>246</v>
      </c>
      <c r="B12" s="83">
        <f t="shared" si="0"/>
        <v>1.65</v>
      </c>
      <c r="C12" s="107">
        <f t="shared" si="1"/>
        <v>2.5152291643059212E-4</v>
      </c>
      <c r="D12" s="45">
        <f t="shared" si="2"/>
        <v>25000</v>
      </c>
      <c r="E12" s="83" t="s">
        <v>70</v>
      </c>
      <c r="F12" s="34" t="s">
        <v>32</v>
      </c>
      <c r="G12" s="22">
        <v>0</v>
      </c>
      <c r="H12" s="22">
        <v>1.65</v>
      </c>
      <c r="I12" s="22">
        <v>0</v>
      </c>
      <c r="J12" s="22"/>
      <c r="K12" s="22"/>
      <c r="L12" s="34" cm="1">
        <f t="array" ref="L12">_xlfn.SWITCH(F12, "Artificial UV", G12+H12+I12, "Sunlight (intensity given)", 0.05*J12, "Sunlight (UV Index given)", 1.6*K12, "UV + Sunlight (Intensity)", G12+H12+I12+0.05*J12, "N.A.", 0)</f>
        <v>1.65</v>
      </c>
      <c r="M12" s="92" t="s">
        <v>302</v>
      </c>
      <c r="N12" s="102" t="s">
        <v>303</v>
      </c>
      <c r="O12" s="35" t="s">
        <v>304</v>
      </c>
      <c r="P12" s="92" t="s">
        <v>37</v>
      </c>
      <c r="Q12" s="105"/>
      <c r="R12" s="105">
        <f>4/2/1000</f>
        <v>2E-3</v>
      </c>
      <c r="S12" s="60">
        <v>130</v>
      </c>
      <c r="T12" s="60">
        <v>0.03</v>
      </c>
      <c r="U12" s="108">
        <f t="shared" si="3"/>
        <v>13.613568165555769</v>
      </c>
      <c r="V12" s="100">
        <f>U12*T12</f>
        <v>0.40840704496667307</v>
      </c>
      <c r="W12" s="60"/>
      <c r="X12" s="100"/>
      <c r="Y12" s="60"/>
      <c r="Z12" s="60"/>
      <c r="AA12" s="60">
        <v>0.2</v>
      </c>
      <c r="AB12" s="100">
        <f t="shared" si="4"/>
        <v>8.168140899333462E-2</v>
      </c>
      <c r="AC12" s="60"/>
      <c r="AD12" s="60"/>
      <c r="AE12" s="60"/>
      <c r="AF12" s="60"/>
      <c r="AG12" s="42">
        <f t="array" ref="AG12">_xlfn.SWITCH(P12, "Frictional force", 0.4*Z12, "Drag force", 6*PI()*R12*0.001*AB12, "Shear force", AD12*AF12)</f>
        <v>3.0793165731398796E-6</v>
      </c>
      <c r="AH12" s="99">
        <f t="array" ref="AH12">_xlfn.SWITCH(P12, "Frictional force", AG12*AB12*1000, "Drag force", AG12*AB12*1000, "Shear force", AG12*AB12*1000, "N.A.", 0)</f>
        <v>2.5152291643059212E-4</v>
      </c>
      <c r="AI12" s="94" t="s">
        <v>34</v>
      </c>
      <c r="AJ12" s="94" t="s">
        <v>305</v>
      </c>
      <c r="AK12" s="109">
        <v>25000</v>
      </c>
      <c r="AL12" s="94" cm="1">
        <f t="array" ref="AL12">_xlfn.SWITCH(AI12, "CFU/ml", AK12, "Cells/ml", 0.8*AK12, "OD600", 1.77*10^9*AK12, "N.A.", 0)</f>
        <v>25000</v>
      </c>
      <c r="AM12" s="110" t="s">
        <v>713</v>
      </c>
    </row>
    <row r="13" spans="1:39" s="11" customFormat="1" ht="20" customHeight="1" x14ac:dyDescent="0.2">
      <c r="A13" s="32" t="s">
        <v>74</v>
      </c>
      <c r="B13" s="83">
        <f t="shared" si="0"/>
        <v>11.169999999999998</v>
      </c>
      <c r="C13" s="83">
        <f t="shared" si="1"/>
        <v>0</v>
      </c>
      <c r="D13" s="83">
        <f t="shared" si="2"/>
        <v>0</v>
      </c>
      <c r="E13" s="33" t="s">
        <v>60</v>
      </c>
      <c r="F13" s="34" t="s">
        <v>32</v>
      </c>
      <c r="G13" s="34">
        <v>11.01</v>
      </c>
      <c r="H13" s="34">
        <v>0.12</v>
      </c>
      <c r="I13" s="34">
        <v>0.04</v>
      </c>
      <c r="J13" s="34"/>
      <c r="K13" s="34"/>
      <c r="L13" s="34" cm="1">
        <f t="array" ref="L13">_xlfn.SWITCH(F13, "Artificial UV", G13+H13+I13, "Sunlight (intensity given)", 0.05*J13, "Sunlight (UV Index given)", 1.6*K13, "UV + Sunlight (Intensity)", G13+H13+I13+0.05*J13, "N.A.", 0)</f>
        <v>11.169999999999998</v>
      </c>
      <c r="M13" s="92" t="s">
        <v>288</v>
      </c>
      <c r="N13" s="92"/>
      <c r="O13" s="92"/>
      <c r="P13" s="92" t="s">
        <v>45</v>
      </c>
      <c r="Q13" s="43"/>
      <c r="R13" s="43"/>
      <c r="S13" s="43"/>
      <c r="T13" s="43"/>
      <c r="U13" s="108"/>
      <c r="V13" s="43"/>
      <c r="W13" s="43"/>
      <c r="X13" s="43"/>
      <c r="Y13" s="43"/>
      <c r="Z13" s="43"/>
      <c r="AA13" s="43"/>
      <c r="AB13" s="96"/>
      <c r="AC13" s="43"/>
      <c r="AD13" s="43"/>
      <c r="AE13" s="43"/>
      <c r="AF13" s="43"/>
      <c r="AG13" s="43"/>
      <c r="AH13" s="43">
        <f t="array" ref="AH13">_xlfn.SWITCH(P13, "Frictional force", AG13*AB13*1000, "Drag force", AG13*AB13*1000, "Shear force", AG13*AB13*1000, "N.A.", 0)</f>
        <v>0</v>
      </c>
      <c r="AI13" s="94" t="s">
        <v>45</v>
      </c>
      <c r="AJ13" s="94"/>
      <c r="AK13" s="37"/>
      <c r="AL13" s="95" cm="1">
        <f t="array" ref="AL13">_xlfn.SWITCH(AI13, "CFU/ml", AK13, "Cells/ml", 0.8*AK13, "OD600", 1.77*10^9*AK13, "N.A.", 0)</f>
        <v>0</v>
      </c>
      <c r="AM13" s="40"/>
    </row>
    <row r="14" spans="1:39" s="11" customFormat="1" ht="20" customHeight="1" x14ac:dyDescent="0.2">
      <c r="A14" s="32" t="s">
        <v>75</v>
      </c>
      <c r="B14" s="125">
        <f t="shared" si="0"/>
        <v>1.7760000000000002</v>
      </c>
      <c r="C14" s="83">
        <f t="shared" si="1"/>
        <v>0</v>
      </c>
      <c r="D14" s="83">
        <f t="shared" si="2"/>
        <v>0</v>
      </c>
      <c r="E14" s="83" t="s">
        <v>77</v>
      </c>
      <c r="F14" s="34" t="s">
        <v>40</v>
      </c>
      <c r="G14" s="22"/>
      <c r="H14" s="22"/>
      <c r="I14" s="22"/>
      <c r="J14" s="22"/>
      <c r="K14" s="22">
        <v>1.1100000000000001</v>
      </c>
      <c r="L14" s="113" cm="1">
        <f t="array" ref="L14">_xlfn.SWITCH(F14, "Artificial UV", G14+H14+I14, "Sunlight (intensity given)", 0.05*J14, "Sunlight (UV Index given)", 1.6*K14, "UV + Sunlight (Intensity)", G14+H14+I14+0.05*J14, "N.A.", 0)</f>
        <v>1.7760000000000002</v>
      </c>
      <c r="M14" s="92" t="s">
        <v>306</v>
      </c>
      <c r="N14" s="35"/>
      <c r="O14" s="35"/>
      <c r="P14" s="92" t="s">
        <v>45</v>
      </c>
      <c r="Q14" s="60"/>
      <c r="R14" s="60"/>
      <c r="S14" s="60"/>
      <c r="T14" s="60"/>
      <c r="U14" s="108"/>
      <c r="V14" s="60"/>
      <c r="W14" s="60"/>
      <c r="X14" s="60"/>
      <c r="Y14" s="60"/>
      <c r="Z14" s="60"/>
      <c r="AA14" s="60"/>
      <c r="AB14" s="96"/>
      <c r="AC14" s="60"/>
      <c r="AD14" s="60"/>
      <c r="AE14" s="60"/>
      <c r="AF14" s="60"/>
      <c r="AG14" s="43"/>
      <c r="AH14" s="43">
        <f t="array" ref="AH14">_xlfn.SWITCH(P14, "Frictional force", AG14*AB14*1000, "Drag force", AG14*AB14*1000, "Shear force", AG14*AB14*1000, "N.A.", 0)</f>
        <v>0</v>
      </c>
      <c r="AI14" s="94" t="s">
        <v>45</v>
      </c>
      <c r="AJ14" s="94"/>
      <c r="AK14" s="37"/>
      <c r="AL14" s="95" cm="1">
        <f t="array" ref="AL14">_xlfn.SWITCH(AI14, "CFU/ml", AK14, "Cells/ml", 0.8*AK14, "OD600", 1.77*10^9*AK14, "N.A.", 0)</f>
        <v>0</v>
      </c>
      <c r="AM14" s="40"/>
    </row>
    <row r="15" spans="1:39" ht="20" customHeight="1" x14ac:dyDescent="0.2">
      <c r="A15" s="32" t="s">
        <v>76</v>
      </c>
      <c r="B15" s="83">
        <f t="shared" si="0"/>
        <v>0</v>
      </c>
      <c r="C15" s="83">
        <f t="shared" si="1"/>
        <v>0</v>
      </c>
      <c r="D15" s="45">
        <f t="shared" si="2"/>
        <v>1239000000</v>
      </c>
      <c r="E15" s="83" t="s">
        <v>146</v>
      </c>
      <c r="F15" s="34" t="s">
        <v>45</v>
      </c>
      <c r="G15" s="34"/>
      <c r="H15" s="34"/>
      <c r="I15" s="34"/>
      <c r="J15" s="34"/>
      <c r="K15" s="34"/>
      <c r="L15" s="34" cm="1">
        <f t="array" ref="L15">_xlfn.SWITCH(F15, "Artificial UV", G15+H15+I15, "Sunlight (intensity given)", 0.05*J15, "Sunlight (UV Index given)", 1.6*K15, "UV + Sunlight (Intensity)", G15+H15+I15+0.05*J15, "N.A.", 0)</f>
        <v>0</v>
      </c>
      <c r="M15" s="48" t="s">
        <v>307</v>
      </c>
      <c r="N15" s="98"/>
      <c r="O15" s="92"/>
      <c r="P15" s="92" t="s">
        <v>45</v>
      </c>
      <c r="Q15" s="114"/>
      <c r="R15" s="99"/>
      <c r="S15" s="43"/>
      <c r="T15" s="43"/>
      <c r="U15" s="108"/>
      <c r="V15" s="105"/>
      <c r="W15" s="43"/>
      <c r="X15" s="43"/>
      <c r="Y15" s="43"/>
      <c r="Z15" s="43"/>
      <c r="AA15" s="43"/>
      <c r="AB15" s="100"/>
      <c r="AC15" s="43"/>
      <c r="AD15" s="43"/>
      <c r="AE15" s="43"/>
      <c r="AF15" s="43"/>
      <c r="AG15" s="42"/>
      <c r="AH15" s="43">
        <f t="array" ref="AH15">_xlfn.SWITCH(P15, "Frictional force", AG15*AB15*1000, "Drag force", AG15*AB15*1000, "Shear force", AG15*AB15*1000, "N.A.", 0)</f>
        <v>0</v>
      </c>
      <c r="AI15" s="94" t="s">
        <v>42</v>
      </c>
      <c r="AJ15" s="94" t="s">
        <v>305</v>
      </c>
      <c r="AK15" s="95">
        <v>0.7</v>
      </c>
      <c r="AL15" s="94" cm="1">
        <f t="array" ref="AL15">_xlfn.SWITCH(AI15, "CFU/ml", AK15, "Cells/ml", 0.8*AK15, "OD600", 1.77*10^9*AK15, "N.A.", 0)</f>
        <v>1239000000</v>
      </c>
      <c r="AM15" s="27"/>
    </row>
    <row r="16" spans="1:39" ht="20" customHeight="1" x14ac:dyDescent="0.2">
      <c r="A16" s="32" t="s">
        <v>78</v>
      </c>
      <c r="B16" s="33">
        <f t="shared" si="0"/>
        <v>0</v>
      </c>
      <c r="C16" s="115">
        <f t="shared" si="1"/>
        <v>4.6509415020449733E-5</v>
      </c>
      <c r="D16" s="59">
        <f t="shared" si="2"/>
        <v>1504500000</v>
      </c>
      <c r="E16" s="33" t="s">
        <v>147</v>
      </c>
      <c r="F16" s="22" t="s">
        <v>45</v>
      </c>
      <c r="G16" s="22"/>
      <c r="H16" s="22"/>
      <c r="I16" s="22"/>
      <c r="J16" s="22"/>
      <c r="K16" s="22"/>
      <c r="L16" s="34" cm="1">
        <f t="array" ref="L16">_xlfn.SWITCH(F16, "Artificial UV", G16+H16+I16, "Sunlight (intensity given)", 0.05*J16, "Sunlight (UV Index given)", 1.6*K16, "UV + Sunlight (Intensity)", G16+H16+I16+0.05*J16, "N.A.", 0)</f>
        <v>0</v>
      </c>
      <c r="M16" s="48" t="s">
        <v>308</v>
      </c>
      <c r="N16" s="102" t="s">
        <v>309</v>
      </c>
      <c r="O16" s="35" t="s">
        <v>310</v>
      </c>
      <c r="P16" s="35" t="s">
        <v>37</v>
      </c>
      <c r="Q16" s="116"/>
      <c r="R16" s="114">
        <f>200/2/10^6</f>
        <v>1E-4</v>
      </c>
      <c r="S16" s="60">
        <v>150</v>
      </c>
      <c r="T16" s="60">
        <v>0.05</v>
      </c>
      <c r="U16" s="117">
        <f>S16*2*PI()/60</f>
        <v>15.707963267948966</v>
      </c>
      <c r="V16" s="105">
        <f>T16*U16</f>
        <v>0.78539816339744828</v>
      </c>
      <c r="W16" s="60"/>
      <c r="X16" s="60"/>
      <c r="Y16" s="60"/>
      <c r="Z16" s="60"/>
      <c r="AA16" s="60">
        <v>0.2</v>
      </c>
      <c r="AB16" s="105">
        <f>AA16*V16</f>
        <v>0.15707963267948966</v>
      </c>
      <c r="AC16" s="60"/>
      <c r="AD16" s="60"/>
      <c r="AE16" s="60"/>
      <c r="AF16" s="60"/>
      <c r="AG16" s="44">
        <f t="array" ref="AG16">_xlfn.SWITCH(P16, "Frictional force", 0.4*Z16, "Drag force", 6*PI()*R16*0.001*AB16, "Shear force", AD16*AF16)</f>
        <v>2.9608813203268075E-7</v>
      </c>
      <c r="AH16" s="118">
        <f t="array" ref="AH16">_xlfn.SWITCH(P16, "Frictional force", AG16*AB16*1000, "Drag force", AG16*AB16*1000, "Shear force", AG16*AB16*1000, "N.A.", 0)</f>
        <v>4.6509415020449733E-5</v>
      </c>
      <c r="AI16" s="109" t="s">
        <v>42</v>
      </c>
      <c r="AJ16" s="109" t="s">
        <v>305</v>
      </c>
      <c r="AK16" s="37">
        <v>0.85</v>
      </c>
      <c r="AL16" s="94" cm="1">
        <f t="array" ref="AL16">_xlfn.SWITCH(AI16, "CFU/ml", AK16, "Cells/ml", 0.8*AK16, "OD600", 1.77*10^9*AK16, "N.A.", 0)</f>
        <v>1504500000</v>
      </c>
      <c r="AM16" s="27"/>
    </row>
    <row r="17" spans="1:39" ht="20" customHeight="1" x14ac:dyDescent="0.2">
      <c r="A17" s="32" t="s">
        <v>82</v>
      </c>
      <c r="B17" s="33">
        <f t="shared" si="0"/>
        <v>0</v>
      </c>
      <c r="C17" s="33">
        <f t="shared" si="1"/>
        <v>0</v>
      </c>
      <c r="D17" s="59">
        <f t="shared" si="2"/>
        <v>1239000000</v>
      </c>
      <c r="E17" s="33" t="s">
        <v>311</v>
      </c>
      <c r="F17" s="22" t="s">
        <v>45</v>
      </c>
      <c r="G17" s="22"/>
      <c r="H17" s="22"/>
      <c r="I17" s="22"/>
      <c r="J17" s="22"/>
      <c r="K17" s="22"/>
      <c r="L17" s="34" cm="1">
        <f t="array" ref="L17">_xlfn.SWITCH(F17, "Artificial UV", G17+H17+I17, "Sunlight (intensity given)", 0.05*J17, "Sunlight (UV Index given)", 1.6*K17, "UV + Sunlight (Intensity)", G17+H17+I17+0.05*J17, "N.A.", 0)</f>
        <v>0</v>
      </c>
      <c r="M17" s="48" t="s">
        <v>312</v>
      </c>
      <c r="N17" s="102"/>
      <c r="O17" s="35"/>
      <c r="P17" s="35" t="s">
        <v>45</v>
      </c>
      <c r="Q17" s="116"/>
      <c r="R17" s="114"/>
      <c r="S17" s="60"/>
      <c r="T17" s="60"/>
      <c r="U17" s="117"/>
      <c r="V17" s="105"/>
      <c r="W17" s="60"/>
      <c r="X17" s="60"/>
      <c r="Y17" s="60"/>
      <c r="Z17" s="60"/>
      <c r="AA17" s="60"/>
      <c r="AB17" s="105"/>
      <c r="AC17" s="60"/>
      <c r="AD17" s="60"/>
      <c r="AE17" s="60"/>
      <c r="AF17" s="60"/>
      <c r="AG17" s="44"/>
      <c r="AH17" s="60">
        <f t="array" ref="AH17">_xlfn.SWITCH(P17, "Frictional force", AG17*AB17*1000, "Drag force", AG17*AB17*1000, "Shear force", AG17*AB17*1000, "N.A.", 0)</f>
        <v>0</v>
      </c>
      <c r="AI17" s="109" t="s">
        <v>42</v>
      </c>
      <c r="AJ17" s="109" t="s">
        <v>313</v>
      </c>
      <c r="AK17" s="37">
        <v>0.7</v>
      </c>
      <c r="AL17" s="94" cm="1">
        <f t="array" ref="AL17">_xlfn.SWITCH(AI17, "CFU/ml", AK17, "Cells/ml", 0.8*AK17, "OD600", 1.77*10^9*AK17, "N.A.", 0)</f>
        <v>1239000000</v>
      </c>
      <c r="AM17" s="40"/>
    </row>
    <row r="18" spans="1:39" s="11" customFormat="1" ht="20" customHeight="1" x14ac:dyDescent="0.2">
      <c r="A18" s="32" t="s">
        <v>83</v>
      </c>
      <c r="B18" s="33">
        <f t="shared" si="0"/>
        <v>0</v>
      </c>
      <c r="C18" s="106">
        <f t="shared" si="1"/>
        <v>7.0183853518857671E-4</v>
      </c>
      <c r="D18" s="59">
        <f t="shared" si="2"/>
        <v>177000000</v>
      </c>
      <c r="E18" s="83" t="s">
        <v>144</v>
      </c>
      <c r="F18" s="22" t="s">
        <v>45</v>
      </c>
      <c r="G18" s="22"/>
      <c r="H18" s="22"/>
      <c r="I18" s="22"/>
      <c r="J18" s="22"/>
      <c r="K18" s="22"/>
      <c r="L18" s="34" cm="1">
        <f t="array" ref="L18">_xlfn.SWITCH(F18, "Artificial UV", G18+H18+I18, "Sunlight (intensity given)", 0.05*J18, "Sunlight (UV Index given)", 1.6*K18, "UV + Sunlight (Intensity)", G18+H18+I18+0.05*J18, "N.A.", 0)</f>
        <v>0</v>
      </c>
      <c r="M18" s="48" t="s">
        <v>314</v>
      </c>
      <c r="N18" s="102" t="s">
        <v>315</v>
      </c>
      <c r="O18" s="92" t="s">
        <v>316</v>
      </c>
      <c r="P18" s="35" t="s">
        <v>41</v>
      </c>
      <c r="Q18" s="114"/>
      <c r="R18" s="114"/>
      <c r="S18" s="60">
        <v>100</v>
      </c>
      <c r="T18" s="60">
        <v>0.04</v>
      </c>
      <c r="U18" s="117">
        <f>S18*2*PI()/60</f>
        <v>10.471975511965978</v>
      </c>
      <c r="V18" s="105">
        <f>T18*U18</f>
        <v>0.41887902047863912</v>
      </c>
      <c r="W18" s="60"/>
      <c r="X18" s="60"/>
      <c r="Y18" s="60"/>
      <c r="Z18" s="60"/>
      <c r="AA18" s="60">
        <v>0.2</v>
      </c>
      <c r="AB18" s="105">
        <f>AA18*V18</f>
        <v>8.3775804095727824E-2</v>
      </c>
      <c r="AC18" s="104">
        <f>AB18/0.001</f>
        <v>83.775804095727821</v>
      </c>
      <c r="AD18" s="105">
        <f>0.001*AC18</f>
        <v>8.3775804095727824E-2</v>
      </c>
      <c r="AE18" s="60"/>
      <c r="AF18" s="60">
        <f>1*(1*1)/10^4</f>
        <v>1E-4</v>
      </c>
      <c r="AG18" s="44">
        <f t="array" ref="AG18">_xlfn.SWITCH(P18, "Frictional force", 0.4*Z18, "Drag force", 6*PI()*R18*0.001*AB18, "Shear force", AD18*AF18)</f>
        <v>8.3775804095727828E-6</v>
      </c>
      <c r="AH18" s="114">
        <f t="array" ref="AH18">_xlfn.SWITCH(P18, "Frictional force", AG18*AB18*1000, "Drag force", AG18*AB18*1000, "Shear force", AG18*AB18*1000, "N.A.", 0)</f>
        <v>7.0183853518857671E-4</v>
      </c>
      <c r="AI18" s="109" t="s">
        <v>42</v>
      </c>
      <c r="AJ18" s="109" t="s">
        <v>313</v>
      </c>
      <c r="AK18" s="37">
        <v>0.1</v>
      </c>
      <c r="AL18" s="94" cm="1">
        <f t="array" ref="AL18">_xlfn.SWITCH(AI18, "CFU/ml", AK18, "Cells/ml", 0.8*AK18, "OD600", 1.77*10^9*AK18, "N.A.", 0)</f>
        <v>177000000</v>
      </c>
      <c r="AM18" s="40"/>
    </row>
    <row r="19" spans="1:39" s="11" customFormat="1" ht="20" customHeight="1" x14ac:dyDescent="0.2">
      <c r="A19" s="32" t="s">
        <v>84</v>
      </c>
      <c r="B19" s="33">
        <f t="shared" si="0"/>
        <v>0</v>
      </c>
      <c r="C19" s="33">
        <f t="shared" si="1"/>
        <v>0</v>
      </c>
      <c r="D19" s="59">
        <f t="shared" si="2"/>
        <v>10620000000</v>
      </c>
      <c r="E19" s="83" t="s">
        <v>145</v>
      </c>
      <c r="F19" s="22" t="s">
        <v>45</v>
      </c>
      <c r="G19" s="22"/>
      <c r="H19" s="22"/>
      <c r="I19" s="22"/>
      <c r="J19" s="22"/>
      <c r="K19" s="22"/>
      <c r="L19" s="34" cm="1">
        <f t="array" ref="L19">_xlfn.SWITCH(F19, "Artificial UV", G19+H19+I19, "Sunlight (intensity given)", 0.05*J19, "Sunlight (UV Index given)", 1.6*K19, "UV + Sunlight (Intensity)", G19+H19+I19+0.05*J19, "N.A.", 0)</f>
        <v>0</v>
      </c>
      <c r="M19" s="48" t="s">
        <v>317</v>
      </c>
      <c r="N19" s="102"/>
      <c r="O19" s="35"/>
      <c r="P19" s="35" t="s">
        <v>45</v>
      </c>
      <c r="Q19" s="114"/>
      <c r="R19" s="114"/>
      <c r="S19" s="60"/>
      <c r="T19" s="60"/>
      <c r="U19" s="117"/>
      <c r="V19" s="105"/>
      <c r="W19" s="60"/>
      <c r="X19" s="60"/>
      <c r="Y19" s="60"/>
      <c r="Z19" s="60"/>
      <c r="AA19" s="60"/>
      <c r="AB19" s="105"/>
      <c r="AC19" s="60"/>
      <c r="AD19" s="60"/>
      <c r="AE19" s="60"/>
      <c r="AF19" s="60"/>
      <c r="AG19" s="44"/>
      <c r="AH19" s="60">
        <f t="array" ref="AH19">_xlfn.SWITCH(P19, "Frictional force", AG19*AB19*1000, "Drag force", AG19*AB19*1000, "Shear force", AG19*AB19*1000, "N.A.", 0)</f>
        <v>0</v>
      </c>
      <c r="AI19" s="109" t="s">
        <v>42</v>
      </c>
      <c r="AJ19" s="109" t="s">
        <v>305</v>
      </c>
      <c r="AK19" s="119">
        <v>6</v>
      </c>
      <c r="AL19" s="94" cm="1">
        <f t="array" ref="AL19">_xlfn.SWITCH(AI19, "CFU/ml", AK19, "Cells/ml", 0.8*AK19, "OD600", 1.77*10^9*AK19, "N.A.", 0)</f>
        <v>10620000000</v>
      </c>
      <c r="AM19" s="40"/>
    </row>
    <row r="20" spans="1:39" s="11" customFormat="1" ht="20" customHeight="1" x14ac:dyDescent="0.2">
      <c r="A20" s="32" t="s">
        <v>87</v>
      </c>
      <c r="B20" s="33">
        <f t="shared" ref="B20" si="5">L20</f>
        <v>0</v>
      </c>
      <c r="C20" s="106">
        <f t="shared" ref="C20" si="6">AH20</f>
        <v>1.9985948912205954E-3</v>
      </c>
      <c r="D20" s="59">
        <f t="shared" si="2"/>
        <v>4000000</v>
      </c>
      <c r="E20" s="83" t="s">
        <v>79</v>
      </c>
      <c r="F20" s="22" t="s">
        <v>45</v>
      </c>
      <c r="G20" s="22"/>
      <c r="H20" s="22"/>
      <c r="I20" s="22"/>
      <c r="J20" s="22"/>
      <c r="K20" s="22"/>
      <c r="L20" s="34" cm="1">
        <f t="array" ref="L20">_xlfn.SWITCH(F20, "Artificial UV", G20+H20+I20, "Sunlight (intensity given)", 0.05*J20, "Sunlight (UV Index given)", 1.6*K20, "UV + Sunlight (Intensity)", G20+H20+I20+0.05*J20, "N.A.", 0)</f>
        <v>0</v>
      </c>
      <c r="M20" s="48" t="s">
        <v>319</v>
      </c>
      <c r="N20" s="102" t="s">
        <v>320</v>
      </c>
      <c r="O20" s="35" t="s">
        <v>765</v>
      </c>
      <c r="P20" s="35" t="s">
        <v>648</v>
      </c>
      <c r="Q20" s="114"/>
      <c r="R20" s="114"/>
      <c r="S20" s="60">
        <v>180</v>
      </c>
      <c r="T20" s="60">
        <v>2.5000000000000001E-2</v>
      </c>
      <c r="U20" s="117">
        <f t="shared" ref="U20" si="7">S20*2*PI()/60</f>
        <v>18.849555921538759</v>
      </c>
      <c r="V20" s="105">
        <f>T20*U20</f>
        <v>0.47123889803846897</v>
      </c>
      <c r="W20" s="60"/>
      <c r="X20" s="60"/>
      <c r="Y20" s="60"/>
      <c r="Z20" s="60"/>
      <c r="AA20" s="60">
        <v>0.2</v>
      </c>
      <c r="AB20" s="105">
        <f>AA20*V20</f>
        <v>9.4247779607693802E-2</v>
      </c>
      <c r="AC20" s="104">
        <f>AB20/0.001</f>
        <v>94.247779607693801</v>
      </c>
      <c r="AD20" s="105">
        <f>0.001*AC20</f>
        <v>9.4247779607693802E-2</v>
      </c>
      <c r="AE20" s="60"/>
      <c r="AF20" s="114">
        <f>1*(1.5*1.5)/10^4</f>
        <v>2.2499999999999999E-4</v>
      </c>
      <c r="AG20" s="44">
        <f t="array" ref="AG20">_xlfn.SWITCH(P20, "Frictional force", 0.4*Z20, "Drag force", 6*PI()*R20*0.001*AB20, "Shear force", AD20*AF20)</f>
        <v>2.1205750411731104E-5</v>
      </c>
      <c r="AH20" s="114">
        <f t="array" ref="AH20">_xlfn.SWITCH(P20, "Frictional force", AG20*AB20*1000, "Drag force", AG20*AB20*1000, "Shear force", AG20*AB20*1000, "N.A.", 0)</f>
        <v>1.9985948912205954E-3</v>
      </c>
      <c r="AI20" s="109" t="s">
        <v>766</v>
      </c>
      <c r="AJ20" s="109" t="s">
        <v>305</v>
      </c>
      <c r="AK20" s="109">
        <v>4000000</v>
      </c>
      <c r="AL20" s="94" cm="1">
        <f t="array" ref="AL20">_xlfn.SWITCH(AI20, "CFU/ml", AK20, "Cells/ml", 0.8*AK20, "OD600", 1.77*10^9*AK20, "N.A.", 0)</f>
        <v>4000000</v>
      </c>
      <c r="AM20" s="40"/>
    </row>
    <row r="21" spans="1:39" s="11" customFormat="1" ht="20" customHeight="1" x14ac:dyDescent="0.2">
      <c r="A21" s="32" t="s">
        <v>247</v>
      </c>
      <c r="B21" s="83">
        <f t="shared" si="0"/>
        <v>14</v>
      </c>
      <c r="C21" s="83">
        <f t="shared" si="1"/>
        <v>0</v>
      </c>
      <c r="D21" s="45">
        <f t="shared" si="2"/>
        <v>72</v>
      </c>
      <c r="E21" s="83" t="s">
        <v>85</v>
      </c>
      <c r="F21" s="34" t="s">
        <v>32</v>
      </c>
      <c r="G21" s="34">
        <v>14</v>
      </c>
      <c r="H21" s="34">
        <v>0</v>
      </c>
      <c r="I21" s="34">
        <v>0</v>
      </c>
      <c r="J21" s="34"/>
      <c r="K21" s="34"/>
      <c r="L21" s="34" cm="1">
        <f t="array" ref="L21">_xlfn.SWITCH(F21, "Artificial UV", G21+H21+I21, "Sunlight (intensity given)", 0.05*J21, "Sunlight (UV Index given)", 1.6*K21, "UV + Sunlight (Intensity)", G21+H21+I21+0.05*J21, "N.A.", 0)</f>
        <v>14</v>
      </c>
      <c r="M21" s="35" t="s">
        <v>318</v>
      </c>
      <c r="N21" s="92"/>
      <c r="O21" s="92"/>
      <c r="P21" s="92" t="s">
        <v>45</v>
      </c>
      <c r="Q21" s="43"/>
      <c r="R21" s="43"/>
      <c r="S21" s="43"/>
      <c r="T21" s="43"/>
      <c r="U21" s="108"/>
      <c r="V21" s="43"/>
      <c r="W21" s="43"/>
      <c r="X21" s="43"/>
      <c r="Y21" s="43"/>
      <c r="Z21" s="43"/>
      <c r="AA21" s="43"/>
      <c r="AB21" s="96"/>
      <c r="AC21" s="43"/>
      <c r="AD21" s="43"/>
      <c r="AE21" s="43"/>
      <c r="AF21" s="43"/>
      <c r="AG21" s="43"/>
      <c r="AH21" s="43">
        <f t="array" ref="AH21">_xlfn.SWITCH(P21, "Frictional force", AG21*AB21*1000, "Drag force", AG21*AB21*1000, "Shear force", AG21*AB21*1000, "N.A.", 0)</f>
        <v>0</v>
      </c>
      <c r="AI21" s="94" t="s">
        <v>38</v>
      </c>
      <c r="AJ21" s="94" t="s">
        <v>305</v>
      </c>
      <c r="AK21" s="95">
        <v>90</v>
      </c>
      <c r="AL21" s="94" cm="1">
        <f t="array" ref="AL21">_xlfn.SWITCH(AI21, "CFU/ml", AK21, "Cells/ml", 0.8*AK21, "OD600", 1.77*10^9*AK21, "N.A.", 0)</f>
        <v>72</v>
      </c>
      <c r="AM21" s="40"/>
    </row>
    <row r="22" spans="1:39" s="11" customFormat="1" ht="35" customHeight="1" x14ac:dyDescent="0.2">
      <c r="A22" s="32" t="s">
        <v>248</v>
      </c>
      <c r="B22" s="83">
        <f t="shared" si="0"/>
        <v>1.65</v>
      </c>
      <c r="C22" s="107">
        <f t="shared" si="1"/>
        <v>2.5152291643059212E-4</v>
      </c>
      <c r="D22" s="45">
        <f t="shared" si="2"/>
        <v>25000</v>
      </c>
      <c r="E22" s="83" t="s">
        <v>70</v>
      </c>
      <c r="F22" s="34" t="s">
        <v>32</v>
      </c>
      <c r="G22" s="22">
        <v>0</v>
      </c>
      <c r="H22" s="22">
        <v>1.65</v>
      </c>
      <c r="I22" s="22">
        <v>0</v>
      </c>
      <c r="J22" s="22"/>
      <c r="K22" s="22"/>
      <c r="L22" s="34" cm="1">
        <f t="array" ref="L22">_xlfn.SWITCH(F22, "Artificial UV", G22+H22+I22, "Sunlight (intensity given)", 0.05*J22, "Sunlight (UV Index given)", 1.6*K22, "UV + Sunlight (Intensity)", G22+H22+I22+0.05*J22, "N.A.", 0)</f>
        <v>1.65</v>
      </c>
      <c r="M22" s="92" t="s">
        <v>302</v>
      </c>
      <c r="N22" s="102" t="s">
        <v>303</v>
      </c>
      <c r="O22" s="35" t="s">
        <v>304</v>
      </c>
      <c r="P22" s="92" t="s">
        <v>37</v>
      </c>
      <c r="Q22" s="105"/>
      <c r="R22" s="105">
        <f>4/2/1000</f>
        <v>2E-3</v>
      </c>
      <c r="S22" s="60">
        <v>130</v>
      </c>
      <c r="T22" s="60">
        <v>0.03</v>
      </c>
      <c r="U22" s="108">
        <f>S22*2*PI()/60</f>
        <v>13.613568165555769</v>
      </c>
      <c r="V22" s="105">
        <f>T22*U22</f>
        <v>0.40840704496667307</v>
      </c>
      <c r="W22" s="60"/>
      <c r="X22" s="100"/>
      <c r="Y22" s="60"/>
      <c r="Z22" s="60"/>
      <c r="AA22" s="60">
        <v>0.2</v>
      </c>
      <c r="AB22" s="100">
        <f>AA22*V22</f>
        <v>8.168140899333462E-2</v>
      </c>
      <c r="AC22" s="60"/>
      <c r="AD22" s="60"/>
      <c r="AE22" s="60"/>
      <c r="AF22" s="60"/>
      <c r="AG22" s="42">
        <f t="array" ref="AG22">_xlfn.SWITCH(P22, "Frictional force", 0.4*Z22, "Drag force", 6*PI()*R22*0.001*AB22, "Shear force", AD22*AF22)</f>
        <v>3.0793165731398796E-6</v>
      </c>
      <c r="AH22" s="99">
        <f t="array" ref="AH22">_xlfn.SWITCH(P22, "Frictional force", AG22*AB22*1000, "Drag force", AG22*AB22*1000, "Shear force", AG22*AB22*1000, "N.A.", 0)</f>
        <v>2.5152291643059212E-4</v>
      </c>
      <c r="AI22" s="94" t="s">
        <v>34</v>
      </c>
      <c r="AJ22" s="94" t="s">
        <v>305</v>
      </c>
      <c r="AK22" s="94">
        <v>25000</v>
      </c>
      <c r="AL22" s="94" cm="1">
        <f t="array" ref="AL22">_xlfn.SWITCH(AI22, "CFU/ml", AK22, "Cells/ml", 0.8*AK22, "OD600", 1.77*10^9*AK22, "N.A.", 0)</f>
        <v>25000</v>
      </c>
      <c r="AM22" s="110" t="s">
        <v>713</v>
      </c>
    </row>
    <row r="23" spans="1:39" ht="20" customHeight="1" x14ac:dyDescent="0.2">
      <c r="A23" s="53" t="s">
        <v>88</v>
      </c>
      <c r="B23" s="83">
        <f t="shared" si="0"/>
        <v>27.5</v>
      </c>
      <c r="C23" s="83">
        <f t="shared" si="1"/>
        <v>0</v>
      </c>
      <c r="D23" s="83">
        <f t="shared" si="2"/>
        <v>0</v>
      </c>
      <c r="E23" s="83" t="s">
        <v>64</v>
      </c>
      <c r="F23" s="34" t="s">
        <v>36</v>
      </c>
      <c r="G23" s="34"/>
      <c r="H23" s="34"/>
      <c r="I23" s="34"/>
      <c r="J23" s="34">
        <v>550</v>
      </c>
      <c r="K23" s="34"/>
      <c r="L23" s="34" cm="1">
        <f t="array" ref="L23">_xlfn.SWITCH(F23, "Artificial UV", G23+H23+I23, "Sunlight (intensity given)", 0.05*J23, "Sunlight (UV Index given)", 1.6*K23, "UV + Sunlight (Intensity)", G23+H23+I23+0.05*J23, "N.A.", 0)</f>
        <v>27.5</v>
      </c>
      <c r="M23" s="47" t="s">
        <v>324</v>
      </c>
      <c r="N23" s="92"/>
      <c r="O23" s="92"/>
      <c r="P23" s="92" t="s">
        <v>45</v>
      </c>
      <c r="Q23" s="43"/>
      <c r="R23" s="43"/>
      <c r="S23" s="43"/>
      <c r="T23" s="43"/>
      <c r="U23" s="108"/>
      <c r="V23" s="43"/>
      <c r="W23" s="43"/>
      <c r="X23" s="43"/>
      <c r="Y23" s="43"/>
      <c r="Z23" s="43"/>
      <c r="AA23" s="43"/>
      <c r="AB23" s="96"/>
      <c r="AC23" s="43"/>
      <c r="AD23" s="43"/>
      <c r="AE23" s="43"/>
      <c r="AF23" s="43"/>
      <c r="AG23" s="43"/>
      <c r="AH23" s="43">
        <f t="array" ref="AH23">_xlfn.SWITCH(P23, "Frictional force", AG23*AB23*1000, "Drag force", AG23*AB23*1000, "Shear force", AG23*AB23*1000, "N.A.", 0)</f>
        <v>0</v>
      </c>
      <c r="AI23" s="94" t="s">
        <v>45</v>
      </c>
      <c r="AJ23" s="94"/>
      <c r="AK23" s="95"/>
      <c r="AL23" s="95" cm="1">
        <f t="array" ref="AL23">_xlfn.SWITCH(AI23, "CFU/ml", AK23, "Cells/ml", 0.8*AK23, "OD600", 1.77*10^9*AK23, "N.A.", 0)</f>
        <v>0</v>
      </c>
      <c r="AM23" s="27"/>
    </row>
    <row r="24" spans="1:39" ht="20" customHeight="1" x14ac:dyDescent="0.2">
      <c r="A24" s="32" t="s">
        <v>325</v>
      </c>
      <c r="B24" s="83">
        <f t="shared" si="0"/>
        <v>28.08</v>
      </c>
      <c r="C24" s="83">
        <f t="shared" si="1"/>
        <v>0</v>
      </c>
      <c r="D24" s="83">
        <f t="shared" si="2"/>
        <v>0</v>
      </c>
      <c r="E24" s="33" t="s">
        <v>92</v>
      </c>
      <c r="F24" s="34" t="s">
        <v>44</v>
      </c>
      <c r="G24" s="22">
        <v>8.33</v>
      </c>
      <c r="H24" s="22"/>
      <c r="I24" s="22"/>
      <c r="J24" s="22">
        <v>395</v>
      </c>
      <c r="K24" s="22"/>
      <c r="L24" s="34" cm="1">
        <f t="array" ref="L24">_xlfn.SWITCH(F24, "Artificial UV", G24+H24+I24, "Sunlight (intensity given)", 0.05*J24, "Sunlight (UV Index given)", 1.6*K24, "UV + Sunlight (Intensity)", G24+H24+I24+0.05*J24, "N.A.", 0)</f>
        <v>28.08</v>
      </c>
      <c r="M24" s="92" t="s">
        <v>326</v>
      </c>
      <c r="N24" s="102"/>
      <c r="O24" s="102"/>
      <c r="P24" s="92" t="s">
        <v>45</v>
      </c>
      <c r="Q24" s="105"/>
      <c r="R24" s="114"/>
      <c r="S24" s="60"/>
      <c r="T24" s="60"/>
      <c r="U24" s="100"/>
      <c r="V24" s="105"/>
      <c r="W24" s="60"/>
      <c r="X24" s="60"/>
      <c r="Y24" s="60"/>
      <c r="Z24" s="60"/>
      <c r="AA24" s="60"/>
      <c r="AB24" s="100"/>
      <c r="AC24" s="104"/>
      <c r="AD24" s="105"/>
      <c r="AE24" s="105"/>
      <c r="AF24" s="114"/>
      <c r="AG24" s="99"/>
      <c r="AH24" s="43">
        <f t="array" ref="AH24">_xlfn.SWITCH(P24, "Frictional force", AG24*AB24*1000, "Drag force", AG24*AB24*1000, "Shear force", AG24*AB24*1000, "N.A.", 0)</f>
        <v>0</v>
      </c>
      <c r="AI24" s="94" t="s">
        <v>45</v>
      </c>
      <c r="AJ24" s="94"/>
      <c r="AK24" s="95"/>
      <c r="AL24" s="95" cm="1">
        <f t="array" ref="AL24">_xlfn.SWITCH(AI24, "CFU/ml", AK24, "Cells/ml", 0.8*AK24, "OD600", 1.77*10^9*AK24, "N.A.", 0)</f>
        <v>0</v>
      </c>
      <c r="AM24" s="27"/>
    </row>
    <row r="25" spans="1:39" ht="20" customHeight="1" x14ac:dyDescent="0.2">
      <c r="A25" s="32" t="s">
        <v>90</v>
      </c>
      <c r="B25" s="83">
        <f t="shared" si="0"/>
        <v>60</v>
      </c>
      <c r="C25" s="83">
        <f t="shared" si="1"/>
        <v>0</v>
      </c>
      <c r="D25" s="83">
        <f t="shared" si="2"/>
        <v>0</v>
      </c>
      <c r="E25" s="33" t="s">
        <v>327</v>
      </c>
      <c r="F25" s="34" t="s">
        <v>36</v>
      </c>
      <c r="G25" s="22"/>
      <c r="H25" s="22"/>
      <c r="I25" s="22"/>
      <c r="J25" s="22">
        <v>1200</v>
      </c>
      <c r="K25" s="22"/>
      <c r="L25" s="34" cm="1">
        <f t="array" ref="L25">_xlfn.SWITCH(F25, "Artificial UV", G25+H25+I25, "Sunlight (intensity given)", 0.05*J25, "Sunlight (UV Index given)", 1.6*K25, "UV + Sunlight (Intensity)", G25+H25+I25+0.05*J25, "N.A.", 0)</f>
        <v>60</v>
      </c>
      <c r="M25" s="92" t="s">
        <v>328</v>
      </c>
      <c r="N25" s="102"/>
      <c r="O25" s="102"/>
      <c r="P25" s="92" t="s">
        <v>45</v>
      </c>
      <c r="Q25" s="105"/>
      <c r="R25" s="114"/>
      <c r="S25" s="60"/>
      <c r="T25" s="60"/>
      <c r="U25" s="100"/>
      <c r="V25" s="105"/>
      <c r="W25" s="60"/>
      <c r="X25" s="60"/>
      <c r="Y25" s="60"/>
      <c r="Z25" s="60"/>
      <c r="AA25" s="60"/>
      <c r="AB25" s="100"/>
      <c r="AC25" s="104"/>
      <c r="AD25" s="105"/>
      <c r="AE25" s="105"/>
      <c r="AF25" s="114"/>
      <c r="AG25" s="99"/>
      <c r="AH25" s="43">
        <f t="array" ref="AH25">_xlfn.SWITCH(P25, "Frictional force", AG25*AB25*1000, "Drag force", AG25*AB25*1000, "Shear force", AG25*AB25*1000, "N.A.", 0)</f>
        <v>0</v>
      </c>
      <c r="AI25" s="94" t="s">
        <v>45</v>
      </c>
      <c r="AJ25" s="94"/>
      <c r="AK25" s="95"/>
      <c r="AL25" s="95" cm="1">
        <f t="array" ref="AL25">_xlfn.SWITCH(AI25, "CFU/ml", AK25, "Cells/ml", 0.8*AK25, "OD600", 1.77*10^9*AK25, "N.A.", 0)</f>
        <v>0</v>
      </c>
      <c r="AM25" s="27"/>
    </row>
    <row r="26" spans="1:39" ht="35" customHeight="1" x14ac:dyDescent="0.2">
      <c r="A26" s="32" t="s">
        <v>91</v>
      </c>
      <c r="B26" s="83">
        <f t="shared" si="0"/>
        <v>0</v>
      </c>
      <c r="C26" s="112">
        <f t="shared" si="1"/>
        <v>1.9739208802178717E-2</v>
      </c>
      <c r="D26" s="83">
        <f t="shared" si="2"/>
        <v>0</v>
      </c>
      <c r="E26" s="33" t="s">
        <v>73</v>
      </c>
      <c r="F26" s="34" t="s">
        <v>45</v>
      </c>
      <c r="G26" s="22"/>
      <c r="H26" s="22"/>
      <c r="I26" s="22"/>
      <c r="J26" s="22"/>
      <c r="K26" s="22"/>
      <c r="L26" s="34" cm="1">
        <f t="array" ref="L26">_xlfn.SWITCH(F26, "Artificial UV", G26+H26+I26, "Sunlight (intensity given)", 0.05*J26, "Sunlight (UV Index given)", 1.6*K26, "UV + Sunlight (Intensity)", G26+H26+I26+0.05*J26, "N.A.", 0)</f>
        <v>0</v>
      </c>
      <c r="M26" s="92" t="s">
        <v>295</v>
      </c>
      <c r="N26" s="102" t="s">
        <v>329</v>
      </c>
      <c r="O26" s="35" t="s">
        <v>297</v>
      </c>
      <c r="P26" s="92" t="s">
        <v>41</v>
      </c>
      <c r="Q26" s="105"/>
      <c r="R26" s="114"/>
      <c r="S26" s="60">
        <v>30</v>
      </c>
      <c r="T26" s="60">
        <v>0.25</v>
      </c>
      <c r="U26" s="100">
        <f>S26*2*PI()/60</f>
        <v>3.1415926535897927</v>
      </c>
      <c r="V26" s="105">
        <f>T26*U26</f>
        <v>0.78539816339744817</v>
      </c>
      <c r="W26" s="60"/>
      <c r="X26" s="60"/>
      <c r="Y26" s="60"/>
      <c r="Z26" s="60"/>
      <c r="AA26" s="60">
        <v>0.2</v>
      </c>
      <c r="AB26" s="100">
        <f>AA26*V26</f>
        <v>0.15707963267948966</v>
      </c>
      <c r="AC26" s="104">
        <f>AB26/0.001</f>
        <v>157.07963267948966</v>
      </c>
      <c r="AD26" s="105">
        <f>0.001*AC26</f>
        <v>0.15707963267948966</v>
      </c>
      <c r="AE26" s="105"/>
      <c r="AF26" s="60">
        <f>2*(2*2)/10^4</f>
        <v>8.0000000000000004E-4</v>
      </c>
      <c r="AG26" s="99">
        <f t="array" ref="AG26">_xlfn.SWITCH(P26, "Frictional force", 0.4*Z26, "Drag force", 6*PI()*R26*0.001*AB26, "Shear force", AD26*AF26)</f>
        <v>1.2566370614359174E-4</v>
      </c>
      <c r="AH26" s="96">
        <f t="array" ref="AH26">_xlfn.SWITCH(P26, "Frictional force", AG26*AB26*1000, "Drag force", AG26*AB26*1000, "Shear force", AG26*AB26*1000, "N.A.", 0)</f>
        <v>1.9739208802178717E-2</v>
      </c>
      <c r="AI26" s="94" t="s">
        <v>45</v>
      </c>
      <c r="AJ26" s="94"/>
      <c r="AK26" s="95"/>
      <c r="AL26" s="95" cm="1">
        <f t="array" ref="AL26">_xlfn.SWITCH(AI26, "CFU/ml", AK26, "Cells/ml", 0.8*AK26, "OD600", 1.77*10^9*AK26, "N.A.", 0)</f>
        <v>0</v>
      </c>
      <c r="AM26" s="27"/>
    </row>
    <row r="27" spans="1:39" s="14" customFormat="1" ht="20" customHeight="1" x14ac:dyDescent="0.2">
      <c r="A27" s="32" t="s">
        <v>93</v>
      </c>
      <c r="B27" s="33">
        <f t="shared" si="0"/>
        <v>0</v>
      </c>
      <c r="C27" s="106">
        <f t="shared" si="1"/>
        <v>1.4036770703771534E-3</v>
      </c>
      <c r="D27" s="33">
        <f t="shared" si="2"/>
        <v>0</v>
      </c>
      <c r="E27" s="33" t="s">
        <v>94</v>
      </c>
      <c r="F27" s="22" t="s">
        <v>45</v>
      </c>
      <c r="G27" s="22"/>
      <c r="H27" s="22"/>
      <c r="I27" s="22"/>
      <c r="J27" s="22"/>
      <c r="K27" s="22"/>
      <c r="L27" s="34" cm="1">
        <f t="array" ref="L27">_xlfn.SWITCH(F27, "Artificial UV", G27+H27+I27, "Sunlight (intensity given)", 0.05*J27, "Sunlight (UV Index given)", 1.6*K27, "UV + Sunlight (Intensity)", G27+H27+I27+0.05*J27, "N.A.", 0)</f>
        <v>0</v>
      </c>
      <c r="M27" s="35" t="s">
        <v>321</v>
      </c>
      <c r="N27" s="102" t="s">
        <v>322</v>
      </c>
      <c r="O27" s="102" t="s">
        <v>323</v>
      </c>
      <c r="P27" s="35" t="s">
        <v>41</v>
      </c>
      <c r="Q27" s="105"/>
      <c r="R27" s="114"/>
      <c r="S27" s="60">
        <v>100</v>
      </c>
      <c r="T27" s="60">
        <v>0.04</v>
      </c>
      <c r="U27" s="105">
        <f>S27*2*PI()/60</f>
        <v>10.471975511965978</v>
      </c>
      <c r="V27" s="105">
        <f>T27*U27</f>
        <v>0.41887902047863912</v>
      </c>
      <c r="W27" s="60"/>
      <c r="X27" s="60"/>
      <c r="Y27" s="60"/>
      <c r="Z27" s="60"/>
      <c r="AA27" s="60">
        <v>0.2</v>
      </c>
      <c r="AB27" s="105">
        <f>AA27*V27</f>
        <v>8.3775804095727824E-2</v>
      </c>
      <c r="AC27" s="104">
        <f>AB27/0.001</f>
        <v>83.775804095727821</v>
      </c>
      <c r="AD27" s="105">
        <f>0.001*AC27</f>
        <v>8.3775804095727824E-2</v>
      </c>
      <c r="AE27" s="105"/>
      <c r="AF27" s="60">
        <f>2*(1*1)/10^4</f>
        <v>2.0000000000000001E-4</v>
      </c>
      <c r="AG27" s="120">
        <f t="array" ref="AG27">_xlfn.SWITCH(P27, "Frictional force", 0.4*Z27, "Drag force", 6*PI()*R27*0.001*AB27, "Shear force", AD27*AF27)</f>
        <v>1.6755160819145566E-5</v>
      </c>
      <c r="AH27" s="114">
        <f t="array" ref="AH27">_xlfn.SWITCH(P27, "Frictional force", AG27*AB27*1000, "Drag force", AG27*AB27*1000, "Shear force", AG27*AB27*1000, "N.A.", 0)</f>
        <v>1.4036770703771534E-3</v>
      </c>
      <c r="AI27" s="109" t="s">
        <v>45</v>
      </c>
      <c r="AJ27" s="109"/>
      <c r="AK27" s="37"/>
      <c r="AL27" s="95" cm="1">
        <f t="array" ref="AL27">_xlfn.SWITCH(AI27, "CFU/ml", AK27, "Cells/ml", 0.8*AK27, "OD600", 1.77*10^9*AK27, "N.A.", 0)</f>
        <v>0</v>
      </c>
      <c r="AM27" s="41"/>
    </row>
    <row r="28" spans="1:39" s="11" customFormat="1" ht="35" customHeight="1" x14ac:dyDescent="0.2">
      <c r="A28" s="32" t="s">
        <v>208</v>
      </c>
      <c r="B28" s="83">
        <f t="shared" si="0"/>
        <v>1.65</v>
      </c>
      <c r="C28" s="107">
        <f t="shared" si="1"/>
        <v>2.2008255187676813E-4</v>
      </c>
      <c r="D28" s="45">
        <f t="shared" si="2"/>
        <v>25000</v>
      </c>
      <c r="E28" s="83" t="s">
        <v>70</v>
      </c>
      <c r="F28" s="34" t="s">
        <v>32</v>
      </c>
      <c r="G28" s="22">
        <v>0</v>
      </c>
      <c r="H28" s="22">
        <v>1.65</v>
      </c>
      <c r="I28" s="22">
        <v>0</v>
      </c>
      <c r="J28" s="22"/>
      <c r="K28" s="22"/>
      <c r="L28" s="34" cm="1">
        <f t="array" ref="L28">_xlfn.SWITCH(F28, "Artificial UV", G28+H28+I28, "Sunlight (intensity given)", 0.05*J28, "Sunlight (UV Index given)", 1.6*K28, "UV + Sunlight (Intensity)", G28+H28+I28+0.05*J28, "N.A.", 0)</f>
        <v>1.65</v>
      </c>
      <c r="M28" s="92" t="s">
        <v>330</v>
      </c>
      <c r="N28" s="102" t="s">
        <v>331</v>
      </c>
      <c r="O28" s="35" t="s">
        <v>304</v>
      </c>
      <c r="P28" s="92" t="s">
        <v>37</v>
      </c>
      <c r="Q28" s="105"/>
      <c r="R28" s="114">
        <f>3.5/2/1000</f>
        <v>1.75E-3</v>
      </c>
      <c r="S28" s="60">
        <v>130</v>
      </c>
      <c r="T28" s="60">
        <v>0.03</v>
      </c>
      <c r="U28" s="108">
        <f>S28*2*PI()/60</f>
        <v>13.613568165555769</v>
      </c>
      <c r="V28" s="105">
        <f>T28*U28</f>
        <v>0.40840704496667307</v>
      </c>
      <c r="W28" s="60"/>
      <c r="X28" s="60"/>
      <c r="Y28" s="60"/>
      <c r="Z28" s="60"/>
      <c r="AA28" s="60">
        <v>0.2</v>
      </c>
      <c r="AB28" s="100">
        <f>AA28*V28</f>
        <v>8.168140899333462E-2</v>
      </c>
      <c r="AC28" s="60"/>
      <c r="AD28" s="60"/>
      <c r="AE28" s="60"/>
      <c r="AF28" s="60"/>
      <c r="AG28" s="42">
        <f t="array" ref="AG28">_xlfn.SWITCH(P28, "Frictional force", 0.4*Z28, "Drag force", 6*PI()*R28*0.001*AB28, "Shear force", AD28*AF28)</f>
        <v>2.6944020014973951E-6</v>
      </c>
      <c r="AH28" s="99">
        <f t="array" ref="AH28">_xlfn.SWITCH(P28, "Frictional force", AG28*AB28*1000, "Drag force", AG28*AB28*1000, "Shear force", AG28*AB28*1000, "N.A.", 0)</f>
        <v>2.2008255187676813E-4</v>
      </c>
      <c r="AI28" s="94" t="s">
        <v>34</v>
      </c>
      <c r="AJ28" s="94" t="s">
        <v>305</v>
      </c>
      <c r="AK28" s="94">
        <v>25000</v>
      </c>
      <c r="AL28" s="94" cm="1">
        <f t="array" ref="AL28">_xlfn.SWITCH(AI28, "CFU/ml", AK28, "Cells/ml", 0.8*AK28, "OD600", 1.77*10^9*AK28, "N.A.", 0)</f>
        <v>25000</v>
      </c>
      <c r="AM28" s="110" t="s">
        <v>713</v>
      </c>
    </row>
    <row r="29" spans="1:39" ht="20" customHeight="1" x14ac:dyDescent="0.2">
      <c r="A29" s="33" t="s">
        <v>95</v>
      </c>
      <c r="B29" s="125">
        <f t="shared" si="0"/>
        <v>1.7760000000000002</v>
      </c>
      <c r="C29" s="83">
        <f t="shared" si="1"/>
        <v>0</v>
      </c>
      <c r="D29" s="83">
        <f t="shared" si="2"/>
        <v>0</v>
      </c>
      <c r="E29" s="83" t="s">
        <v>77</v>
      </c>
      <c r="F29" s="34" t="s">
        <v>40</v>
      </c>
      <c r="G29" s="22"/>
      <c r="H29" s="22"/>
      <c r="I29" s="22"/>
      <c r="J29" s="22"/>
      <c r="K29" s="22">
        <v>1.1100000000000001</v>
      </c>
      <c r="L29" s="113" cm="1">
        <f t="array" ref="L29">_xlfn.SWITCH(F29, "Artificial UV", G29+H29+I29, "Sunlight (intensity given)", 0.05*J29, "Sunlight (UV Index given)", 1.6*K29, "UV + Sunlight (Intensity)", G29+H29+I29+0.05*J29, "N.A.", 0)</f>
        <v>1.7760000000000002</v>
      </c>
      <c r="M29" s="92" t="s">
        <v>332</v>
      </c>
      <c r="N29" s="92"/>
      <c r="O29" s="92"/>
      <c r="P29" s="92" t="s">
        <v>45</v>
      </c>
      <c r="Q29" s="43"/>
      <c r="R29" s="43"/>
      <c r="S29" s="43"/>
      <c r="T29" s="43"/>
      <c r="U29" s="108"/>
      <c r="V29" s="43"/>
      <c r="W29" s="43"/>
      <c r="X29" s="43"/>
      <c r="Y29" s="43"/>
      <c r="Z29" s="43"/>
      <c r="AA29" s="43"/>
      <c r="AB29" s="96"/>
      <c r="AC29" s="43"/>
      <c r="AD29" s="43"/>
      <c r="AE29" s="43"/>
      <c r="AF29" s="43"/>
      <c r="AG29" s="43"/>
      <c r="AH29" s="43">
        <f t="array" ref="AH29">_xlfn.SWITCH(P29, "Frictional force", AG29*AB29*1000, "Drag force", AG29*AB29*1000, "Shear force", AG29*AB29*1000, "N.A.", 0)</f>
        <v>0</v>
      </c>
      <c r="AI29" s="94" t="s">
        <v>45</v>
      </c>
      <c r="AJ29" s="94"/>
      <c r="AK29" s="95"/>
      <c r="AL29" s="95" cm="1">
        <f t="array" ref="AL29">_xlfn.SWITCH(AI29, "CFU/ml", AK29, "Cells/ml", 0.8*AK29, "OD600", 1.77*10^9*AK29, "N.A.", 0)</f>
        <v>0</v>
      </c>
      <c r="AM29" s="27"/>
    </row>
    <row r="30" spans="1:39" ht="20" customHeight="1" x14ac:dyDescent="0.2">
      <c r="A30" s="33" t="s">
        <v>97</v>
      </c>
      <c r="B30" s="83">
        <f t="shared" si="0"/>
        <v>27.5</v>
      </c>
      <c r="C30" s="83">
        <f t="shared" si="1"/>
        <v>0</v>
      </c>
      <c r="D30" s="83">
        <f t="shared" si="2"/>
        <v>0</v>
      </c>
      <c r="E30" s="83" t="s">
        <v>98</v>
      </c>
      <c r="F30" s="34" t="s">
        <v>36</v>
      </c>
      <c r="G30" s="22"/>
      <c r="H30" s="22"/>
      <c r="I30" s="22"/>
      <c r="J30" s="22">
        <v>550</v>
      </c>
      <c r="K30" s="22"/>
      <c r="L30" s="34" cm="1">
        <f t="array" ref="L30">_xlfn.SWITCH(F30, "Artificial UV", G30+H30+I30, "Sunlight (intensity given)", 0.05*J30, "Sunlight (UV Index given)", 1.6*K30, "UV + Sunlight (Intensity)", G30+H30+I30+0.05*J30, "N.A.", 0)</f>
        <v>27.5</v>
      </c>
      <c r="M30" s="92" t="s">
        <v>333</v>
      </c>
      <c r="N30" s="92"/>
      <c r="O30" s="92"/>
      <c r="P30" s="92" t="s">
        <v>45</v>
      </c>
      <c r="Q30" s="43"/>
      <c r="R30" s="43"/>
      <c r="S30" s="43"/>
      <c r="T30" s="43"/>
      <c r="U30" s="108"/>
      <c r="V30" s="43"/>
      <c r="W30" s="43"/>
      <c r="X30" s="43"/>
      <c r="Y30" s="43"/>
      <c r="Z30" s="43"/>
      <c r="AA30" s="43"/>
      <c r="AB30" s="96"/>
      <c r="AC30" s="43"/>
      <c r="AD30" s="43"/>
      <c r="AE30" s="43"/>
      <c r="AF30" s="43"/>
      <c r="AG30" s="43"/>
      <c r="AH30" s="43">
        <f t="array" ref="AH30">_xlfn.SWITCH(P30, "Frictional force", AG30*AB30*1000, "Drag force", AG30*AB30*1000, "Shear force", AG30*AB30*1000, "N.A.", 0)</f>
        <v>0</v>
      </c>
      <c r="AI30" s="94" t="s">
        <v>45</v>
      </c>
      <c r="AJ30" s="94"/>
      <c r="AK30" s="95"/>
      <c r="AL30" s="95" cm="1">
        <f t="array" ref="AL30">_xlfn.SWITCH(AI30, "CFU/ml", AK30, "Cells/ml", 0.8*AK30, "OD600", 1.77*10^9*AK30, "N.A.", 0)</f>
        <v>0</v>
      </c>
      <c r="AM30" s="27"/>
    </row>
    <row r="31" spans="1:39" ht="20" customHeight="1" x14ac:dyDescent="0.2">
      <c r="A31" s="33" t="s">
        <v>99</v>
      </c>
      <c r="B31" s="83">
        <f t="shared" si="0"/>
        <v>27.5</v>
      </c>
      <c r="C31" s="83">
        <f t="shared" si="1"/>
        <v>0</v>
      </c>
      <c r="D31" s="83">
        <f t="shared" si="2"/>
        <v>0</v>
      </c>
      <c r="E31" s="83" t="s">
        <v>98</v>
      </c>
      <c r="F31" s="34" t="s">
        <v>36</v>
      </c>
      <c r="G31" s="22"/>
      <c r="H31" s="22"/>
      <c r="I31" s="22"/>
      <c r="J31" s="22">
        <v>550</v>
      </c>
      <c r="K31" s="22"/>
      <c r="L31" s="34" cm="1">
        <f t="array" ref="L31">_xlfn.SWITCH(F31, "Artificial UV", G31+H31+I31, "Sunlight (intensity given)", 0.05*J31, "Sunlight (UV Index given)", 1.6*K31, "UV + Sunlight (Intensity)", G31+H31+I31+0.05*J31, "N.A.", 0)</f>
        <v>27.5</v>
      </c>
      <c r="M31" s="92" t="s">
        <v>334</v>
      </c>
      <c r="N31" s="92"/>
      <c r="O31" s="92"/>
      <c r="P31" s="92" t="s">
        <v>45</v>
      </c>
      <c r="Q31" s="43"/>
      <c r="R31" s="43"/>
      <c r="S31" s="43"/>
      <c r="T31" s="43"/>
      <c r="U31" s="108"/>
      <c r="V31" s="43"/>
      <c r="W31" s="43"/>
      <c r="X31" s="43"/>
      <c r="Y31" s="43"/>
      <c r="Z31" s="43"/>
      <c r="AA31" s="43"/>
      <c r="AB31" s="96"/>
      <c r="AC31" s="43"/>
      <c r="AD31" s="43"/>
      <c r="AE31" s="43"/>
      <c r="AF31" s="43"/>
      <c r="AG31" s="43"/>
      <c r="AH31" s="43">
        <f t="array" ref="AH31">_xlfn.SWITCH(P31, "Frictional force", AG31*AB31*1000, "Drag force", AG31*AB31*1000, "Shear force", AG31*AB31*1000, "N.A.", 0)</f>
        <v>0</v>
      </c>
      <c r="AI31" s="94" t="s">
        <v>45</v>
      </c>
      <c r="AJ31" s="94"/>
      <c r="AK31" s="95"/>
      <c r="AL31" s="95" cm="1">
        <f t="array" ref="AL31">_xlfn.SWITCH(AI31, "CFU/ml", AK31, "Cells/ml", 0.8*AK31, "OD600", 1.77*10^9*AK31, "N.A.", 0)</f>
        <v>0</v>
      </c>
      <c r="AM31" s="27"/>
    </row>
    <row r="32" spans="1:39" ht="20" customHeight="1" x14ac:dyDescent="0.2">
      <c r="A32" s="33" t="s">
        <v>100</v>
      </c>
      <c r="B32" s="83">
        <f t="shared" si="0"/>
        <v>0</v>
      </c>
      <c r="C32" s="107">
        <f t="shared" si="1"/>
        <v>1.4036770703771534E-3</v>
      </c>
      <c r="D32" s="45">
        <f t="shared" si="2"/>
        <v>159300000</v>
      </c>
      <c r="E32" s="33" t="s">
        <v>94</v>
      </c>
      <c r="F32" s="22" t="s">
        <v>45</v>
      </c>
      <c r="G32" s="22"/>
      <c r="H32" s="22"/>
      <c r="I32" s="22"/>
      <c r="J32" s="22"/>
      <c r="K32" s="22"/>
      <c r="L32" s="34" cm="1">
        <f t="array" ref="L32">_xlfn.SWITCH(F32, "Artificial UV", G32+H32+I32, "Sunlight (intensity given)", 0.05*J32, "Sunlight (UV Index given)", 1.6*K32, "UV + Sunlight (Intensity)", G32+H32+I32+0.05*J32, "N.A.", 0)</f>
        <v>0</v>
      </c>
      <c r="M32" s="35" t="s">
        <v>321</v>
      </c>
      <c r="N32" s="102" t="s">
        <v>322</v>
      </c>
      <c r="O32" s="102" t="s">
        <v>335</v>
      </c>
      <c r="P32" s="35" t="s">
        <v>41</v>
      </c>
      <c r="Q32" s="105"/>
      <c r="R32" s="114"/>
      <c r="S32" s="60">
        <v>100</v>
      </c>
      <c r="T32" s="60">
        <v>0.04</v>
      </c>
      <c r="U32" s="105">
        <f t="shared" ref="U32:U37" si="8">S32*2*PI()/60</f>
        <v>10.471975511965978</v>
      </c>
      <c r="V32" s="105">
        <f t="shared" ref="V32:V37" si="9">T32*U32</f>
        <v>0.41887902047863912</v>
      </c>
      <c r="W32" s="60"/>
      <c r="X32" s="60"/>
      <c r="Y32" s="60"/>
      <c r="Z32" s="60"/>
      <c r="AA32" s="60">
        <v>0.2</v>
      </c>
      <c r="AB32" s="105">
        <f t="shared" ref="AB32:AB37" si="10">AA32*V32</f>
        <v>8.3775804095727824E-2</v>
      </c>
      <c r="AC32" s="104">
        <f>AB32/0.001</f>
        <v>83.775804095727821</v>
      </c>
      <c r="AD32" s="105">
        <f>0.001*AC32</f>
        <v>8.3775804095727824E-2</v>
      </c>
      <c r="AE32" s="105"/>
      <c r="AF32" s="60">
        <f>2*(1*1)/10^4</f>
        <v>2.0000000000000001E-4</v>
      </c>
      <c r="AG32" s="114">
        <f t="array" ref="AG32">_xlfn.SWITCH(P32, "Frictional force", 0.4*Z32, "Drag force", 6*PI()*R32*0.001*AB32, "Shear force", AD32*AF32)</f>
        <v>1.6755160819145566E-5</v>
      </c>
      <c r="AH32" s="114">
        <f t="array" ref="AH32">_xlfn.SWITCH(P32, "Frictional force", AG32*AB32*1000, "Drag force", AG32*AB32*1000, "Shear force", AG32*AB32*1000, "N.A.", 0)</f>
        <v>1.4036770703771534E-3</v>
      </c>
      <c r="AI32" s="109" t="s">
        <v>42</v>
      </c>
      <c r="AJ32" s="109" t="s">
        <v>305</v>
      </c>
      <c r="AK32" s="37">
        <v>0.09</v>
      </c>
      <c r="AL32" s="94" cm="1">
        <f t="array" ref="AL32">_xlfn.SWITCH(AI32, "CFU/ml", AK32, "Cells/ml", 0.8*AK32, "OD600", 1.77*10^9*AK32, "N.A.", 0)</f>
        <v>159300000</v>
      </c>
      <c r="AM32" s="40"/>
    </row>
    <row r="33" spans="1:39" s="11" customFormat="1" ht="35" customHeight="1" x14ac:dyDescent="0.2">
      <c r="A33" s="33" t="s">
        <v>148</v>
      </c>
      <c r="B33" s="83">
        <f t="shared" si="0"/>
        <v>0</v>
      </c>
      <c r="C33" s="107">
        <f t="shared" si="1"/>
        <v>1.6170359850744802E-4</v>
      </c>
      <c r="D33" s="45">
        <f t="shared" si="2"/>
        <v>980580000.00000012</v>
      </c>
      <c r="E33" s="33" t="s">
        <v>136</v>
      </c>
      <c r="F33" s="22" t="s">
        <v>45</v>
      </c>
      <c r="G33" s="22"/>
      <c r="H33" s="22"/>
      <c r="I33" s="22"/>
      <c r="J33" s="22"/>
      <c r="K33" s="22"/>
      <c r="L33" s="34" cm="1">
        <f t="array" ref="L33">_xlfn.SWITCH(F33, "Artificial UV", G33+H33+I33, "Sunlight (intensity given)", 0.05*J33, "Sunlight (UV Index given)", 1.6*K33, "UV + Sunlight (Intensity)", G33+H33+I33+0.05*J33, "N.A.", 0)</f>
        <v>0</v>
      </c>
      <c r="M33" s="35" t="s">
        <v>336</v>
      </c>
      <c r="N33" s="102" t="s">
        <v>337</v>
      </c>
      <c r="O33" s="102" t="s">
        <v>301</v>
      </c>
      <c r="P33" s="35" t="s">
        <v>41</v>
      </c>
      <c r="Q33" s="105"/>
      <c r="R33" s="114"/>
      <c r="S33" s="60">
        <v>120</v>
      </c>
      <c r="T33" s="60">
        <v>0.04</v>
      </c>
      <c r="U33" s="105">
        <f t="shared" si="8"/>
        <v>12.566370614359171</v>
      </c>
      <c r="V33" s="105">
        <f t="shared" si="9"/>
        <v>0.50265482457436683</v>
      </c>
      <c r="W33" s="60"/>
      <c r="X33" s="60"/>
      <c r="Y33" s="60"/>
      <c r="Z33" s="60"/>
      <c r="AA33" s="60">
        <v>0.2</v>
      </c>
      <c r="AB33" s="105">
        <f t="shared" si="10"/>
        <v>0.10053096491487337</v>
      </c>
      <c r="AC33" s="104">
        <f>AB33/0.001</f>
        <v>100.53096491487337</v>
      </c>
      <c r="AD33" s="105">
        <f>0.001*AC33</f>
        <v>0.10053096491487337</v>
      </c>
      <c r="AE33" s="105"/>
      <c r="AF33" s="60">
        <f>1*(4*4)/10^6</f>
        <v>1.5999999999999999E-5</v>
      </c>
      <c r="AG33" s="44">
        <f t="array" ref="AG33">_xlfn.SWITCH(P33, "Frictional force", 0.4*Z33, "Drag force", 6*PI()*R33*0.001*AB33, "Shear force", AD33*AF33)</f>
        <v>1.6084954386379739E-6</v>
      </c>
      <c r="AH33" s="114">
        <f t="array" ref="AH33">_xlfn.SWITCH(P33, "Frictional force", AG33*AB33*1000, "Drag force", AG33*AB33*1000, "Shear force", AG33*AB33*1000, "N.A.", 0)</f>
        <v>1.6170359850744802E-4</v>
      </c>
      <c r="AI33" s="109" t="s">
        <v>42</v>
      </c>
      <c r="AJ33" s="109" t="s">
        <v>338</v>
      </c>
      <c r="AK33" s="37">
        <v>0.55400000000000005</v>
      </c>
      <c r="AL33" s="94" cm="1">
        <f t="array" ref="AL33">_xlfn.SWITCH(AI33, "CFU/ml", AK33, "Cells/ml", 0.8*AK33, "OD600", 1.77*10^9*AK33, "N.A.", 0)</f>
        <v>980580000.00000012</v>
      </c>
      <c r="AM33" s="40"/>
    </row>
    <row r="34" spans="1:39" s="11" customFormat="1" ht="35" customHeight="1" x14ac:dyDescent="0.2">
      <c r="A34" s="33" t="s">
        <v>141</v>
      </c>
      <c r="B34" s="83">
        <f t="shared" si="0"/>
        <v>0</v>
      </c>
      <c r="C34" s="107">
        <f t="shared" si="1"/>
        <v>1.6170359850744802E-4</v>
      </c>
      <c r="D34" s="45">
        <f t="shared" si="2"/>
        <v>646050000</v>
      </c>
      <c r="E34" s="33" t="s">
        <v>136</v>
      </c>
      <c r="F34" s="22" t="s">
        <v>45</v>
      </c>
      <c r="G34" s="22"/>
      <c r="H34" s="22"/>
      <c r="I34" s="22"/>
      <c r="J34" s="22"/>
      <c r="K34" s="22"/>
      <c r="L34" s="34" cm="1">
        <f t="array" ref="L34">_xlfn.SWITCH(F34, "Artificial UV", G34+H34+I34, "Sunlight (intensity given)", 0.05*J34, "Sunlight (UV Index given)", 1.6*K34, "UV + Sunlight (Intensity)", G34+H34+I34+0.05*J34, "N.A.", 0)</f>
        <v>0</v>
      </c>
      <c r="M34" s="35" t="s">
        <v>336</v>
      </c>
      <c r="N34" s="102" t="s">
        <v>337</v>
      </c>
      <c r="O34" s="102" t="s">
        <v>301</v>
      </c>
      <c r="P34" s="35" t="s">
        <v>41</v>
      </c>
      <c r="Q34" s="105"/>
      <c r="R34" s="114"/>
      <c r="S34" s="60">
        <v>120</v>
      </c>
      <c r="T34" s="60">
        <v>0.04</v>
      </c>
      <c r="U34" s="105">
        <f t="shared" si="8"/>
        <v>12.566370614359171</v>
      </c>
      <c r="V34" s="105">
        <f t="shared" si="9"/>
        <v>0.50265482457436683</v>
      </c>
      <c r="W34" s="60"/>
      <c r="X34" s="60"/>
      <c r="Y34" s="60"/>
      <c r="Z34" s="60"/>
      <c r="AA34" s="60">
        <v>0.2</v>
      </c>
      <c r="AB34" s="105">
        <f t="shared" si="10"/>
        <v>0.10053096491487337</v>
      </c>
      <c r="AC34" s="104">
        <f>AB34/0.001</f>
        <v>100.53096491487337</v>
      </c>
      <c r="AD34" s="105">
        <f>0.001*AC34</f>
        <v>0.10053096491487337</v>
      </c>
      <c r="AE34" s="105"/>
      <c r="AF34" s="60">
        <f>1*(4*4)/10^6</f>
        <v>1.5999999999999999E-5</v>
      </c>
      <c r="AG34" s="44">
        <f t="array" ref="AG34">_xlfn.SWITCH(P34, "Frictional force", 0.4*Z34, "Drag force", 6*PI()*R34*0.001*AB34, "Shear force", AD34*AF34)</f>
        <v>1.6084954386379739E-6</v>
      </c>
      <c r="AH34" s="114">
        <f t="array" ref="AH34">_xlfn.SWITCH(P34, "Frictional force", AG34*AB34*1000, "Drag force", AG34*AB34*1000, "Shear force", AG34*AB34*1000, "N.A.", 0)</f>
        <v>1.6170359850744802E-4</v>
      </c>
      <c r="AI34" s="109" t="s">
        <v>42</v>
      </c>
      <c r="AJ34" s="109" t="s">
        <v>338</v>
      </c>
      <c r="AK34" s="121">
        <v>0.36499999999999999</v>
      </c>
      <c r="AL34" s="94" cm="1">
        <f t="array" ref="AL34">_xlfn.SWITCH(AI34, "CFU/ml", AK34, "Cells/ml", 0.8*AK34, "OD600", 1.77*10^9*AK34, "N.A.", 0)</f>
        <v>646050000</v>
      </c>
      <c r="AM34" s="40"/>
    </row>
    <row r="35" spans="1:39" s="11" customFormat="1" ht="35" customHeight="1" x14ac:dyDescent="0.2">
      <c r="A35" s="33" t="s">
        <v>142</v>
      </c>
      <c r="B35" s="83">
        <f t="shared" si="0"/>
        <v>0</v>
      </c>
      <c r="C35" s="107">
        <f t="shared" si="1"/>
        <v>1.6170359850744802E-4</v>
      </c>
      <c r="D35" s="45">
        <f t="shared" si="2"/>
        <v>1734600000</v>
      </c>
      <c r="E35" s="33" t="s">
        <v>136</v>
      </c>
      <c r="F35" s="22" t="s">
        <v>45</v>
      </c>
      <c r="G35" s="22"/>
      <c r="H35" s="22"/>
      <c r="I35" s="22"/>
      <c r="J35" s="22"/>
      <c r="K35" s="22"/>
      <c r="L35" s="34" cm="1">
        <f t="array" ref="L35">_xlfn.SWITCH(F35, "Artificial UV", G35+H35+I35, "Sunlight (intensity given)", 0.05*J35, "Sunlight (UV Index given)", 1.6*K35, "UV + Sunlight (Intensity)", G35+H35+I35+0.05*J35, "N.A.", 0)</f>
        <v>0</v>
      </c>
      <c r="M35" s="35" t="s">
        <v>336</v>
      </c>
      <c r="N35" s="102" t="s">
        <v>337</v>
      </c>
      <c r="O35" s="102" t="s">
        <v>301</v>
      </c>
      <c r="P35" s="35" t="s">
        <v>41</v>
      </c>
      <c r="Q35" s="105"/>
      <c r="R35" s="114"/>
      <c r="S35" s="60">
        <v>120</v>
      </c>
      <c r="T35" s="60">
        <v>0.04</v>
      </c>
      <c r="U35" s="105">
        <f t="shared" si="8"/>
        <v>12.566370614359171</v>
      </c>
      <c r="V35" s="105">
        <f t="shared" si="9"/>
        <v>0.50265482457436683</v>
      </c>
      <c r="W35" s="60"/>
      <c r="X35" s="60"/>
      <c r="Y35" s="60"/>
      <c r="Z35" s="60"/>
      <c r="AA35" s="60">
        <v>0.2</v>
      </c>
      <c r="AB35" s="105">
        <f t="shared" si="10"/>
        <v>0.10053096491487337</v>
      </c>
      <c r="AC35" s="104">
        <f>AB35/0.001</f>
        <v>100.53096491487337</v>
      </c>
      <c r="AD35" s="105">
        <f>0.001*AC35</f>
        <v>0.10053096491487337</v>
      </c>
      <c r="AE35" s="105"/>
      <c r="AF35" s="60">
        <f>1*(4*4)/10^6</f>
        <v>1.5999999999999999E-5</v>
      </c>
      <c r="AG35" s="44">
        <f t="array" ref="AG35">_xlfn.SWITCH(P35, "Frictional force", 0.4*Z35, "Drag force", 6*PI()*R35*0.001*AB35, "Shear force", AD35*AF35)</f>
        <v>1.6084954386379739E-6</v>
      </c>
      <c r="AH35" s="114">
        <f t="array" ref="AH35">_xlfn.SWITCH(P35, "Frictional force", AG35*AB35*1000, "Drag force", AG35*AB35*1000, "Shear force", AG35*AB35*1000, "N.A.", 0)</f>
        <v>1.6170359850744802E-4</v>
      </c>
      <c r="AI35" s="109" t="s">
        <v>42</v>
      </c>
      <c r="AJ35" s="109" t="s">
        <v>338</v>
      </c>
      <c r="AK35" s="121">
        <v>0.98</v>
      </c>
      <c r="AL35" s="94" cm="1">
        <f t="array" ref="AL35">_xlfn.SWITCH(AI35, "CFU/ml", AK35, "Cells/ml", 0.8*AK35, "OD600", 1.77*10^9*AK35, "N.A.", 0)</f>
        <v>1734600000</v>
      </c>
      <c r="AM35" s="40"/>
    </row>
    <row r="36" spans="1:39" s="11" customFormat="1" ht="20" customHeight="1" x14ac:dyDescent="0.2">
      <c r="A36" s="33" t="s">
        <v>143</v>
      </c>
      <c r="B36" s="33">
        <f t="shared" si="0"/>
        <v>0</v>
      </c>
      <c r="C36" s="122">
        <f t="shared" si="1"/>
        <v>4.6509415020449733E-5</v>
      </c>
      <c r="D36" s="59">
        <f t="shared" si="2"/>
        <v>1486800000</v>
      </c>
      <c r="E36" s="33" t="s">
        <v>147</v>
      </c>
      <c r="F36" s="22" t="s">
        <v>45</v>
      </c>
      <c r="G36" s="22"/>
      <c r="H36" s="22"/>
      <c r="I36" s="22"/>
      <c r="J36" s="22"/>
      <c r="K36" s="22"/>
      <c r="L36" s="34" cm="1">
        <f t="array" ref="L36">_xlfn.SWITCH(F36, "Artificial UV", G36+H36+I36, "Sunlight (intensity given)", 0.05*J36, "Sunlight (UV Index given)", 1.6*K36, "UV + Sunlight (Intensity)", G36+H36+I36+0.05*J36, "N.A.", 0)</f>
        <v>0</v>
      </c>
      <c r="M36" s="48" t="s">
        <v>308</v>
      </c>
      <c r="N36" s="123" t="s">
        <v>339</v>
      </c>
      <c r="O36" s="124" t="s">
        <v>340</v>
      </c>
      <c r="P36" s="35" t="s">
        <v>37</v>
      </c>
      <c r="Q36" s="116"/>
      <c r="R36" s="114">
        <f>200/2/10^6</f>
        <v>1E-4</v>
      </c>
      <c r="S36" s="60">
        <v>150</v>
      </c>
      <c r="T36" s="60">
        <v>0.05</v>
      </c>
      <c r="U36" s="117">
        <f t="shared" si="8"/>
        <v>15.707963267948966</v>
      </c>
      <c r="V36" s="105">
        <f t="shared" si="9"/>
        <v>0.78539816339744828</v>
      </c>
      <c r="W36" s="60"/>
      <c r="X36" s="60"/>
      <c r="Y36" s="60"/>
      <c r="Z36" s="60"/>
      <c r="AA36" s="60">
        <v>0.2</v>
      </c>
      <c r="AB36" s="105">
        <f t="shared" si="10"/>
        <v>0.15707963267948966</v>
      </c>
      <c r="AC36" s="104"/>
      <c r="AD36" s="105"/>
      <c r="AE36" s="105"/>
      <c r="AF36" s="120"/>
      <c r="AG36" s="44">
        <f t="array" ref="AG36">_xlfn.SWITCH(P36, "Frictional force", 0.4*Z36, "Drag force", 6*PI()*R36*0.001*AB36, "Shear force", AD36*AF36)</f>
        <v>2.9608813203268075E-7</v>
      </c>
      <c r="AH36" s="120">
        <f t="array" ref="AH36">_xlfn.SWITCH(P36, "Frictional force", AG36*AB36*1000, "Drag force", AG36*AB36*1000, "Shear force", AG36*AB36*1000, "N.A.", 0)</f>
        <v>4.6509415020449733E-5</v>
      </c>
      <c r="AI36" s="109" t="s">
        <v>42</v>
      </c>
      <c r="AJ36" s="109" t="s">
        <v>305</v>
      </c>
      <c r="AK36" s="37">
        <v>0.84</v>
      </c>
      <c r="AL36" s="94" cm="1">
        <f t="array" ref="AL36">_xlfn.SWITCH(AI36, "CFU/ml", AK36, "Cells/ml", 0.8*AK36, "OD600", 1.77*10^9*AK36, "N.A.", 0)</f>
        <v>1486800000</v>
      </c>
      <c r="AM36" s="40"/>
    </row>
    <row r="37" spans="1:39" s="11" customFormat="1" ht="35" customHeight="1" x14ac:dyDescent="0.2">
      <c r="A37" s="33" t="s">
        <v>199</v>
      </c>
      <c r="B37" s="83">
        <f t="shared" si="0"/>
        <v>1.65</v>
      </c>
      <c r="C37" s="107">
        <f t="shared" si="1"/>
        <v>2.2008255187676813E-4</v>
      </c>
      <c r="D37" s="45">
        <f t="shared" si="2"/>
        <v>25000</v>
      </c>
      <c r="E37" s="83" t="s">
        <v>70</v>
      </c>
      <c r="F37" s="34" t="s">
        <v>32</v>
      </c>
      <c r="G37" s="22">
        <v>0</v>
      </c>
      <c r="H37" s="22">
        <v>1.65</v>
      </c>
      <c r="I37" s="22">
        <v>0</v>
      </c>
      <c r="J37" s="22"/>
      <c r="K37" s="22"/>
      <c r="L37" s="34" cm="1">
        <f t="array" ref="L37">_xlfn.SWITCH(F37, "Artificial UV", G37+H37+I37, "Sunlight (intensity given)", 0.05*J37, "Sunlight (UV Index given)", 1.6*K37, "UV + Sunlight (Intensity)", G37+H37+I37+0.05*J37, "N.A.", 0)</f>
        <v>1.65</v>
      </c>
      <c r="M37" s="92" t="s">
        <v>330</v>
      </c>
      <c r="N37" s="102" t="s">
        <v>331</v>
      </c>
      <c r="O37" s="35" t="s">
        <v>304</v>
      </c>
      <c r="P37" s="92" t="s">
        <v>37</v>
      </c>
      <c r="Q37" s="105"/>
      <c r="R37" s="114">
        <f>3.5/2/1000</f>
        <v>1.75E-3</v>
      </c>
      <c r="S37" s="60">
        <v>130</v>
      </c>
      <c r="T37" s="60">
        <v>0.03</v>
      </c>
      <c r="U37" s="108">
        <f t="shared" si="8"/>
        <v>13.613568165555769</v>
      </c>
      <c r="V37" s="105">
        <f t="shared" si="9"/>
        <v>0.40840704496667307</v>
      </c>
      <c r="W37" s="60"/>
      <c r="X37" s="60"/>
      <c r="Y37" s="60"/>
      <c r="Z37" s="60"/>
      <c r="AA37" s="60">
        <v>0.2</v>
      </c>
      <c r="AB37" s="100">
        <f t="shared" si="10"/>
        <v>8.168140899333462E-2</v>
      </c>
      <c r="AC37" s="60"/>
      <c r="AD37" s="60"/>
      <c r="AE37" s="60"/>
      <c r="AF37" s="60"/>
      <c r="AG37" s="42">
        <f t="array" ref="AG37">_xlfn.SWITCH(P37, "Frictional force", 0.4*Z37, "Drag force", 6*PI()*R37*0.001*AB37, "Shear force", AD37*AF37)</f>
        <v>2.6944020014973951E-6</v>
      </c>
      <c r="AH37" s="99">
        <f t="array" ref="AH37">_xlfn.SWITCH(P37, "Frictional force", AG37*AB37*1000, "Drag force", AG37*AB37*1000, "Shear force", AG37*AB37*1000, "N.A.", 0)</f>
        <v>2.2008255187676813E-4</v>
      </c>
      <c r="AI37" s="94" t="s">
        <v>34</v>
      </c>
      <c r="AJ37" s="94" t="s">
        <v>305</v>
      </c>
      <c r="AK37" s="94">
        <v>25000</v>
      </c>
      <c r="AL37" s="94" cm="1">
        <f t="array" ref="AL37">_xlfn.SWITCH(AI37, "CFU/ml", AK37, "Cells/ml", 0.8*AK37, "OD600", 1.77*10^9*AK37, "N.A.", 0)</f>
        <v>25000</v>
      </c>
      <c r="AM37" s="110" t="s">
        <v>713</v>
      </c>
    </row>
    <row r="38" spans="1:39" ht="20" customHeight="1" x14ac:dyDescent="0.2">
      <c r="A38" s="33" t="s">
        <v>341</v>
      </c>
      <c r="B38" s="83">
        <f t="shared" si="0"/>
        <v>11.169999999999998</v>
      </c>
      <c r="C38" s="83">
        <f t="shared" si="1"/>
        <v>0</v>
      </c>
      <c r="D38" s="83">
        <f t="shared" si="2"/>
        <v>0</v>
      </c>
      <c r="E38" s="33" t="s">
        <v>60</v>
      </c>
      <c r="F38" s="34" t="s">
        <v>32</v>
      </c>
      <c r="G38" s="34">
        <v>11.01</v>
      </c>
      <c r="H38" s="34">
        <v>0.12</v>
      </c>
      <c r="I38" s="34">
        <v>0.04</v>
      </c>
      <c r="J38" s="22"/>
      <c r="K38" s="22"/>
      <c r="L38" s="34" cm="1">
        <f t="array" ref="L38">_xlfn.SWITCH(F38, "Artificial UV", G38+H38+I38, "Sunlight (intensity given)", 0.05*J38, "Sunlight (UV Index given)", 1.6*K38, "UV + Sunlight (Intensity)", G38+H38+I38+0.05*J38, "N.A.", 0)</f>
        <v>11.169999999999998</v>
      </c>
      <c r="M38" s="92" t="s">
        <v>342</v>
      </c>
      <c r="N38" s="102"/>
      <c r="O38" s="35"/>
      <c r="P38" s="92" t="s">
        <v>45</v>
      </c>
      <c r="Q38" s="105"/>
      <c r="R38" s="114"/>
      <c r="S38" s="60"/>
      <c r="T38" s="60"/>
      <c r="U38" s="108"/>
      <c r="V38" s="105"/>
      <c r="W38" s="60"/>
      <c r="X38" s="60"/>
      <c r="Y38" s="60"/>
      <c r="Z38" s="60"/>
      <c r="AA38" s="60"/>
      <c r="AB38" s="100"/>
      <c r="AC38" s="60"/>
      <c r="AD38" s="60"/>
      <c r="AE38" s="60"/>
      <c r="AF38" s="60"/>
      <c r="AG38" s="42"/>
      <c r="AH38" s="99"/>
      <c r="AI38" s="94" t="s">
        <v>45</v>
      </c>
      <c r="AJ38" s="94"/>
      <c r="AK38" s="95"/>
      <c r="AL38" s="95" cm="1">
        <f t="array" ref="AL38">_xlfn.SWITCH(AI38, "CFU/ml", AK38, "Cells/ml", 0.8*AK38, "OD600", 1.77*10^9*AK38, "N.A.", 0)</f>
        <v>0</v>
      </c>
      <c r="AM38" s="27"/>
    </row>
    <row r="39" spans="1:39" ht="20" customHeight="1" x14ac:dyDescent="0.2">
      <c r="A39" s="33" t="s">
        <v>343</v>
      </c>
      <c r="B39" s="125">
        <f t="shared" si="0"/>
        <v>9.625</v>
      </c>
      <c r="C39" s="83">
        <f t="shared" si="1"/>
        <v>0</v>
      </c>
      <c r="D39" s="83">
        <f t="shared" si="2"/>
        <v>0</v>
      </c>
      <c r="E39" s="33" t="s">
        <v>102</v>
      </c>
      <c r="F39" s="34" t="s">
        <v>36</v>
      </c>
      <c r="G39" s="22"/>
      <c r="H39" s="22"/>
      <c r="I39" s="22"/>
      <c r="J39" s="22">
        <v>192.5</v>
      </c>
      <c r="K39" s="22"/>
      <c r="L39" s="113" cm="1">
        <f t="array" ref="L39">_xlfn.SWITCH(F39, "Artificial UV", G39+H39+I39, "Sunlight (intensity given)", 0.05*J39, "Sunlight (UV Index given)", 1.6*K39, "UV + Sunlight (Intensity)", G39+H39+I39+0.05*J39, "N.A.", 0)</f>
        <v>9.625</v>
      </c>
      <c r="M39" s="92" t="s">
        <v>344</v>
      </c>
      <c r="N39" s="92"/>
      <c r="O39" s="98"/>
      <c r="P39" s="92" t="s">
        <v>45</v>
      </c>
      <c r="Q39" s="43"/>
      <c r="R39" s="114"/>
      <c r="S39" s="60"/>
      <c r="T39" s="43"/>
      <c r="U39" s="100"/>
      <c r="V39" s="96"/>
      <c r="W39" s="60"/>
      <c r="X39" s="99"/>
      <c r="Y39" s="96"/>
      <c r="Z39" s="100"/>
      <c r="AA39" s="43"/>
      <c r="AB39" s="96"/>
      <c r="AC39" s="60"/>
      <c r="AD39" s="60"/>
      <c r="AE39" s="60"/>
      <c r="AF39" s="60"/>
      <c r="AG39" s="96"/>
      <c r="AH39" s="43">
        <f t="array" ref="AH39">_xlfn.SWITCH(P39, "Frictional force", AG39*AB39*1000, "Drag force", AG39*AB39*1000, "Shear force", AG39*AB39*1000, "N.A.", 0)</f>
        <v>0</v>
      </c>
      <c r="AI39" s="94" t="s">
        <v>45</v>
      </c>
      <c r="AJ39" s="94"/>
      <c r="AK39" s="95"/>
      <c r="AL39" s="95" cm="1">
        <f t="array" ref="AL39">_xlfn.SWITCH(AI39, "CFU/ml", AK39, "Cells/ml", 0.8*AK39, "OD600", 1.77*10^9*AK39, "N.A.", 0)</f>
        <v>0</v>
      </c>
      <c r="AM39" s="27"/>
    </row>
    <row r="40" spans="1:39" ht="20" customHeight="1" x14ac:dyDescent="0.2">
      <c r="A40" s="33" t="s">
        <v>345</v>
      </c>
      <c r="B40" s="83">
        <f t="shared" si="0"/>
        <v>0</v>
      </c>
      <c r="C40" s="112">
        <f t="shared" si="1"/>
        <v>3.0626036518612055E-2</v>
      </c>
      <c r="D40" s="83">
        <f t="shared" si="2"/>
        <v>0</v>
      </c>
      <c r="E40" s="33" t="s">
        <v>60</v>
      </c>
      <c r="F40" s="34" t="s">
        <v>45</v>
      </c>
      <c r="G40" s="22"/>
      <c r="H40" s="22"/>
      <c r="I40" s="22"/>
      <c r="J40" s="22"/>
      <c r="K40" s="22"/>
      <c r="L40" s="34" cm="1">
        <f t="array" ref="L40">_xlfn.SWITCH(F40, "Artificial UV", G40+H40+I40, "Sunlight (intensity given)", 0.05*J40, "Sunlight (UV Index given)", 1.6*K40, "UV + Sunlight (Intensity)", G40+H40+I40+0.05*J40, "N.A.", 0)</f>
        <v>0</v>
      </c>
      <c r="M40" s="92" t="s">
        <v>342</v>
      </c>
      <c r="N40" s="92" t="s">
        <v>291</v>
      </c>
      <c r="O40" s="98" t="s">
        <v>708</v>
      </c>
      <c r="P40" s="92" t="s">
        <v>33</v>
      </c>
      <c r="Q40" s="43">
        <f>0.015*22/1000</f>
        <v>3.2999999999999994E-4</v>
      </c>
      <c r="R40" s="114">
        <f>(3*22/4/PI())^(1/3)/1000</f>
        <v>1.7382464742914955E-3</v>
      </c>
      <c r="S40" s="60">
        <v>37</v>
      </c>
      <c r="T40" s="43">
        <v>1.4999999999999999E-2</v>
      </c>
      <c r="U40" s="100">
        <f t="shared" ref="U40:U43" si="11">S40*2*PI()/60</f>
        <v>3.8746309394274117</v>
      </c>
      <c r="V40" s="100">
        <f>U40*T40</f>
        <v>5.8119464091411173E-2</v>
      </c>
      <c r="W40" s="60">
        <v>50</v>
      </c>
      <c r="X40" s="99">
        <f>2*R40</f>
        <v>3.4764929485829911E-3</v>
      </c>
      <c r="Y40" s="96">
        <f>R40^2/T40^2</f>
        <v>1.3428892468385845E-2</v>
      </c>
      <c r="Z40" s="96">
        <f>(Y40*W40)*9.81/1000</f>
        <v>6.5868717557432564E-3</v>
      </c>
      <c r="AA40" s="43">
        <v>0.2</v>
      </c>
      <c r="AB40" s="100">
        <f t="shared" ref="AB40:AB43" si="12">AA40*V40</f>
        <v>1.1623892818282236E-2</v>
      </c>
      <c r="AC40" s="60"/>
      <c r="AD40" s="60"/>
      <c r="AE40" s="60"/>
      <c r="AF40" s="60"/>
      <c r="AG40" s="96">
        <f t="array" ref="AG40">_xlfn.SWITCH(P40, "Frictional force", 0.4*Z40, "Drag force", 6*PI()*R40*0.001*AB40, "Shear force", AD40*AF40)</f>
        <v>2.6347487022973029E-3</v>
      </c>
      <c r="AH40" s="96">
        <f t="array" ref="AH40">_xlfn.SWITCH(P40, "Frictional force", AG40*AB40*1000, "Drag force", AG40*AB40*1000, "Shear force", AG40*AB40*1000, "N.A.", 0)</f>
        <v>3.0626036518612055E-2</v>
      </c>
      <c r="AI40" s="94" t="s">
        <v>45</v>
      </c>
      <c r="AJ40" s="94"/>
      <c r="AK40" s="95"/>
      <c r="AL40" s="95" cm="1">
        <f t="array" ref="AL40">_xlfn.SWITCH(AI40, "CFU/ml", AK40, "Cells/ml", 0.8*AK40, "OD600", 1.77*10^9*AK40, "N.A.", 0)</f>
        <v>0</v>
      </c>
      <c r="AM40" s="27"/>
    </row>
    <row r="41" spans="1:39" s="11" customFormat="1" ht="35" customHeight="1" x14ac:dyDescent="0.2">
      <c r="A41" s="33" t="s">
        <v>103</v>
      </c>
      <c r="B41" s="33">
        <f t="shared" si="0"/>
        <v>0</v>
      </c>
      <c r="C41" s="126">
        <f t="shared" si="1"/>
        <v>5.9217626406536147E-2</v>
      </c>
      <c r="D41" s="33">
        <f t="shared" si="2"/>
        <v>0</v>
      </c>
      <c r="E41" s="32" t="s">
        <v>73</v>
      </c>
      <c r="F41" s="22" t="s">
        <v>45</v>
      </c>
      <c r="G41" s="22"/>
      <c r="H41" s="22"/>
      <c r="I41" s="22"/>
      <c r="J41" s="22"/>
      <c r="K41" s="22"/>
      <c r="L41" s="34" cm="1">
        <f t="array" ref="L41">_xlfn.SWITCH(F41, "Artificial UV", G41+H41+I41, "Sunlight (intensity given)", 0.05*J41, "Sunlight (UV Index given)", 1.6*K41, "UV + Sunlight (Intensity)", G41+H41+I41+0.05*J41, "N.A.", 0)</f>
        <v>0</v>
      </c>
      <c r="M41" s="35" t="s">
        <v>346</v>
      </c>
      <c r="N41" s="102" t="s">
        <v>347</v>
      </c>
      <c r="O41" s="35" t="s">
        <v>297</v>
      </c>
      <c r="P41" s="35" t="s">
        <v>41</v>
      </c>
      <c r="Q41" s="60"/>
      <c r="R41" s="60"/>
      <c r="S41" s="60">
        <v>30</v>
      </c>
      <c r="T41" s="60">
        <v>0.25</v>
      </c>
      <c r="U41" s="105">
        <f t="shared" si="11"/>
        <v>3.1415926535897927</v>
      </c>
      <c r="V41" s="105">
        <f>T41*U41</f>
        <v>0.78539816339744817</v>
      </c>
      <c r="W41" s="60"/>
      <c r="X41" s="60"/>
      <c r="Y41" s="60"/>
      <c r="Z41" s="60"/>
      <c r="AA41" s="60">
        <v>0.2</v>
      </c>
      <c r="AB41" s="105">
        <f t="shared" si="12"/>
        <v>0.15707963267948966</v>
      </c>
      <c r="AC41" s="104">
        <f>AB41/0.001</f>
        <v>157.07963267948966</v>
      </c>
      <c r="AD41" s="105">
        <f>0.001*AC41</f>
        <v>0.15707963267948966</v>
      </c>
      <c r="AE41" s="105"/>
      <c r="AF41" s="60">
        <f>6*(2*2)/10^4</f>
        <v>2.3999999999999998E-3</v>
      </c>
      <c r="AG41" s="114">
        <f t="array" ref="AG41">_xlfn.SWITCH(P41, "Frictional force", 0.4*Z41, "Drag force", 6*PI()*R41*0.001*AB41, "Shear force", AD41*AF41)</f>
        <v>3.7699111843077514E-4</v>
      </c>
      <c r="AH41" s="134">
        <f t="array" ref="AH41">_xlfn.SWITCH(P41, "Frictional force", AG41*AB41*1000, "Drag force", AG41*AB41*1000, "Shear force", AG41*AB41*1000, "N.A.", 0)</f>
        <v>5.9217626406536147E-2</v>
      </c>
      <c r="AI41" s="109" t="s">
        <v>45</v>
      </c>
      <c r="AJ41" s="109"/>
      <c r="AK41" s="37"/>
      <c r="AL41" s="37" cm="1">
        <f t="array" ref="AL41">_xlfn.SWITCH(AI41, "CFU/ml", AK41, "Cells/ml", 0.8*AK41, "OD600", 1.77*10^9*AK41, "N.A.", 0)</f>
        <v>0</v>
      </c>
      <c r="AM41" s="40"/>
    </row>
    <row r="42" spans="1:39" s="11" customFormat="1" ht="20" customHeight="1" x14ac:dyDescent="0.2">
      <c r="A42" s="33" t="s">
        <v>645</v>
      </c>
      <c r="B42" s="33">
        <f t="shared" si="0"/>
        <v>0</v>
      </c>
      <c r="C42" s="106">
        <f t="shared" si="1"/>
        <v>1.1229416563017226E-4</v>
      </c>
      <c r="D42" s="33">
        <f t="shared" si="2"/>
        <v>0</v>
      </c>
      <c r="E42" s="33" t="s">
        <v>298</v>
      </c>
      <c r="F42" s="22" t="s">
        <v>45</v>
      </c>
      <c r="G42" s="22"/>
      <c r="H42" s="22"/>
      <c r="I42" s="22"/>
      <c r="J42" s="22"/>
      <c r="K42" s="22"/>
      <c r="L42" s="34" cm="1">
        <f t="array" ref="L42">_xlfn.SWITCH(F42, "Artificial UV", G42+H42+I42, "Sunlight (intensity given)", 0.05*J42, "Sunlight (UV Index given)", 1.6*K42, "UV + Sunlight (Intensity)", G42+H42+I42+0.05*J42, "N.A.", 0)</f>
        <v>0</v>
      </c>
      <c r="M42" s="35" t="s">
        <v>349</v>
      </c>
      <c r="N42" s="102" t="s">
        <v>300</v>
      </c>
      <c r="O42" s="102" t="s">
        <v>301</v>
      </c>
      <c r="P42" s="35" t="s">
        <v>41</v>
      </c>
      <c r="Q42" s="105"/>
      <c r="R42" s="114"/>
      <c r="S42" s="60">
        <v>100</v>
      </c>
      <c r="T42" s="60">
        <v>0.04</v>
      </c>
      <c r="U42" s="105">
        <f t="shared" si="11"/>
        <v>10.471975511965978</v>
      </c>
      <c r="V42" s="105">
        <f>T42*U42</f>
        <v>0.41887902047863912</v>
      </c>
      <c r="W42" s="60"/>
      <c r="X42" s="60"/>
      <c r="Y42" s="60"/>
      <c r="Z42" s="60"/>
      <c r="AA42" s="60">
        <v>0.2</v>
      </c>
      <c r="AB42" s="105">
        <f t="shared" si="12"/>
        <v>8.3775804095727824E-2</v>
      </c>
      <c r="AC42" s="104">
        <f>AB42/0.001</f>
        <v>83.775804095727821</v>
      </c>
      <c r="AD42" s="105">
        <f>0.001*AC42</f>
        <v>8.3775804095727824E-2</v>
      </c>
      <c r="AE42" s="105"/>
      <c r="AF42" s="60">
        <f>1*(4*4)/10^6</f>
        <v>1.5999999999999999E-5</v>
      </c>
      <c r="AG42" s="44">
        <f t="array" ref="AG42">_xlfn.SWITCH(P42, "Frictional force", 0.4*Z42, "Drag force", 6*PI()*R42*0.001*AB42, "Shear force", AD42*AF42)</f>
        <v>1.3404128655316452E-6</v>
      </c>
      <c r="AH42" s="114">
        <f t="array" ref="AH42">_xlfn.SWITCH(P42, "Frictional force", AG42*AB42*1000, "Drag force", AG42*AB42*1000, "Shear force", AG42*AB42*1000, "N.A.", 0)</f>
        <v>1.1229416563017226E-4</v>
      </c>
      <c r="AI42" s="109" t="s">
        <v>45</v>
      </c>
      <c r="AJ42" s="109"/>
      <c r="AK42" s="37"/>
      <c r="AL42" s="95" cm="1">
        <f t="array" ref="AL42">_xlfn.SWITCH(AI42, "CFU/ml", AK42, "Cells/ml", 0.8*AK42, "OD600", 1.77*10^9*AK42, "N.A.", 0)</f>
        <v>0</v>
      </c>
      <c r="AM42" s="40"/>
    </row>
    <row r="43" spans="1:39" s="11" customFormat="1" ht="20" customHeight="1" x14ac:dyDescent="0.2">
      <c r="A43" s="33" t="s">
        <v>348</v>
      </c>
      <c r="B43" s="33">
        <f t="shared" si="0"/>
        <v>4.99</v>
      </c>
      <c r="C43" s="106">
        <f t="shared" si="1"/>
        <v>1.1229416563017226E-4</v>
      </c>
      <c r="D43" s="33">
        <f t="shared" si="2"/>
        <v>0</v>
      </c>
      <c r="E43" s="33" t="s">
        <v>298</v>
      </c>
      <c r="F43" s="22" t="s">
        <v>32</v>
      </c>
      <c r="G43" s="22">
        <v>0</v>
      </c>
      <c r="H43" s="22">
        <v>0</v>
      </c>
      <c r="I43" s="22">
        <v>4.99</v>
      </c>
      <c r="J43" s="22"/>
      <c r="K43" s="22"/>
      <c r="L43" s="34" cm="1">
        <f t="array" ref="L43">_xlfn.SWITCH(F43, "Artificial UV", G43+H43+I43, "Sunlight (intensity given)", 0.05*J43, "Sunlight (UV Index given)", 1.6*K43, "UV + Sunlight (Intensity)", G43+H43+I43+0.05*J43, "N.A.", 0)</f>
        <v>4.99</v>
      </c>
      <c r="M43" s="35" t="s">
        <v>349</v>
      </c>
      <c r="N43" s="102" t="s">
        <v>300</v>
      </c>
      <c r="O43" s="102" t="s">
        <v>301</v>
      </c>
      <c r="P43" s="35" t="s">
        <v>41</v>
      </c>
      <c r="Q43" s="105"/>
      <c r="R43" s="114"/>
      <c r="S43" s="60">
        <v>100</v>
      </c>
      <c r="T43" s="60">
        <v>0.04</v>
      </c>
      <c r="U43" s="105">
        <f t="shared" si="11"/>
        <v>10.471975511965978</v>
      </c>
      <c r="V43" s="105">
        <f>T43*U43</f>
        <v>0.41887902047863912</v>
      </c>
      <c r="W43" s="60"/>
      <c r="X43" s="60"/>
      <c r="Y43" s="60"/>
      <c r="Z43" s="60"/>
      <c r="AA43" s="60">
        <v>0.2</v>
      </c>
      <c r="AB43" s="105">
        <f t="shared" si="12"/>
        <v>8.3775804095727824E-2</v>
      </c>
      <c r="AC43" s="104">
        <f>AB43/0.001</f>
        <v>83.775804095727821</v>
      </c>
      <c r="AD43" s="105">
        <f>0.001*AC43</f>
        <v>8.3775804095727824E-2</v>
      </c>
      <c r="AE43" s="105"/>
      <c r="AF43" s="60">
        <f>1*(4*4)/10^6</f>
        <v>1.5999999999999999E-5</v>
      </c>
      <c r="AG43" s="44">
        <f t="array" ref="AG43">_xlfn.SWITCH(P43, "Frictional force", 0.4*Z43, "Drag force", 6*PI()*R43*0.001*AB43, "Shear force", AD43*AF43)</f>
        <v>1.3404128655316452E-6</v>
      </c>
      <c r="AH43" s="114">
        <f t="array" ref="AH43">_xlfn.SWITCH(P43, "Frictional force", AG43*AB43*1000, "Drag force", AG43*AB43*1000, "Shear force", AG43*AB43*1000, "N.A.", 0)</f>
        <v>1.1229416563017226E-4</v>
      </c>
      <c r="AI43" s="109" t="s">
        <v>45</v>
      </c>
      <c r="AJ43" s="109"/>
      <c r="AK43" s="37"/>
      <c r="AL43" s="95" cm="1">
        <f t="array" ref="AL43">_xlfn.SWITCH(AI43, "CFU/ml", AK43, "Cells/ml", 0.8*AK43, "OD600", 1.77*10^9*AK43, "N.A.", 0)</f>
        <v>0</v>
      </c>
      <c r="AM43" s="40"/>
    </row>
    <row r="44" spans="1:39" s="11" customFormat="1" ht="20" customHeight="1" x14ac:dyDescent="0.2">
      <c r="A44" s="33" t="s">
        <v>350</v>
      </c>
      <c r="B44" s="83">
        <f t="shared" si="0"/>
        <v>11.169999999999998</v>
      </c>
      <c r="C44" s="83">
        <f t="shared" si="1"/>
        <v>0</v>
      </c>
      <c r="D44" s="83">
        <f t="shared" si="2"/>
        <v>0</v>
      </c>
      <c r="E44" s="33" t="s">
        <v>60</v>
      </c>
      <c r="F44" s="34" t="s">
        <v>32</v>
      </c>
      <c r="G44" s="34">
        <v>11.01</v>
      </c>
      <c r="H44" s="34">
        <v>0.12</v>
      </c>
      <c r="I44" s="34">
        <v>0.04</v>
      </c>
      <c r="J44" s="22"/>
      <c r="K44" s="22"/>
      <c r="L44" s="34" cm="1">
        <f t="array" ref="L44">_xlfn.SWITCH(F44, "Artificial UV", G44+H44+I44, "Sunlight (intensity given)", 0.05*J44, "Sunlight (UV Index given)", 1.6*K44, "UV + Sunlight (Intensity)", G44+H44+I44+0.05*J44, "N.A.", 0)</f>
        <v>11.169999999999998</v>
      </c>
      <c r="M44" s="92" t="s">
        <v>342</v>
      </c>
      <c r="N44" s="102"/>
      <c r="O44" s="35"/>
      <c r="P44" s="92" t="s">
        <v>45</v>
      </c>
      <c r="Q44" s="60"/>
      <c r="R44" s="60"/>
      <c r="S44" s="60"/>
      <c r="T44" s="60"/>
      <c r="U44" s="100"/>
      <c r="V44" s="105"/>
      <c r="W44" s="60"/>
      <c r="X44" s="60"/>
      <c r="Y44" s="60"/>
      <c r="Z44" s="60"/>
      <c r="AA44" s="60"/>
      <c r="AB44" s="100"/>
      <c r="AC44" s="104"/>
      <c r="AD44" s="105"/>
      <c r="AE44" s="105"/>
      <c r="AF44" s="114"/>
      <c r="AG44" s="99"/>
      <c r="AH44" s="43">
        <f t="array" ref="AH44">_xlfn.SWITCH(P44, "Frictional force", AG44*AB44*1000, "Drag force", AG44*AB44*1000, "Shear force", AG44*AB44*1000, "N.A.", 0)</f>
        <v>0</v>
      </c>
      <c r="AI44" s="94" t="s">
        <v>45</v>
      </c>
      <c r="AJ44" s="94"/>
      <c r="AK44" s="37"/>
      <c r="AL44" s="95" cm="1">
        <f t="array" ref="AL44">_xlfn.SWITCH(AI44, "CFU/ml", AK44, "Cells/ml", 0.8*AK44, "OD600", 1.77*10^9*AK44, "N.A.", 0)</f>
        <v>0</v>
      </c>
      <c r="AM44" s="40"/>
    </row>
    <row r="45" spans="1:39" s="11" customFormat="1" ht="20" customHeight="1" x14ac:dyDescent="0.2">
      <c r="A45" s="33" t="s">
        <v>351</v>
      </c>
      <c r="B45" s="125">
        <f t="shared" si="0"/>
        <v>9.625</v>
      </c>
      <c r="C45" s="83">
        <f t="shared" si="1"/>
        <v>0</v>
      </c>
      <c r="D45" s="83">
        <f t="shared" si="2"/>
        <v>0</v>
      </c>
      <c r="E45" s="33" t="s">
        <v>102</v>
      </c>
      <c r="F45" s="34" t="s">
        <v>36</v>
      </c>
      <c r="G45" s="22"/>
      <c r="H45" s="22"/>
      <c r="I45" s="22"/>
      <c r="J45" s="22">
        <v>192.5</v>
      </c>
      <c r="K45" s="22"/>
      <c r="L45" s="113" cm="1">
        <f t="array" ref="L45">_xlfn.SWITCH(F45, "Artificial UV", G45+H45+I45, "Sunlight (intensity given)", 0.05*J45, "Sunlight (UV Index given)", 1.6*K45, "UV + Sunlight (Intensity)", G45+H45+I45+0.05*J45, "N.A.", 0)</f>
        <v>9.625</v>
      </c>
      <c r="M45" s="35" t="s">
        <v>344</v>
      </c>
      <c r="N45" s="102"/>
      <c r="O45" s="35"/>
      <c r="P45" s="92" t="s">
        <v>45</v>
      </c>
      <c r="Q45" s="60"/>
      <c r="R45" s="60"/>
      <c r="S45" s="60"/>
      <c r="T45" s="60"/>
      <c r="U45" s="100"/>
      <c r="V45" s="105"/>
      <c r="W45" s="60"/>
      <c r="X45" s="60"/>
      <c r="Y45" s="60"/>
      <c r="Z45" s="60"/>
      <c r="AA45" s="60"/>
      <c r="AB45" s="100"/>
      <c r="AC45" s="104"/>
      <c r="AD45" s="105"/>
      <c r="AE45" s="105"/>
      <c r="AF45" s="114"/>
      <c r="AG45" s="99"/>
      <c r="AH45" s="43">
        <f t="array" ref="AH45">_xlfn.SWITCH(P45, "Frictional force", AG45*AB45*1000, "Drag force", AG45*AB45*1000, "Shear force", AG45*AB45*1000, "N.A.", 0)</f>
        <v>0</v>
      </c>
      <c r="AI45" s="94" t="s">
        <v>45</v>
      </c>
      <c r="AJ45" s="94"/>
      <c r="AK45" s="37"/>
      <c r="AL45" s="95" cm="1">
        <f t="array" ref="AL45">_xlfn.SWITCH(AI45, "CFU/ml", AK45, "Cells/ml", 0.8*AK45, "OD600", 1.77*10^9*AK45, "N.A.", 0)</f>
        <v>0</v>
      </c>
      <c r="AM45" s="40"/>
    </row>
    <row r="46" spans="1:39" s="11" customFormat="1" ht="20" customHeight="1" x14ac:dyDescent="0.2">
      <c r="A46" s="33" t="s">
        <v>104</v>
      </c>
      <c r="B46" s="83">
        <f t="shared" si="0"/>
        <v>14</v>
      </c>
      <c r="C46" s="83">
        <f t="shared" si="1"/>
        <v>0</v>
      </c>
      <c r="D46" s="45">
        <f t="shared" si="2"/>
        <v>40</v>
      </c>
      <c r="E46" s="33" t="s">
        <v>85</v>
      </c>
      <c r="F46" s="34" t="s">
        <v>32</v>
      </c>
      <c r="G46" s="22">
        <v>14</v>
      </c>
      <c r="H46" s="22">
        <v>0</v>
      </c>
      <c r="I46" s="22">
        <v>0</v>
      </c>
      <c r="J46" s="22"/>
      <c r="K46" s="22"/>
      <c r="L46" s="34" cm="1">
        <f t="array" ref="L46">_xlfn.SWITCH(F46, "Artificial UV", G46+H46+I46, "Sunlight (intensity given)", 0.05*J46, "Sunlight (UV Index given)", 1.6*K46, "UV + Sunlight (Intensity)", G46+H46+I46+0.05*J46, "N.A.", 0)</f>
        <v>14</v>
      </c>
      <c r="M46" s="35" t="s">
        <v>352</v>
      </c>
      <c r="N46" s="102"/>
      <c r="O46" s="35"/>
      <c r="P46" s="92" t="s">
        <v>45</v>
      </c>
      <c r="Q46" s="60"/>
      <c r="R46" s="60"/>
      <c r="S46" s="60"/>
      <c r="T46" s="60"/>
      <c r="U46" s="100"/>
      <c r="V46" s="105"/>
      <c r="W46" s="60"/>
      <c r="X46" s="60"/>
      <c r="Y46" s="60"/>
      <c r="Z46" s="60"/>
      <c r="AA46" s="60"/>
      <c r="AB46" s="100"/>
      <c r="AC46" s="104"/>
      <c r="AD46" s="105"/>
      <c r="AE46" s="105"/>
      <c r="AF46" s="114"/>
      <c r="AG46" s="99"/>
      <c r="AH46" s="43">
        <f t="array" ref="AH46">_xlfn.SWITCH(P46, "Frictional force", AG46*AB46*1000, "Drag force", AG46*AB46*1000, "Shear force", AG46*AB46*1000, "N.A.", 0)</f>
        <v>0</v>
      </c>
      <c r="AI46" s="94" t="s">
        <v>38</v>
      </c>
      <c r="AJ46" s="94" t="s">
        <v>305</v>
      </c>
      <c r="AK46" s="37">
        <v>50</v>
      </c>
      <c r="AL46" s="94" cm="1">
        <f t="array" ref="AL46">_xlfn.SWITCH(AI46, "CFU/ml", AK46, "Cells/ml", 0.8*AK46, "OD600", 1.77*10^9*AK46, "N.A.", 0)</f>
        <v>40</v>
      </c>
      <c r="AM46" s="40"/>
    </row>
    <row r="47" spans="1:39" s="11" customFormat="1" ht="35" customHeight="1" x14ac:dyDescent="0.2">
      <c r="A47" s="33" t="s">
        <v>353</v>
      </c>
      <c r="B47" s="83">
        <f t="shared" si="0"/>
        <v>1.65</v>
      </c>
      <c r="C47" s="107">
        <f t="shared" si="1"/>
        <v>2.043623695998561E-4</v>
      </c>
      <c r="D47" s="45">
        <f t="shared" si="2"/>
        <v>25000</v>
      </c>
      <c r="E47" s="83" t="s">
        <v>70</v>
      </c>
      <c r="F47" s="34" t="s">
        <v>32</v>
      </c>
      <c r="G47" s="22">
        <v>0</v>
      </c>
      <c r="H47" s="22">
        <v>1.65</v>
      </c>
      <c r="I47" s="22">
        <v>0</v>
      </c>
      <c r="J47" s="22"/>
      <c r="K47" s="22"/>
      <c r="L47" s="34" cm="1">
        <f t="array" ref="L47">_xlfn.SWITCH(F47, "Artificial UV", G47+H47+I47, "Sunlight (intensity given)", 0.05*J47, "Sunlight (UV Index given)", 1.6*K47, "UV + Sunlight (Intensity)", G47+H47+I47+0.05*J47, "N.A.", 0)</f>
        <v>1.65</v>
      </c>
      <c r="M47" s="92" t="s">
        <v>354</v>
      </c>
      <c r="N47" s="102" t="s">
        <v>355</v>
      </c>
      <c r="O47" s="35" t="s">
        <v>304</v>
      </c>
      <c r="P47" s="92" t="s">
        <v>37</v>
      </c>
      <c r="Q47" s="105"/>
      <c r="R47" s="114">
        <f>3.25/2/1000</f>
        <v>1.6249999999999999E-3</v>
      </c>
      <c r="S47" s="60">
        <v>130</v>
      </c>
      <c r="T47" s="60">
        <v>0.03</v>
      </c>
      <c r="U47" s="108">
        <f>S47*2*PI()/60</f>
        <v>13.613568165555769</v>
      </c>
      <c r="V47" s="100">
        <f>U47*T47</f>
        <v>0.40840704496667307</v>
      </c>
      <c r="W47" s="60"/>
      <c r="X47" s="60"/>
      <c r="Y47" s="60"/>
      <c r="Z47" s="60"/>
      <c r="AA47" s="60">
        <v>0.2</v>
      </c>
      <c r="AB47" s="100">
        <f>AA47*V47</f>
        <v>8.168140899333462E-2</v>
      </c>
      <c r="AC47" s="104"/>
      <c r="AD47" s="105"/>
      <c r="AE47" s="105"/>
      <c r="AF47" s="114"/>
      <c r="AG47" s="42">
        <f t="array" ref="AG47">_xlfn.SWITCH(P47, "Frictional force", 0.4*Z47, "Drag force", 6*PI()*R47*0.001*AB47, "Shear force", AD47*AF47)</f>
        <v>2.5019447156761523E-6</v>
      </c>
      <c r="AH47" s="99">
        <f t="array" ref="AH47">_xlfn.SWITCH(P47, "Frictional force", AG47*AB47*1000, "Drag force", AG47*AB47*1000, "Shear force", AG47*AB47*1000, "N.A.", 0)</f>
        <v>2.043623695998561E-4</v>
      </c>
      <c r="AI47" s="94" t="s">
        <v>34</v>
      </c>
      <c r="AJ47" s="94" t="s">
        <v>305</v>
      </c>
      <c r="AK47" s="109">
        <v>25000</v>
      </c>
      <c r="AL47" s="94" cm="1">
        <f t="array" ref="AL47">_xlfn.SWITCH(AI47, "CFU/ml", AK47, "Cells/ml", 0.8*AK47, "OD600", 1.77*10^9*AK47, "N.A.", 0)</f>
        <v>25000</v>
      </c>
      <c r="AM47" s="110" t="s">
        <v>713</v>
      </c>
    </row>
    <row r="48" spans="1:39" s="11" customFormat="1" ht="20" customHeight="1" x14ac:dyDescent="0.2">
      <c r="A48" s="33" t="s">
        <v>109</v>
      </c>
      <c r="B48" s="125">
        <f t="shared" si="0"/>
        <v>1.7760000000000002</v>
      </c>
      <c r="C48" s="83">
        <f t="shared" si="1"/>
        <v>0</v>
      </c>
      <c r="D48" s="83">
        <f t="shared" si="2"/>
        <v>0</v>
      </c>
      <c r="E48" s="33" t="s">
        <v>356</v>
      </c>
      <c r="F48" s="34" t="s">
        <v>40</v>
      </c>
      <c r="G48" s="22"/>
      <c r="H48" s="22"/>
      <c r="I48" s="22"/>
      <c r="J48" s="22"/>
      <c r="K48" s="22">
        <v>1.1100000000000001</v>
      </c>
      <c r="L48" s="113" cm="1">
        <f t="array" ref="L48">_xlfn.SWITCH(F48, "Artificial UV", G48+H48+I48, "Sunlight (intensity given)", 0.05*J48, "Sunlight (UV Index given)", 1.6*K48, "UV + Sunlight (Intensity)", G48+H48+I48+0.05*J48, "N.A.", 0)</f>
        <v>1.7760000000000002</v>
      </c>
      <c r="M48" s="92" t="s">
        <v>357</v>
      </c>
      <c r="N48" s="102"/>
      <c r="O48" s="35"/>
      <c r="P48" s="92" t="s">
        <v>45</v>
      </c>
      <c r="Q48" s="60"/>
      <c r="R48" s="60"/>
      <c r="S48" s="60"/>
      <c r="T48" s="60"/>
      <c r="U48" s="100"/>
      <c r="V48" s="105"/>
      <c r="W48" s="60"/>
      <c r="X48" s="60"/>
      <c r="Y48" s="60"/>
      <c r="Z48" s="60"/>
      <c r="AA48" s="60"/>
      <c r="AB48" s="100"/>
      <c r="AC48" s="104"/>
      <c r="AD48" s="105"/>
      <c r="AE48" s="105"/>
      <c r="AF48" s="114"/>
      <c r="AG48" s="99"/>
      <c r="AH48" s="43">
        <f t="array" ref="AH48">_xlfn.SWITCH(P48, "Frictional force", AG48*AB48*1000, "Drag force", AG48*AB48*1000, "Shear force", AG48*AB48*1000, "N.A.", 0)</f>
        <v>0</v>
      </c>
      <c r="AI48" s="94" t="s">
        <v>45</v>
      </c>
      <c r="AJ48" s="94"/>
      <c r="AK48" s="37"/>
      <c r="AL48" s="95" cm="1">
        <f t="array" ref="AL48">_xlfn.SWITCH(AI48, "CFU/ml", AK48, "Cells/ml", 0.8*AK48, "OD600", 1.77*10^9*AK48, "N.A.", 0)</f>
        <v>0</v>
      </c>
      <c r="AM48" s="40"/>
    </row>
    <row r="49" spans="1:39" s="11" customFormat="1" ht="20" customHeight="1" x14ac:dyDescent="0.2">
      <c r="A49" s="33" t="s">
        <v>210</v>
      </c>
      <c r="B49" s="83">
        <f t="shared" si="0"/>
        <v>65</v>
      </c>
      <c r="C49" s="83">
        <f t="shared" si="1"/>
        <v>0</v>
      </c>
      <c r="D49" s="83">
        <f t="shared" si="2"/>
        <v>0</v>
      </c>
      <c r="E49" s="33" t="s">
        <v>128</v>
      </c>
      <c r="F49" s="34" t="s">
        <v>36</v>
      </c>
      <c r="G49" s="22"/>
      <c r="H49" s="22"/>
      <c r="I49" s="22"/>
      <c r="J49" s="22">
        <v>1300</v>
      </c>
      <c r="K49" s="22"/>
      <c r="L49" s="34" cm="1">
        <f t="array" ref="L49">_xlfn.SWITCH(F49, "Artificial UV", G49+H49+I49, "Sunlight (intensity given)", 0.05*J49, "Sunlight (UV Index given)", 1.6*K49, "UV + Sunlight (Intensity)", G49+H49+I49+0.05*J49, "N.A.", 0)</f>
        <v>65</v>
      </c>
      <c r="M49" s="35" t="s">
        <v>358</v>
      </c>
      <c r="N49" s="102"/>
      <c r="O49" s="35"/>
      <c r="P49" s="92" t="s">
        <v>45</v>
      </c>
      <c r="Q49" s="60"/>
      <c r="R49" s="60"/>
      <c r="S49" s="60"/>
      <c r="T49" s="60"/>
      <c r="U49" s="100"/>
      <c r="V49" s="105"/>
      <c r="W49" s="60"/>
      <c r="X49" s="60"/>
      <c r="Y49" s="60"/>
      <c r="Z49" s="60"/>
      <c r="AA49" s="60"/>
      <c r="AB49" s="100"/>
      <c r="AC49" s="104"/>
      <c r="AD49" s="105"/>
      <c r="AE49" s="105"/>
      <c r="AF49" s="114"/>
      <c r="AG49" s="99"/>
      <c r="AH49" s="43">
        <f t="array" ref="AH49">_xlfn.SWITCH(P49, "Frictional force", AG49*AB49*1000, "Drag force", AG49*AB49*1000, "Shear force", AG49*AB49*1000, "N.A.", 0)</f>
        <v>0</v>
      </c>
      <c r="AI49" s="94" t="s">
        <v>45</v>
      </c>
      <c r="AJ49" s="94"/>
      <c r="AK49" s="37"/>
      <c r="AL49" s="95" cm="1">
        <f t="array" ref="AL49">_xlfn.SWITCH(AI49, "CFU/ml", AK49, "Cells/ml", 0.8*AK49, "OD600", 1.77*10^9*AK49, "N.A.", 0)</f>
        <v>0</v>
      </c>
      <c r="AM49" s="40" t="s">
        <v>715</v>
      </c>
    </row>
    <row r="50" spans="1:39" s="11" customFormat="1" ht="35" customHeight="1" x14ac:dyDescent="0.2">
      <c r="A50" s="33" t="s">
        <v>194</v>
      </c>
      <c r="B50" s="83">
        <f t="shared" si="0"/>
        <v>0</v>
      </c>
      <c r="C50" s="107">
        <f t="shared" si="1"/>
        <v>3.2340719701489604E-4</v>
      </c>
      <c r="D50" s="45">
        <f t="shared" si="2"/>
        <v>748710000</v>
      </c>
      <c r="E50" s="33" t="s">
        <v>136</v>
      </c>
      <c r="F50" s="34" t="s">
        <v>45</v>
      </c>
      <c r="G50" s="22"/>
      <c r="H50" s="22"/>
      <c r="I50" s="22"/>
      <c r="J50" s="22"/>
      <c r="K50" s="22"/>
      <c r="L50" s="34" cm="1">
        <f t="array" ref="L50">_xlfn.SWITCH(F50, "Artificial UV", G50+H50+I50, "Sunlight (intensity given)", 0.05*J50, "Sunlight (UV Index given)", 1.6*K50, "UV + Sunlight (Intensity)", G50+H50+I50+0.05*J50, "N.A.", 0)</f>
        <v>0</v>
      </c>
      <c r="M50" s="35" t="s">
        <v>359</v>
      </c>
      <c r="N50" s="102" t="s">
        <v>360</v>
      </c>
      <c r="O50" s="123" t="s">
        <v>361</v>
      </c>
      <c r="P50" s="92" t="s">
        <v>41</v>
      </c>
      <c r="Q50" s="60"/>
      <c r="R50" s="60"/>
      <c r="S50" s="60">
        <v>120</v>
      </c>
      <c r="T50" s="60">
        <v>0.04</v>
      </c>
      <c r="U50" s="105">
        <f>S50*2*PI()/60</f>
        <v>12.566370614359171</v>
      </c>
      <c r="V50" s="105">
        <f>T50*U50</f>
        <v>0.50265482457436683</v>
      </c>
      <c r="W50" s="60"/>
      <c r="X50" s="60"/>
      <c r="Y50" s="60"/>
      <c r="Z50" s="60"/>
      <c r="AA50" s="60">
        <v>0.2</v>
      </c>
      <c r="AB50" s="105">
        <f>AA50*V50</f>
        <v>0.10053096491487337</v>
      </c>
      <c r="AC50" s="104">
        <f>AB50/0.001</f>
        <v>100.53096491487337</v>
      </c>
      <c r="AD50" s="105">
        <f>0.001*AC50</f>
        <v>0.10053096491487337</v>
      </c>
      <c r="AE50" s="105"/>
      <c r="AF50" s="60">
        <f>2*(4*4)/10^6</f>
        <v>3.1999999999999999E-5</v>
      </c>
      <c r="AG50" s="42">
        <f t="array" ref="AG50">_xlfn.SWITCH(P50, "Frictional force", 0.4*Z50, "Drag force", 6*PI()*R50*0.001*AB50, "Shear force", AD50*AF50)</f>
        <v>3.2169908772759478E-6</v>
      </c>
      <c r="AH50" s="99">
        <f t="array" ref="AH50">_xlfn.SWITCH(P50, "Frictional force", AG50*AB50*1000, "Drag force", AG50*AB50*1000, "Shear force", AG50*AB50*1000, "N.A.", 0)</f>
        <v>3.2340719701489604E-4</v>
      </c>
      <c r="AI50" s="94" t="s">
        <v>42</v>
      </c>
      <c r="AJ50" s="94" t="s">
        <v>338</v>
      </c>
      <c r="AK50" s="37">
        <v>0.42299999999999999</v>
      </c>
      <c r="AL50" s="94" cm="1">
        <f t="array" ref="AL50">_xlfn.SWITCH(AI50, "CFU/ml", AK50, "Cells/ml", 0.8*AK50, "OD600", 1.77*10^9*AK50, "N.A.", 0)</f>
        <v>748710000</v>
      </c>
      <c r="AM50" s="40"/>
    </row>
    <row r="51" spans="1:39" s="11" customFormat="1" ht="35" customHeight="1" x14ac:dyDescent="0.2">
      <c r="A51" s="33" t="s">
        <v>195</v>
      </c>
      <c r="B51" s="83">
        <f t="shared" si="0"/>
        <v>0</v>
      </c>
      <c r="C51" s="107">
        <f t="shared" si="1"/>
        <v>3.2340719701489604E-4</v>
      </c>
      <c r="D51" s="45">
        <f t="shared" si="2"/>
        <v>205320000</v>
      </c>
      <c r="E51" s="33" t="s">
        <v>136</v>
      </c>
      <c r="F51" s="34" t="s">
        <v>45</v>
      </c>
      <c r="G51" s="22"/>
      <c r="H51" s="22"/>
      <c r="I51" s="22"/>
      <c r="J51" s="22"/>
      <c r="K51" s="22"/>
      <c r="L51" s="34" cm="1">
        <f t="array" ref="L51">_xlfn.SWITCH(F51, "Artificial UV", G51+H51+I51, "Sunlight (intensity given)", 0.05*J51, "Sunlight (UV Index given)", 1.6*K51, "UV + Sunlight (Intensity)", G51+H51+I51+0.05*J51, "N.A.", 0)</f>
        <v>0</v>
      </c>
      <c r="M51" s="35" t="s">
        <v>359</v>
      </c>
      <c r="N51" s="102" t="s">
        <v>360</v>
      </c>
      <c r="O51" s="123" t="s">
        <v>361</v>
      </c>
      <c r="P51" s="92" t="s">
        <v>41</v>
      </c>
      <c r="Q51" s="60"/>
      <c r="R51" s="60"/>
      <c r="S51" s="60">
        <v>120</v>
      </c>
      <c r="T51" s="60">
        <v>0.04</v>
      </c>
      <c r="U51" s="105">
        <f>S51*2*PI()/60</f>
        <v>12.566370614359171</v>
      </c>
      <c r="V51" s="105">
        <f>T51*U51</f>
        <v>0.50265482457436683</v>
      </c>
      <c r="W51" s="60"/>
      <c r="X51" s="60"/>
      <c r="Y51" s="60"/>
      <c r="Z51" s="60"/>
      <c r="AA51" s="60">
        <v>0.2</v>
      </c>
      <c r="AB51" s="105">
        <f>AA51*V51</f>
        <v>0.10053096491487337</v>
      </c>
      <c r="AC51" s="104">
        <f>AB51/0.001</f>
        <v>100.53096491487337</v>
      </c>
      <c r="AD51" s="105">
        <f>0.001*AC51</f>
        <v>0.10053096491487337</v>
      </c>
      <c r="AE51" s="105"/>
      <c r="AF51" s="60">
        <f>2*(4*4)/10^6</f>
        <v>3.1999999999999999E-5</v>
      </c>
      <c r="AG51" s="42">
        <f t="array" ref="AG51">_xlfn.SWITCH(P51, "Frictional force", 0.4*Z51, "Drag force", 6*PI()*R51*0.001*AB51, "Shear force", AD51*AF51)</f>
        <v>3.2169908772759478E-6</v>
      </c>
      <c r="AH51" s="99">
        <f t="array" ref="AH51">_xlfn.SWITCH(P51, "Frictional force", AG51*AB51*1000, "Drag force", AG51*AB51*1000, "Shear force", AG51*AB51*1000, "N.A.", 0)</f>
        <v>3.2340719701489604E-4</v>
      </c>
      <c r="AI51" s="94" t="s">
        <v>42</v>
      </c>
      <c r="AJ51" s="94" t="s">
        <v>338</v>
      </c>
      <c r="AK51" s="37">
        <v>0.11600000000000001</v>
      </c>
      <c r="AL51" s="94" cm="1">
        <f t="array" ref="AL51">_xlfn.SWITCH(AI51, "CFU/ml", AK51, "Cells/ml", 0.8*AK51, "OD600", 1.77*10^9*AK51, "N.A.", 0)</f>
        <v>205320000</v>
      </c>
      <c r="AM51" s="40"/>
    </row>
    <row r="52" spans="1:39" s="11" customFormat="1" ht="35" customHeight="1" x14ac:dyDescent="0.2">
      <c r="A52" s="33" t="s">
        <v>196</v>
      </c>
      <c r="B52" s="83">
        <f t="shared" si="0"/>
        <v>0</v>
      </c>
      <c r="C52" s="107">
        <f t="shared" si="1"/>
        <v>3.2340719701489604E-4</v>
      </c>
      <c r="D52" s="45">
        <f t="shared" si="2"/>
        <v>1354050000</v>
      </c>
      <c r="E52" s="33" t="s">
        <v>136</v>
      </c>
      <c r="F52" s="34" t="s">
        <v>45</v>
      </c>
      <c r="G52" s="22"/>
      <c r="H52" s="22"/>
      <c r="I52" s="22"/>
      <c r="J52" s="22"/>
      <c r="K52" s="22"/>
      <c r="L52" s="34" cm="1">
        <f t="array" ref="L52">_xlfn.SWITCH(F52, "Artificial UV", G52+H52+I52, "Sunlight (intensity given)", 0.05*J52, "Sunlight (UV Index given)", 1.6*K52, "UV + Sunlight (Intensity)", G52+H52+I52+0.05*J52, "N.A.", 0)</f>
        <v>0</v>
      </c>
      <c r="M52" s="35" t="s">
        <v>359</v>
      </c>
      <c r="N52" s="102" t="s">
        <v>360</v>
      </c>
      <c r="O52" s="123" t="s">
        <v>361</v>
      </c>
      <c r="P52" s="92" t="s">
        <v>41</v>
      </c>
      <c r="Q52" s="60"/>
      <c r="R52" s="60"/>
      <c r="S52" s="60">
        <v>120</v>
      </c>
      <c r="T52" s="60">
        <v>0.04</v>
      </c>
      <c r="U52" s="105">
        <f>S52*2*PI()/60</f>
        <v>12.566370614359171</v>
      </c>
      <c r="V52" s="105">
        <f>T52*U52</f>
        <v>0.50265482457436683</v>
      </c>
      <c r="W52" s="60"/>
      <c r="X52" s="60"/>
      <c r="Y52" s="60"/>
      <c r="Z52" s="60"/>
      <c r="AA52" s="60">
        <v>0.2</v>
      </c>
      <c r="AB52" s="105">
        <f>AA52*V52</f>
        <v>0.10053096491487337</v>
      </c>
      <c r="AC52" s="104">
        <f>AB52/0.001</f>
        <v>100.53096491487337</v>
      </c>
      <c r="AD52" s="105">
        <f>0.001*AC52</f>
        <v>0.10053096491487337</v>
      </c>
      <c r="AE52" s="105"/>
      <c r="AF52" s="60">
        <f>2*(4*4)/10^6</f>
        <v>3.1999999999999999E-5</v>
      </c>
      <c r="AG52" s="42">
        <f t="array" ref="AG52">_xlfn.SWITCH(P52, "Frictional force", 0.4*Z52, "Drag force", 6*PI()*R52*0.001*AB52, "Shear force", AD52*AF52)</f>
        <v>3.2169908772759478E-6</v>
      </c>
      <c r="AH52" s="99">
        <f t="array" ref="AH52">_xlfn.SWITCH(P52, "Frictional force", AG52*AB52*1000, "Drag force", AG52*AB52*1000, "Shear force", AG52*AB52*1000, "N.A.", 0)</f>
        <v>3.2340719701489604E-4</v>
      </c>
      <c r="AI52" s="94" t="s">
        <v>42</v>
      </c>
      <c r="AJ52" s="94" t="s">
        <v>338</v>
      </c>
      <c r="AK52" s="37">
        <v>0.76500000000000001</v>
      </c>
      <c r="AL52" s="94" cm="1">
        <f t="array" ref="AL52">_xlfn.SWITCH(AI52, "CFU/ml", AK52, "Cells/ml", 0.8*AK52, "OD600", 1.77*10^9*AK52, "N.A.", 0)</f>
        <v>1354050000</v>
      </c>
      <c r="AM52" s="40"/>
    </row>
    <row r="53" spans="1:39" s="11" customFormat="1" ht="20" customHeight="1" x14ac:dyDescent="0.2">
      <c r="A53" s="33" t="s">
        <v>200</v>
      </c>
      <c r="B53" s="33">
        <f t="shared" si="0"/>
        <v>0</v>
      </c>
      <c r="C53" s="122">
        <f t="shared" si="1"/>
        <v>4.6509415020449733E-5</v>
      </c>
      <c r="D53" s="59">
        <f t="shared" si="2"/>
        <v>1150500000</v>
      </c>
      <c r="E53" s="33" t="s">
        <v>147</v>
      </c>
      <c r="F53" s="22" t="s">
        <v>45</v>
      </c>
      <c r="G53" s="22"/>
      <c r="H53" s="22"/>
      <c r="I53" s="22"/>
      <c r="J53" s="22"/>
      <c r="K53" s="22"/>
      <c r="L53" s="34" cm="1">
        <f t="array" ref="L53">_xlfn.SWITCH(F53, "Artificial UV", G53+H53+I53, "Sunlight (intensity given)", 0.05*J53, "Sunlight (UV Index given)", 1.6*K53, "UV + Sunlight (Intensity)", G53+H53+I53+0.05*J53, "N.A.", 0)</f>
        <v>0</v>
      </c>
      <c r="M53" s="48" t="s">
        <v>308</v>
      </c>
      <c r="N53" s="123" t="s">
        <v>362</v>
      </c>
      <c r="O53" s="124" t="s">
        <v>340</v>
      </c>
      <c r="P53" s="35" t="s">
        <v>37</v>
      </c>
      <c r="Q53" s="116"/>
      <c r="R53" s="114">
        <f>200/2/10^6</f>
        <v>1E-4</v>
      </c>
      <c r="S53" s="60">
        <v>150</v>
      </c>
      <c r="T53" s="60">
        <v>0.05</v>
      </c>
      <c r="U53" s="117">
        <f>S53*2*PI()/60</f>
        <v>15.707963267948966</v>
      </c>
      <c r="V53" s="105">
        <f>T53*U53</f>
        <v>0.78539816339744828</v>
      </c>
      <c r="W53" s="60"/>
      <c r="X53" s="60"/>
      <c r="Y53" s="60"/>
      <c r="Z53" s="60"/>
      <c r="AA53" s="60">
        <v>0.2</v>
      </c>
      <c r="AB53" s="105">
        <f>AA53*V53</f>
        <v>0.15707963267948966</v>
      </c>
      <c r="AC53" s="104"/>
      <c r="AD53" s="105"/>
      <c r="AE53" s="105"/>
      <c r="AF53" s="120"/>
      <c r="AG53" s="44">
        <f t="array" ref="AG53">_xlfn.SWITCH(P53, "Frictional force", 0.4*Z53, "Drag force", 6*PI()*R53*0.001*AB53, "Shear force", AD53*AF53)</f>
        <v>2.9608813203268075E-7</v>
      </c>
      <c r="AH53" s="120">
        <f t="array" ref="AH53">_xlfn.SWITCH(P53, "Frictional force", AG53*AB53*1000, "Drag force", AG53*AB53*1000, "Shear force", AG53*AB53*1000, "N.A.", 0)</f>
        <v>4.6509415020449733E-5</v>
      </c>
      <c r="AI53" s="109" t="s">
        <v>42</v>
      </c>
      <c r="AJ53" s="109" t="s">
        <v>305</v>
      </c>
      <c r="AK53" s="37">
        <v>0.65</v>
      </c>
      <c r="AL53" s="94" cm="1">
        <f t="array" ref="AL53">_xlfn.SWITCH(AI53, "CFU/ml", AK53, "Cells/ml", 0.8*AK53, "OD600", 1.77*10^9*AK53, "N.A.", 0)</f>
        <v>1150500000</v>
      </c>
      <c r="AM53" s="40"/>
    </row>
    <row r="54" spans="1:39" s="11" customFormat="1" ht="20" customHeight="1" x14ac:dyDescent="0.2">
      <c r="A54" s="33" t="s">
        <v>211</v>
      </c>
      <c r="B54" s="33">
        <f t="shared" si="0"/>
        <v>0</v>
      </c>
      <c r="C54" s="33">
        <f t="shared" si="1"/>
        <v>0</v>
      </c>
      <c r="D54" s="59">
        <f t="shared" si="2"/>
        <v>349000000000</v>
      </c>
      <c r="E54" s="33" t="s">
        <v>363</v>
      </c>
      <c r="F54" s="22" t="s">
        <v>45</v>
      </c>
      <c r="G54" s="22"/>
      <c r="H54" s="22"/>
      <c r="I54" s="22"/>
      <c r="J54" s="22"/>
      <c r="K54" s="22"/>
      <c r="L54" s="34" cm="1">
        <f t="array" ref="L54">_xlfn.SWITCH(F54, "Artificial UV", G54+H54+I54, "Sunlight (intensity given)", 0.05*J54, "Sunlight (UV Index given)", 1.6*K54, "UV + Sunlight (Intensity)", G54+H54+I54+0.05*J54, "N.A.", 0)</f>
        <v>0</v>
      </c>
      <c r="M54" s="48" t="s">
        <v>364</v>
      </c>
      <c r="N54" s="123"/>
      <c r="O54" s="124"/>
      <c r="P54" s="35" t="s">
        <v>45</v>
      </c>
      <c r="Q54" s="116"/>
      <c r="R54" s="114"/>
      <c r="S54" s="60"/>
      <c r="T54" s="60"/>
      <c r="U54" s="117"/>
      <c r="V54" s="105"/>
      <c r="W54" s="60"/>
      <c r="X54" s="60"/>
      <c r="Y54" s="60"/>
      <c r="Z54" s="60"/>
      <c r="AA54" s="60"/>
      <c r="AB54" s="105"/>
      <c r="AC54" s="104"/>
      <c r="AD54" s="105"/>
      <c r="AE54" s="105"/>
      <c r="AF54" s="120"/>
      <c r="AG54" s="44"/>
      <c r="AH54" s="60">
        <f t="array" ref="AH54">_xlfn.SWITCH(P54, "Frictional force", AG54*AB54*1000, "Drag force", AG54*AB54*1000, "Shear force", AG54*AB54*1000, "N.A.", 0)</f>
        <v>0</v>
      </c>
      <c r="AI54" s="109" t="s">
        <v>34</v>
      </c>
      <c r="AJ54" s="109" t="s">
        <v>313</v>
      </c>
      <c r="AK54" s="109">
        <v>349000000000</v>
      </c>
      <c r="AL54" s="94" cm="1">
        <f t="array" ref="AL54">_xlfn.SWITCH(AI54, "CFU/ml", AK54, "Cells/ml", 0.8*AK54, "OD600", 1.77*10^9*AK54, "N.A.", 0)</f>
        <v>349000000000</v>
      </c>
      <c r="AM54" s="40"/>
    </row>
    <row r="55" spans="1:39" s="11" customFormat="1" ht="20" customHeight="1" x14ac:dyDescent="0.2">
      <c r="A55" s="33" t="s">
        <v>203</v>
      </c>
      <c r="B55" s="33">
        <f t="shared" si="0"/>
        <v>65</v>
      </c>
      <c r="C55" s="33">
        <f t="shared" si="1"/>
        <v>0</v>
      </c>
      <c r="D55" s="59">
        <f t="shared" si="2"/>
        <v>250000</v>
      </c>
      <c r="E55" s="33" t="s">
        <v>128</v>
      </c>
      <c r="F55" s="22" t="s">
        <v>36</v>
      </c>
      <c r="G55" s="22"/>
      <c r="H55" s="22"/>
      <c r="I55" s="22"/>
      <c r="J55" s="22">
        <v>1300</v>
      </c>
      <c r="K55" s="22"/>
      <c r="L55" s="34" cm="1">
        <f t="array" ref="L55">_xlfn.SWITCH(F55, "Artificial UV", G55+H55+I55, "Sunlight (intensity given)", 0.05*J55, "Sunlight (UV Index given)", 1.6*K55, "UV + Sunlight (Intensity)", G55+H55+I55+0.05*J55, "N.A.", 0)</f>
        <v>65</v>
      </c>
      <c r="M55" s="35" t="s">
        <v>358</v>
      </c>
      <c r="N55" s="102"/>
      <c r="O55" s="35"/>
      <c r="P55" s="35" t="s">
        <v>45</v>
      </c>
      <c r="Q55" s="60"/>
      <c r="R55" s="60"/>
      <c r="S55" s="60"/>
      <c r="T55" s="60"/>
      <c r="U55" s="105"/>
      <c r="V55" s="105"/>
      <c r="W55" s="60"/>
      <c r="X55" s="60"/>
      <c r="Y55" s="60"/>
      <c r="Z55" s="60"/>
      <c r="AA55" s="60"/>
      <c r="AB55" s="105"/>
      <c r="AC55" s="104"/>
      <c r="AD55" s="105"/>
      <c r="AE55" s="105"/>
      <c r="AF55" s="114"/>
      <c r="AG55" s="114"/>
      <c r="AH55" s="60">
        <f t="array" ref="AH55">_xlfn.SWITCH(P55, "Frictional force", AG55*AB55*1000, "Drag force", AG55*AB55*1000, "Shear force", AG55*AB55*1000, "N.A.", 0)</f>
        <v>0</v>
      </c>
      <c r="AI55" s="109" t="s">
        <v>34</v>
      </c>
      <c r="AJ55" s="109" t="s">
        <v>305</v>
      </c>
      <c r="AK55" s="109">
        <v>250000</v>
      </c>
      <c r="AL55" s="94" cm="1">
        <f t="array" ref="AL55">_xlfn.SWITCH(AI55, "CFU/ml", AK55, "Cells/ml", 0.8*AK55, "OD600", 1.77*10^9*AK55, "N.A.", 0)</f>
        <v>250000</v>
      </c>
      <c r="AM55" s="40" t="s">
        <v>714</v>
      </c>
    </row>
    <row r="56" spans="1:39" s="11" customFormat="1" ht="35" customHeight="1" x14ac:dyDescent="0.2">
      <c r="A56" s="33" t="s">
        <v>207</v>
      </c>
      <c r="B56" s="83">
        <f t="shared" si="0"/>
        <v>1.65</v>
      </c>
      <c r="C56" s="107">
        <f t="shared" si="1"/>
        <v>2.043623695998561E-4</v>
      </c>
      <c r="D56" s="45">
        <f t="shared" si="2"/>
        <v>25000</v>
      </c>
      <c r="E56" s="83" t="s">
        <v>70</v>
      </c>
      <c r="F56" s="34" t="s">
        <v>32</v>
      </c>
      <c r="G56" s="22">
        <v>0</v>
      </c>
      <c r="H56" s="22">
        <v>1.65</v>
      </c>
      <c r="I56" s="22">
        <v>0</v>
      </c>
      <c r="J56" s="22"/>
      <c r="K56" s="22"/>
      <c r="L56" s="34" cm="1">
        <f t="array" ref="L56">_xlfn.SWITCH(F56, "Artificial UV", G56+H56+I56, "Sunlight (intensity given)", 0.05*J56, "Sunlight (UV Index given)", 1.6*K56, "UV + Sunlight (Intensity)", G56+H56+I56+0.05*J56, "N.A.", 0)</f>
        <v>1.65</v>
      </c>
      <c r="M56" s="92" t="s">
        <v>354</v>
      </c>
      <c r="N56" s="102" t="s">
        <v>355</v>
      </c>
      <c r="O56" s="35" t="s">
        <v>304</v>
      </c>
      <c r="P56" s="92" t="s">
        <v>37</v>
      </c>
      <c r="Q56" s="105"/>
      <c r="R56" s="114">
        <f>3.25/2/1000</f>
        <v>1.6249999999999999E-3</v>
      </c>
      <c r="S56" s="60">
        <v>130</v>
      </c>
      <c r="T56" s="60">
        <v>0.03</v>
      </c>
      <c r="U56" s="108">
        <f>S56*2*PI()/60</f>
        <v>13.613568165555769</v>
      </c>
      <c r="V56" s="100">
        <f>U56*T56</f>
        <v>0.40840704496667307</v>
      </c>
      <c r="W56" s="60"/>
      <c r="X56" s="60"/>
      <c r="Y56" s="60"/>
      <c r="Z56" s="60"/>
      <c r="AA56" s="60">
        <v>0.2</v>
      </c>
      <c r="AB56" s="100">
        <f>AA56*V56</f>
        <v>8.168140899333462E-2</v>
      </c>
      <c r="AC56" s="104"/>
      <c r="AD56" s="105"/>
      <c r="AE56" s="105"/>
      <c r="AF56" s="114"/>
      <c r="AG56" s="42">
        <f t="array" ref="AG56">_xlfn.SWITCH(P56, "Frictional force", 0.4*Z56, "Drag force", 6*PI()*R56*0.001*AB56, "Shear force", AD56*AF56)</f>
        <v>2.5019447156761523E-6</v>
      </c>
      <c r="AH56" s="99">
        <f t="array" ref="AH56">_xlfn.SWITCH(P56, "Frictional force", AG56*AB56*1000, "Drag force", AG56*AB56*1000, "Shear force", AG56*AB56*1000, "N.A.", 0)</f>
        <v>2.043623695998561E-4</v>
      </c>
      <c r="AI56" s="94" t="s">
        <v>34</v>
      </c>
      <c r="AJ56" s="94" t="s">
        <v>305</v>
      </c>
      <c r="AK56" s="109">
        <v>25000</v>
      </c>
      <c r="AL56" s="94" cm="1">
        <f t="array" ref="AL56">_xlfn.SWITCH(AI56, "CFU/ml", AK56, "Cells/ml", 0.8*AK56, "OD600", 1.77*10^9*AK56, "N.A.", 0)</f>
        <v>25000</v>
      </c>
      <c r="AM56" s="110" t="s">
        <v>713</v>
      </c>
    </row>
    <row r="57" spans="1:39" s="11" customFormat="1" ht="35" customHeight="1" x14ac:dyDescent="0.2">
      <c r="A57" s="32" t="s">
        <v>134</v>
      </c>
      <c r="B57" s="83">
        <f t="shared" si="0"/>
        <v>1.65</v>
      </c>
      <c r="C57" s="107">
        <f t="shared" si="1"/>
        <v>2.5152291643059212E-4</v>
      </c>
      <c r="D57" s="45">
        <f t="shared" si="2"/>
        <v>25000</v>
      </c>
      <c r="E57" s="83" t="s">
        <v>70</v>
      </c>
      <c r="F57" s="34" t="s">
        <v>32</v>
      </c>
      <c r="G57" s="22">
        <v>0</v>
      </c>
      <c r="H57" s="22">
        <v>1.65</v>
      </c>
      <c r="I57" s="22">
        <v>0</v>
      </c>
      <c r="J57" s="22"/>
      <c r="K57" s="22"/>
      <c r="L57" s="34" cm="1">
        <f t="array" ref="L57">_xlfn.SWITCH(F57, "Artificial UV", G57+H57+I57, "Sunlight (intensity given)", 0.05*J57, "Sunlight (UV Index given)", 1.6*K57, "UV + Sunlight (Intensity)", G57+H57+I57+0.05*J57, "N.A.", 0)</f>
        <v>1.65</v>
      </c>
      <c r="M57" s="92" t="s">
        <v>365</v>
      </c>
      <c r="N57" s="102" t="s">
        <v>366</v>
      </c>
      <c r="O57" s="35" t="s">
        <v>304</v>
      </c>
      <c r="P57" s="92" t="s">
        <v>37</v>
      </c>
      <c r="Q57" s="105"/>
      <c r="R57" s="60">
        <f>4/2/1000</f>
        <v>2E-3</v>
      </c>
      <c r="S57" s="60">
        <v>130</v>
      </c>
      <c r="T57" s="60">
        <v>0.03</v>
      </c>
      <c r="U57" s="108">
        <f>S57*2*PI()/60</f>
        <v>13.613568165555769</v>
      </c>
      <c r="V57" s="100">
        <f>U57*T57</f>
        <v>0.40840704496667307</v>
      </c>
      <c r="W57" s="60"/>
      <c r="X57" s="60"/>
      <c r="Y57" s="60"/>
      <c r="Z57" s="60"/>
      <c r="AA57" s="60">
        <v>0.2</v>
      </c>
      <c r="AB57" s="100">
        <f>AA57*V57</f>
        <v>8.168140899333462E-2</v>
      </c>
      <c r="AC57" s="104"/>
      <c r="AD57" s="105"/>
      <c r="AE57" s="105"/>
      <c r="AF57" s="114"/>
      <c r="AG57" s="42">
        <f t="array" ref="AG57">_xlfn.SWITCH(P57, "Frictional force", 0.4*Z57, "Drag force", 6*PI()*R57*0.001*AB57, "Shear force", AD57*AF57)</f>
        <v>3.0793165731398796E-6</v>
      </c>
      <c r="AH57" s="99">
        <f t="array" ref="AH57">_xlfn.SWITCH(P57, "Frictional force", AG57*AB57*1000, "Drag force", AG57*AB57*1000, "Shear force", AG57*AB57*1000, "N.A.", 0)</f>
        <v>2.5152291643059212E-4</v>
      </c>
      <c r="AI57" s="94" t="s">
        <v>34</v>
      </c>
      <c r="AJ57" s="94" t="s">
        <v>305</v>
      </c>
      <c r="AK57" s="109">
        <v>25000</v>
      </c>
      <c r="AL57" s="94" cm="1">
        <f t="array" ref="AL57">_xlfn.SWITCH(AI57, "CFU/ml", AK57, "Cells/ml", 0.8*AK57, "OD600", 1.77*10^9*AK57, "N.A.", 0)</f>
        <v>25000</v>
      </c>
      <c r="AM57" s="110" t="s">
        <v>713</v>
      </c>
    </row>
    <row r="58" spans="1:39" s="11" customFormat="1" ht="20" customHeight="1" x14ac:dyDescent="0.2">
      <c r="A58" s="32" t="s">
        <v>111</v>
      </c>
      <c r="B58" s="125">
        <f t="shared" si="0"/>
        <v>1.7760000000000002</v>
      </c>
      <c r="C58" s="83">
        <f t="shared" si="1"/>
        <v>0</v>
      </c>
      <c r="D58" s="83">
        <f t="shared" si="2"/>
        <v>0</v>
      </c>
      <c r="E58" s="33" t="s">
        <v>356</v>
      </c>
      <c r="F58" s="34" t="s">
        <v>40</v>
      </c>
      <c r="G58" s="22"/>
      <c r="H58" s="22"/>
      <c r="I58" s="22"/>
      <c r="J58" s="22"/>
      <c r="K58" s="22">
        <v>1.1100000000000001</v>
      </c>
      <c r="L58" s="113" cm="1">
        <f t="array" ref="L58">_xlfn.SWITCH(F58, "Artificial UV", G58+H58+I58, "Sunlight (intensity given)", 0.05*J58, "Sunlight (UV Index given)", 1.6*K58, "UV + Sunlight (Intensity)", G58+H58+I58+0.05*J58, "N.A.", 0)</f>
        <v>1.7760000000000002</v>
      </c>
      <c r="M58" s="92" t="s">
        <v>367</v>
      </c>
      <c r="N58" s="102"/>
      <c r="O58" s="35"/>
      <c r="P58" s="92" t="s">
        <v>45</v>
      </c>
      <c r="Q58" s="60"/>
      <c r="R58" s="60"/>
      <c r="S58" s="60"/>
      <c r="T58" s="60"/>
      <c r="U58" s="100"/>
      <c r="V58" s="105"/>
      <c r="W58" s="60"/>
      <c r="X58" s="60"/>
      <c r="Y58" s="60"/>
      <c r="Z58" s="60"/>
      <c r="AA58" s="60"/>
      <c r="AB58" s="100"/>
      <c r="AC58" s="104"/>
      <c r="AD58" s="105"/>
      <c r="AE58" s="105"/>
      <c r="AF58" s="114"/>
      <c r="AG58" s="99"/>
      <c r="AH58" s="43">
        <f t="array" ref="AH58">_xlfn.SWITCH(P58, "Frictional force", AG58*AB58*1000, "Drag force", AG58*AB58*1000, "Shear force", AG58*AB58*1000, "N.A.", 0)</f>
        <v>0</v>
      </c>
      <c r="AI58" s="94" t="s">
        <v>45</v>
      </c>
      <c r="AJ58" s="94"/>
      <c r="AK58" s="37"/>
      <c r="AL58" s="95" cm="1">
        <f t="array" ref="AL58">_xlfn.SWITCH(AI58, "CFU/ml", AK58, "Cells/ml", 0.8*AK58, "OD600", 1.77*10^9*AK58, "N.A.", 0)</f>
        <v>0</v>
      </c>
      <c r="AM58" s="40"/>
    </row>
    <row r="59" spans="1:39" s="11" customFormat="1" ht="20" customHeight="1" x14ac:dyDescent="0.2">
      <c r="A59" s="32" t="s">
        <v>243</v>
      </c>
      <c r="B59" s="33">
        <f t="shared" si="0"/>
        <v>0</v>
      </c>
      <c r="C59" s="33">
        <f t="shared" si="1"/>
        <v>0</v>
      </c>
      <c r="D59" s="59">
        <f t="shared" si="2"/>
        <v>1239000000</v>
      </c>
      <c r="E59" s="33" t="s">
        <v>311</v>
      </c>
      <c r="F59" s="22" t="s">
        <v>45</v>
      </c>
      <c r="G59" s="22"/>
      <c r="H59" s="22"/>
      <c r="I59" s="22"/>
      <c r="J59" s="22"/>
      <c r="K59" s="22"/>
      <c r="L59" s="34" cm="1">
        <f t="array" ref="L59">_xlfn.SWITCH(F59, "Artificial UV", G59+H59+I59, "Sunlight (intensity given)", 0.05*J59, "Sunlight (UV Index given)", 1.6*K59, "UV + Sunlight (Intensity)", G59+H59+I59+0.05*J59, "N.A.", 0)</f>
        <v>0</v>
      </c>
      <c r="M59" s="48" t="s">
        <v>312</v>
      </c>
      <c r="N59" s="102"/>
      <c r="O59" s="35"/>
      <c r="P59" s="35" t="s">
        <v>45</v>
      </c>
      <c r="Q59" s="60"/>
      <c r="R59" s="60"/>
      <c r="S59" s="60"/>
      <c r="T59" s="60"/>
      <c r="U59" s="105"/>
      <c r="V59" s="105"/>
      <c r="W59" s="60"/>
      <c r="X59" s="60"/>
      <c r="Y59" s="60"/>
      <c r="Z59" s="60"/>
      <c r="AA59" s="60"/>
      <c r="AB59" s="105"/>
      <c r="AC59" s="104"/>
      <c r="AD59" s="105"/>
      <c r="AE59" s="105"/>
      <c r="AF59" s="114"/>
      <c r="AG59" s="114"/>
      <c r="AH59" s="43">
        <f t="array" ref="AH59">_xlfn.SWITCH(P59, "Frictional force", AG59*AB59*1000, "Drag force", AG59*AB59*1000, "Shear force", AG59*AB59*1000, "N.A.", 0)</f>
        <v>0</v>
      </c>
      <c r="AI59" s="109" t="s">
        <v>42</v>
      </c>
      <c r="AJ59" s="109" t="s">
        <v>313</v>
      </c>
      <c r="AK59" s="37">
        <v>0.7</v>
      </c>
      <c r="AL59" s="94" cm="1">
        <f t="array" ref="AL59">_xlfn.SWITCH(AI59, "CFU/ml", AK59, "Cells/ml", 0.8*AK59, "OD600", 1.77*10^9*AK59, "N.A.", 0)</f>
        <v>1239000000</v>
      </c>
      <c r="AM59" s="40"/>
    </row>
    <row r="60" spans="1:39" s="11" customFormat="1" ht="20" customHeight="1" x14ac:dyDescent="0.2">
      <c r="A60" s="32" t="s">
        <v>368</v>
      </c>
      <c r="B60" s="33">
        <f t="shared" ref="B60:B95" si="13">L60</f>
        <v>0</v>
      </c>
      <c r="C60" s="126">
        <f t="shared" ref="C60:C95" si="14">AH60</f>
        <v>9.095827416043957E-3</v>
      </c>
      <c r="D60" s="59">
        <f t="shared" ref="D60:D95" si="15">AL60</f>
        <v>300000000</v>
      </c>
      <c r="E60" s="33" t="s">
        <v>369</v>
      </c>
      <c r="F60" s="22" t="s">
        <v>45</v>
      </c>
      <c r="G60" s="22"/>
      <c r="H60" s="22"/>
      <c r="I60" s="22"/>
      <c r="J60" s="22"/>
      <c r="K60" s="22"/>
      <c r="L60" s="34" cm="1">
        <f t="array" ref="L60">_xlfn.SWITCH(F60, "Artificial UV", G60+H60+I60, "Sunlight (intensity given)", 0.05*J60, "Sunlight (UV Index given)", 1.6*K60, "UV + Sunlight (Intensity)", G60+H60+I60+0.05*J60, "N.A.", 0)</f>
        <v>0</v>
      </c>
      <c r="M60" s="48" t="s">
        <v>370</v>
      </c>
      <c r="N60" s="102" t="s">
        <v>371</v>
      </c>
      <c r="O60" s="124" t="s">
        <v>372</v>
      </c>
      <c r="P60" s="35" t="s">
        <v>41</v>
      </c>
      <c r="Q60" s="60"/>
      <c r="R60" s="60"/>
      <c r="S60" s="60">
        <v>180</v>
      </c>
      <c r="T60" s="60">
        <v>0.04</v>
      </c>
      <c r="U60" s="108">
        <f>S60*2*PI()/60</f>
        <v>18.849555921538759</v>
      </c>
      <c r="V60" s="100">
        <f>U60*T60</f>
        <v>0.75398223686155041</v>
      </c>
      <c r="W60" s="60"/>
      <c r="X60" s="60"/>
      <c r="Y60" s="60"/>
      <c r="Z60" s="60"/>
      <c r="AA60" s="60">
        <v>0.2</v>
      </c>
      <c r="AB60" s="100">
        <f>AA60*V60</f>
        <v>0.1507964473723101</v>
      </c>
      <c r="AC60" s="104">
        <f>AB60/0.001</f>
        <v>150.7964473723101</v>
      </c>
      <c r="AD60" s="105">
        <f>0.001*AC60</f>
        <v>0.1507964473723101</v>
      </c>
      <c r="AE60" s="105"/>
      <c r="AF60" s="60">
        <f>1*(2*2)/10^4</f>
        <v>4.0000000000000002E-4</v>
      </c>
      <c r="AG60" s="42">
        <f t="array" ref="AG60">_xlfn.SWITCH(P60, "Frictional force", 0.4*Z60, "Drag force", 6*PI()*R60*0.001*AB60, "Shear force", AD60*AF60)</f>
        <v>6.031857894892404E-5</v>
      </c>
      <c r="AH60" s="99" cm="1">
        <f t="array" ref="AH60">_xlfn.SWITCH(P60, "Frictional force", AG60*AB60*1000, "Drag force", AG60*AB60*1000, "Shear force", AG60*AB60*1000, "N.A.", 0)</f>
        <v>9.095827416043957E-3</v>
      </c>
      <c r="AI60" s="109" t="s">
        <v>34</v>
      </c>
      <c r="AJ60" s="109" t="s">
        <v>305</v>
      </c>
      <c r="AK60" s="109">
        <v>300000000</v>
      </c>
      <c r="AL60" s="94" cm="1">
        <f t="array" ref="AL60">_xlfn.SWITCH(AI60, "CFU/ml", AK60, "Cells/ml", 0.8*AK60, "OD600", 1.77*10^9*AK60, "N.A.", 0)</f>
        <v>300000000</v>
      </c>
      <c r="AM60" s="40"/>
    </row>
    <row r="61" spans="1:39" s="11" customFormat="1" ht="20" customHeight="1" x14ac:dyDescent="0.2">
      <c r="A61" s="32" t="s">
        <v>205</v>
      </c>
      <c r="B61" s="33">
        <f t="shared" si="13"/>
        <v>0</v>
      </c>
      <c r="C61" s="126">
        <f t="shared" si="14"/>
        <v>9.095827416043957E-3</v>
      </c>
      <c r="D61" s="59">
        <f t="shared" si="15"/>
        <v>400000000</v>
      </c>
      <c r="E61" s="33" t="s">
        <v>369</v>
      </c>
      <c r="F61" s="22" t="s">
        <v>45</v>
      </c>
      <c r="G61" s="22"/>
      <c r="H61" s="22"/>
      <c r="I61" s="22"/>
      <c r="J61" s="22"/>
      <c r="K61" s="22"/>
      <c r="L61" s="34" cm="1">
        <f t="array" ref="L61">_xlfn.SWITCH(F61, "Artificial UV", G61+H61+I61, "Sunlight (intensity given)", 0.05*J61, "Sunlight (UV Index given)", 1.6*K61, "UV + Sunlight (Intensity)", G61+H61+I61+0.05*J61, "N.A.", 0)</f>
        <v>0</v>
      </c>
      <c r="M61" s="48" t="s">
        <v>370</v>
      </c>
      <c r="N61" s="102" t="s">
        <v>371</v>
      </c>
      <c r="O61" s="124" t="s">
        <v>372</v>
      </c>
      <c r="P61" s="35" t="s">
        <v>41</v>
      </c>
      <c r="Q61" s="60"/>
      <c r="R61" s="60"/>
      <c r="S61" s="60">
        <v>180</v>
      </c>
      <c r="T61" s="60">
        <v>0.04</v>
      </c>
      <c r="U61" s="108">
        <f>S61*2*PI()/60</f>
        <v>18.849555921538759</v>
      </c>
      <c r="V61" s="100">
        <f>U61*T61</f>
        <v>0.75398223686155041</v>
      </c>
      <c r="W61" s="60"/>
      <c r="X61" s="60"/>
      <c r="Y61" s="60"/>
      <c r="Z61" s="60"/>
      <c r="AA61" s="60">
        <v>0.2</v>
      </c>
      <c r="AB61" s="100">
        <f>AA61*V61</f>
        <v>0.1507964473723101</v>
      </c>
      <c r="AC61" s="104">
        <f>AB61/0.001</f>
        <v>150.7964473723101</v>
      </c>
      <c r="AD61" s="105">
        <f>0.001*AC61</f>
        <v>0.1507964473723101</v>
      </c>
      <c r="AE61" s="105"/>
      <c r="AF61" s="60">
        <f>1*(2*2)/10^4</f>
        <v>4.0000000000000002E-4</v>
      </c>
      <c r="AG61" s="42">
        <f t="array" ref="AG61">_xlfn.SWITCH(P61, "Frictional force", 0.4*Z61, "Drag force", 6*PI()*R61*0.001*AB61, "Shear force", AD61*AF61)</f>
        <v>6.031857894892404E-5</v>
      </c>
      <c r="AH61" s="99">
        <f t="array" ref="AH61">_xlfn.SWITCH(P61, "Frictional force", AG61*AB61*1000, "Drag force", AG61*AB61*1000, "Shear force", AG61*AB61*1000, "N.A.", 0)</f>
        <v>9.095827416043957E-3</v>
      </c>
      <c r="AI61" s="109" t="s">
        <v>34</v>
      </c>
      <c r="AJ61" s="109" t="s">
        <v>305</v>
      </c>
      <c r="AK61" s="109">
        <v>400000000</v>
      </c>
      <c r="AL61" s="94" cm="1">
        <f t="array" ref="AL61">_xlfn.SWITCH(AI61, "CFU/ml", AK61, "Cells/ml", 0.8*AK61, "OD600", 1.77*10^9*AK61, "N.A.", 0)</f>
        <v>400000000</v>
      </c>
      <c r="AM61" s="40"/>
    </row>
    <row r="62" spans="1:39" s="11" customFormat="1" ht="20" customHeight="1" x14ac:dyDescent="0.2">
      <c r="A62" s="32" t="s">
        <v>710</v>
      </c>
      <c r="B62" s="33">
        <f>L62</f>
        <v>0</v>
      </c>
      <c r="C62" s="106">
        <f>AH62</f>
        <v>3.1977518259529528E-4</v>
      </c>
      <c r="D62" s="59">
        <f>AL62</f>
        <v>1770000000</v>
      </c>
      <c r="E62" s="33" t="s">
        <v>649</v>
      </c>
      <c r="F62" s="22" t="s">
        <v>139</v>
      </c>
      <c r="G62" s="22"/>
      <c r="H62" s="22"/>
      <c r="I62" s="22"/>
      <c r="J62" s="22"/>
      <c r="K62" s="22"/>
      <c r="L62" s="34" cm="1">
        <f t="array" ref="L62">_xlfn.SWITCH(F62, "Artificial UV", G62+H62+I62, "Sunlight (intensity given)", 0.05*J62, "Sunlight (UV Index given)", 1.6*K62, "UV + Sunlight (Intensity)", G62+H62+I62+0.05*J62, "N.A.", 0)</f>
        <v>0</v>
      </c>
      <c r="M62" s="35" t="s">
        <v>651</v>
      </c>
      <c r="N62" s="102" t="s">
        <v>652</v>
      </c>
      <c r="O62" s="35" t="s">
        <v>653</v>
      </c>
      <c r="P62" s="35" t="s">
        <v>648</v>
      </c>
      <c r="Q62" s="105"/>
      <c r="R62" s="60"/>
      <c r="S62" s="60">
        <v>180</v>
      </c>
      <c r="T62" s="60">
        <v>1.4999999999999999E-2</v>
      </c>
      <c r="U62" s="117">
        <f>S62*2*PI()/60</f>
        <v>18.849555921538759</v>
      </c>
      <c r="V62" s="105">
        <f>U62*T62</f>
        <v>0.28274333882308139</v>
      </c>
      <c r="W62" s="60"/>
      <c r="X62" s="60"/>
      <c r="Y62" s="60"/>
      <c r="Z62" s="60"/>
      <c r="AA62" s="60">
        <v>0.2</v>
      </c>
      <c r="AB62" s="105">
        <f>AA62*V62</f>
        <v>5.6548667764616284E-2</v>
      </c>
      <c r="AC62" s="104">
        <f>AB62/0.001</f>
        <v>56.548667764616283</v>
      </c>
      <c r="AD62" s="105">
        <f>0.001*AC62</f>
        <v>5.6548667764616284E-2</v>
      </c>
      <c r="AE62" s="105"/>
      <c r="AF62" s="134">
        <f>1*(1*1)/10^4</f>
        <v>1E-4</v>
      </c>
      <c r="AG62" s="44">
        <f t="array" ref="AG62">_xlfn.SWITCH(P62, "Frictional force", 0.4*Z62, "Drag force", 6*PI()*R62*0.001*AB62, "Shear force", AD62*AF62)</f>
        <v>5.6548667764616283E-6</v>
      </c>
      <c r="AH62" s="114">
        <f t="array" ref="AH62">_xlfn.SWITCH(P62, "Frictional force", AG62*AB62*1000, "Drag force", AG62*AB62*1000, "Shear force", AG62*AB62*1000, "N.A.", 0)</f>
        <v>3.1977518259529528E-4</v>
      </c>
      <c r="AI62" s="109" t="s">
        <v>711</v>
      </c>
      <c r="AJ62" s="109" t="s">
        <v>313</v>
      </c>
      <c r="AK62" s="119">
        <v>1</v>
      </c>
      <c r="AL62" s="94" cm="1">
        <f t="array" ref="AL62">_xlfn.SWITCH(AI62, "CFU/ml", AK62, "Cells/ml", 0.8*AK62, "OD600", 1.77*10^9*AK62, "N.A.", 0)</f>
        <v>1770000000</v>
      </c>
      <c r="AM62" s="110" t="s">
        <v>712</v>
      </c>
    </row>
    <row r="63" spans="1:39" s="14" customFormat="1" ht="35" customHeight="1" x14ac:dyDescent="0.2">
      <c r="A63" s="32" t="s">
        <v>214</v>
      </c>
      <c r="B63" s="83">
        <f>L63</f>
        <v>1.65</v>
      </c>
      <c r="C63" s="107">
        <f>AH63</f>
        <v>2.5152291643059212E-4</v>
      </c>
      <c r="D63" s="45">
        <f>AL63</f>
        <v>25000</v>
      </c>
      <c r="E63" s="83" t="s">
        <v>70</v>
      </c>
      <c r="F63" s="34" t="s">
        <v>32</v>
      </c>
      <c r="G63" s="22">
        <v>0</v>
      </c>
      <c r="H63" s="22">
        <v>1.65</v>
      </c>
      <c r="I63" s="22">
        <v>0</v>
      </c>
      <c r="J63" s="22"/>
      <c r="K63" s="22"/>
      <c r="L63" s="34" cm="1">
        <f t="array" ref="L63">_xlfn.SWITCH(F63, "Artificial UV", G63+H63+I63, "Sunlight (intensity given)", 0.05*J63, "Sunlight (UV Index given)", 1.6*K63, "UV + Sunlight (Intensity)", G63+H63+I63+0.05*J63, "N.A.", 0)</f>
        <v>1.65</v>
      </c>
      <c r="M63" s="92" t="s">
        <v>365</v>
      </c>
      <c r="N63" s="102" t="s">
        <v>366</v>
      </c>
      <c r="O63" s="35" t="s">
        <v>304</v>
      </c>
      <c r="P63" s="92" t="s">
        <v>37</v>
      </c>
      <c r="Q63" s="105"/>
      <c r="R63" s="60">
        <f>4/2/1000</f>
        <v>2E-3</v>
      </c>
      <c r="S63" s="60">
        <v>130</v>
      </c>
      <c r="T63" s="60">
        <v>0.03</v>
      </c>
      <c r="U63" s="108">
        <f>S63*2*PI()/60</f>
        <v>13.613568165555769</v>
      </c>
      <c r="V63" s="100">
        <f>U63*T63</f>
        <v>0.40840704496667307</v>
      </c>
      <c r="W63" s="60"/>
      <c r="X63" s="60"/>
      <c r="Y63" s="60"/>
      <c r="Z63" s="60"/>
      <c r="AA63" s="60">
        <v>0.2</v>
      </c>
      <c r="AB63" s="100">
        <f>AA63*V63</f>
        <v>8.168140899333462E-2</v>
      </c>
      <c r="AC63" s="104"/>
      <c r="AD63" s="105"/>
      <c r="AE63" s="105"/>
      <c r="AF63" s="114"/>
      <c r="AG63" s="42">
        <f t="array" ref="AG63">_xlfn.SWITCH(P63, "Frictional force", 0.4*Z63, "Drag force", 6*PI()*R63*0.001*AB63, "Shear force", AD63*AF63)</f>
        <v>3.0793165731398796E-6</v>
      </c>
      <c r="AH63" s="99">
        <f t="array" ref="AH63">_xlfn.SWITCH(P63, "Frictional force", AG63*AB63*1000, "Drag force", AG63*AB63*1000, "Shear force", AG63*AB63*1000, "N.A.", 0)</f>
        <v>2.5152291643059212E-4</v>
      </c>
      <c r="AI63" s="94" t="s">
        <v>34</v>
      </c>
      <c r="AJ63" s="94" t="s">
        <v>305</v>
      </c>
      <c r="AK63" s="109">
        <v>25000</v>
      </c>
      <c r="AL63" s="94" cm="1">
        <f t="array" ref="AL63">_xlfn.SWITCH(AI63, "CFU/ml", AK63, "Cells/ml", 0.8*AK63, "OD600", 1.77*10^9*AK63, "N.A.", 0)</f>
        <v>25000</v>
      </c>
      <c r="AM63" s="110" t="s">
        <v>713</v>
      </c>
    </row>
    <row r="64" spans="1:39" s="11" customFormat="1" ht="20" customHeight="1" x14ac:dyDescent="0.2">
      <c r="A64" s="32" t="s">
        <v>654</v>
      </c>
      <c r="B64" s="83">
        <f>L64</f>
        <v>14</v>
      </c>
      <c r="C64" s="83">
        <f>AH64</f>
        <v>0</v>
      </c>
      <c r="D64" s="45">
        <f>AL64</f>
        <v>32</v>
      </c>
      <c r="E64" s="33" t="s">
        <v>395</v>
      </c>
      <c r="F64" s="34" t="s">
        <v>32</v>
      </c>
      <c r="G64" s="22">
        <v>14</v>
      </c>
      <c r="H64" s="22">
        <v>0</v>
      </c>
      <c r="I64" s="22">
        <v>0</v>
      </c>
      <c r="J64" s="22"/>
      <c r="K64" s="22"/>
      <c r="L64" s="34" cm="1">
        <f t="array" ref="L64">_xlfn.SWITCH(F64, "Artificial UV", G64+H64+I64, "Sunlight (intensity given)", 0.05*J64, "Sunlight (UV Index given)", 1.6*K64, "UV + Sunlight (Intensity)", G64+H64+I64+0.05*J64, "N.A.", 0)</f>
        <v>14</v>
      </c>
      <c r="M64" s="35" t="s">
        <v>396</v>
      </c>
      <c r="N64" s="102"/>
      <c r="O64" s="35"/>
      <c r="P64" s="92" t="s">
        <v>45</v>
      </c>
      <c r="Q64" s="60"/>
      <c r="R64" s="60"/>
      <c r="S64" s="60"/>
      <c r="T64" s="60"/>
      <c r="U64" s="100"/>
      <c r="V64" s="105"/>
      <c r="W64" s="60"/>
      <c r="X64" s="60"/>
      <c r="Y64" s="60"/>
      <c r="Z64" s="60"/>
      <c r="AA64" s="60"/>
      <c r="AB64" s="100"/>
      <c r="AC64" s="104"/>
      <c r="AD64" s="105"/>
      <c r="AE64" s="105"/>
      <c r="AF64" s="114"/>
      <c r="AG64" s="99"/>
      <c r="AH64" s="43">
        <f t="array" ref="AH64">_xlfn.SWITCH(P64, "Frictional force", AG64*AB64*1000, "Drag force", AG64*AB64*1000, "Shear force", AG64*AB64*1000, "N.A.", 0)</f>
        <v>0</v>
      </c>
      <c r="AI64" s="94" t="s">
        <v>38</v>
      </c>
      <c r="AJ64" s="94" t="s">
        <v>305</v>
      </c>
      <c r="AK64" s="37">
        <v>40</v>
      </c>
      <c r="AL64" s="94" cm="1">
        <f t="array" ref="AL64">_xlfn.SWITCH(AI64, "CFU/ml", AK64, "Cells/ml", 0.8*AK64, "OD600", 1.77*10^9*AK64, "N.A.", 0)</f>
        <v>32</v>
      </c>
      <c r="AM64" s="40"/>
    </row>
    <row r="65" spans="1:39" s="11" customFormat="1" ht="20" customHeight="1" x14ac:dyDescent="0.2">
      <c r="A65" s="32" t="s">
        <v>132</v>
      </c>
      <c r="B65" s="83">
        <f t="shared" si="13"/>
        <v>27.5</v>
      </c>
      <c r="C65" s="83">
        <f t="shared" si="14"/>
        <v>0</v>
      </c>
      <c r="D65" s="83">
        <f t="shared" si="15"/>
        <v>0</v>
      </c>
      <c r="E65" s="33" t="s">
        <v>373</v>
      </c>
      <c r="F65" s="34" t="s">
        <v>36</v>
      </c>
      <c r="G65" s="22"/>
      <c r="H65" s="22"/>
      <c r="I65" s="22"/>
      <c r="J65" s="22">
        <v>550</v>
      </c>
      <c r="K65" s="22"/>
      <c r="L65" s="34" cm="1">
        <f t="array" ref="L65">_xlfn.SWITCH(F65, "Artificial UV", G65+H65+I65, "Sunlight (intensity given)", 0.05*J65, "Sunlight (UV Index given)", 1.6*K65, "UV + Sunlight (Intensity)", G65+H65+I65+0.05*J65, "N.A.", 0)</f>
        <v>27.5</v>
      </c>
      <c r="M65" s="47" t="s">
        <v>374</v>
      </c>
      <c r="N65" s="102"/>
      <c r="O65" s="35"/>
      <c r="P65" s="92" t="s">
        <v>45</v>
      </c>
      <c r="Q65" s="60"/>
      <c r="R65" s="60"/>
      <c r="S65" s="60"/>
      <c r="T65" s="60"/>
      <c r="U65" s="100"/>
      <c r="V65" s="105"/>
      <c r="W65" s="60"/>
      <c r="X65" s="60"/>
      <c r="Y65" s="60"/>
      <c r="Z65" s="60"/>
      <c r="AA65" s="60"/>
      <c r="AB65" s="100"/>
      <c r="AC65" s="104"/>
      <c r="AD65" s="105"/>
      <c r="AE65" s="105"/>
      <c r="AF65" s="114"/>
      <c r="AG65" s="99"/>
      <c r="AH65" s="43">
        <f t="array" ref="AH65">_xlfn.SWITCH(P65, "Frictional force", AG65*AB65*1000, "Drag force", AG65*AB65*1000, "Shear force", AG65*AB65*1000, "N.A.", 0)</f>
        <v>0</v>
      </c>
      <c r="AI65" s="94" t="s">
        <v>45</v>
      </c>
      <c r="AJ65" s="94"/>
      <c r="AK65" s="37"/>
      <c r="AL65" s="95" cm="1">
        <f t="array" ref="AL65">_xlfn.SWITCH(AI65, "CFU/ml", AK65, "Cells/ml", 0.8*AK65, "OD600", 1.77*10^9*AK65, "N.A.", 0)</f>
        <v>0</v>
      </c>
      <c r="AM65" s="40"/>
    </row>
    <row r="66" spans="1:39" s="11" customFormat="1" ht="20" customHeight="1" x14ac:dyDescent="0.2">
      <c r="A66" s="32" t="s">
        <v>375</v>
      </c>
      <c r="B66" s="83">
        <f t="shared" si="13"/>
        <v>60</v>
      </c>
      <c r="C66" s="83">
        <f t="shared" si="14"/>
        <v>0</v>
      </c>
      <c r="D66" s="83">
        <f t="shared" si="15"/>
        <v>0</v>
      </c>
      <c r="E66" s="33" t="s">
        <v>327</v>
      </c>
      <c r="F66" s="34" t="s">
        <v>36</v>
      </c>
      <c r="G66" s="22"/>
      <c r="H66" s="22"/>
      <c r="I66" s="22"/>
      <c r="J66" s="22">
        <v>1200</v>
      </c>
      <c r="K66" s="22"/>
      <c r="L66" s="34" cm="1">
        <f t="array" ref="L66">_xlfn.SWITCH(F66, "Artificial UV", G66+H66+I66, "Sunlight (intensity given)", 0.05*J66, "Sunlight (UV Index given)", 1.6*K66, "UV + Sunlight (Intensity)", G66+H66+I66+0.05*J66, "N.A.", 0)</f>
        <v>60</v>
      </c>
      <c r="M66" s="92" t="s">
        <v>328</v>
      </c>
      <c r="N66" s="102"/>
      <c r="O66" s="35"/>
      <c r="P66" s="92" t="s">
        <v>45</v>
      </c>
      <c r="Q66" s="60"/>
      <c r="R66" s="60"/>
      <c r="S66" s="60"/>
      <c r="T66" s="60"/>
      <c r="U66" s="100"/>
      <c r="V66" s="105"/>
      <c r="W66" s="60"/>
      <c r="X66" s="60"/>
      <c r="Y66" s="60"/>
      <c r="Z66" s="60"/>
      <c r="AA66" s="60"/>
      <c r="AB66" s="100"/>
      <c r="AC66" s="104"/>
      <c r="AD66" s="105"/>
      <c r="AE66" s="105"/>
      <c r="AF66" s="114"/>
      <c r="AG66" s="99"/>
      <c r="AH66" s="43">
        <f t="array" ref="AH66">_xlfn.SWITCH(P66, "Frictional force", AG66*AB66*1000, "Drag force", AG66*AB66*1000, "Shear force", AG66*AB66*1000, "N.A.", 0)</f>
        <v>0</v>
      </c>
      <c r="AI66" s="94" t="s">
        <v>45</v>
      </c>
      <c r="AJ66" s="94"/>
      <c r="AK66" s="37"/>
      <c r="AL66" s="95" cm="1">
        <f t="array" ref="AL66">_xlfn.SWITCH(AI66, "CFU/ml", AK66, "Cells/ml", 0.8*AK66, "OD600", 1.77*10^9*AK66, "N.A.", 0)</f>
        <v>0</v>
      </c>
      <c r="AM66" s="40"/>
    </row>
    <row r="67" spans="1:39" s="11" customFormat="1" ht="20" customHeight="1" x14ac:dyDescent="0.2">
      <c r="A67" s="32" t="s">
        <v>135</v>
      </c>
      <c r="B67" s="125">
        <f t="shared" si="13"/>
        <v>1.7760000000000002</v>
      </c>
      <c r="C67" s="83">
        <f t="shared" si="14"/>
        <v>0</v>
      </c>
      <c r="D67" s="83">
        <f t="shared" si="15"/>
        <v>0</v>
      </c>
      <c r="E67" s="33" t="s">
        <v>356</v>
      </c>
      <c r="F67" s="34" t="s">
        <v>40</v>
      </c>
      <c r="G67" s="22"/>
      <c r="H67" s="22"/>
      <c r="I67" s="22"/>
      <c r="J67" s="22"/>
      <c r="K67" s="22">
        <v>1.1100000000000001</v>
      </c>
      <c r="L67" s="113" cm="1">
        <f t="array" ref="L67">_xlfn.SWITCH(F67, "Artificial UV", G67+H67+I67, "Sunlight (intensity given)", 0.05*J67, "Sunlight (UV Index given)", 1.6*K67, "UV + Sunlight (Intensity)", G67+H67+I67+0.05*J67, "N.A.", 0)</f>
        <v>1.7760000000000002</v>
      </c>
      <c r="M67" s="92" t="s">
        <v>376</v>
      </c>
      <c r="N67" s="102"/>
      <c r="O67" s="35"/>
      <c r="P67" s="92" t="s">
        <v>45</v>
      </c>
      <c r="Q67" s="60"/>
      <c r="R67" s="60"/>
      <c r="S67" s="60"/>
      <c r="T67" s="60"/>
      <c r="U67" s="100"/>
      <c r="V67" s="105"/>
      <c r="W67" s="60"/>
      <c r="X67" s="60"/>
      <c r="Y67" s="60"/>
      <c r="Z67" s="60"/>
      <c r="AA67" s="60"/>
      <c r="AB67" s="100"/>
      <c r="AC67" s="104"/>
      <c r="AD67" s="105"/>
      <c r="AE67" s="105"/>
      <c r="AF67" s="114"/>
      <c r="AG67" s="99"/>
      <c r="AH67" s="43">
        <f t="array" ref="AH67">_xlfn.SWITCH(P67, "Frictional force", AG67*AB67*1000, "Drag force", AG67*AB67*1000, "Shear force", AG67*AB67*1000, "N.A.", 0)</f>
        <v>0</v>
      </c>
      <c r="AI67" s="94" t="s">
        <v>45</v>
      </c>
      <c r="AJ67" s="94"/>
      <c r="AK67" s="37"/>
      <c r="AL67" s="95" cm="1">
        <f t="array" ref="AL67">_xlfn.SWITCH(AI67, "CFU/ml", AK67, "Cells/ml", 0.8*AK67, "OD600", 1.77*10^9*AK67, "N.A.", 0)</f>
        <v>0</v>
      </c>
      <c r="AM67" s="40"/>
    </row>
    <row r="68" spans="1:39" s="11" customFormat="1" ht="20" customHeight="1" x14ac:dyDescent="0.2">
      <c r="A68" s="32" t="s">
        <v>201</v>
      </c>
      <c r="B68" s="33">
        <f t="shared" si="13"/>
        <v>0</v>
      </c>
      <c r="C68" s="33">
        <f t="shared" si="14"/>
        <v>0</v>
      </c>
      <c r="D68" s="59">
        <f t="shared" si="15"/>
        <v>1239000000</v>
      </c>
      <c r="E68" s="33" t="s">
        <v>311</v>
      </c>
      <c r="F68" s="22" t="s">
        <v>45</v>
      </c>
      <c r="G68" s="22"/>
      <c r="H68" s="22"/>
      <c r="I68" s="22"/>
      <c r="J68" s="22"/>
      <c r="K68" s="22"/>
      <c r="L68" s="34" cm="1">
        <f t="array" ref="L68">_xlfn.SWITCH(F68, "Artificial UV", G68+H68+I68, "Sunlight (intensity given)", 0.05*J68, "Sunlight (UV Index given)", 1.6*K68, "UV + Sunlight (Intensity)", G68+H68+I68+0.05*J68, "N.A.", 0)</f>
        <v>0</v>
      </c>
      <c r="M68" s="48" t="s">
        <v>312</v>
      </c>
      <c r="N68" s="102"/>
      <c r="O68" s="35"/>
      <c r="P68" s="35" t="s">
        <v>45</v>
      </c>
      <c r="Q68" s="60"/>
      <c r="R68" s="60"/>
      <c r="S68" s="60"/>
      <c r="T68" s="60"/>
      <c r="U68" s="105"/>
      <c r="V68" s="105"/>
      <c r="W68" s="60"/>
      <c r="X68" s="60"/>
      <c r="Y68" s="60"/>
      <c r="Z68" s="60"/>
      <c r="AA68" s="60"/>
      <c r="AB68" s="105"/>
      <c r="AC68" s="104"/>
      <c r="AD68" s="105"/>
      <c r="AE68" s="105"/>
      <c r="AF68" s="114"/>
      <c r="AG68" s="114"/>
      <c r="AH68" s="43">
        <f t="array" ref="AH68">_xlfn.SWITCH(P68, "Frictional force", AG68*AB68*1000, "Drag force", AG68*AB68*1000, "Shear force", AG68*AB68*1000, "N.A.", 0)</f>
        <v>0</v>
      </c>
      <c r="AI68" s="109" t="s">
        <v>42</v>
      </c>
      <c r="AJ68" s="109" t="s">
        <v>313</v>
      </c>
      <c r="AK68" s="37">
        <v>0.7</v>
      </c>
      <c r="AL68" s="94" cm="1">
        <f t="array" ref="AL68">_xlfn.SWITCH(AI68, "CFU/ml", AK68, "Cells/ml", 0.8*AK68, "OD600", 1.77*10^9*AK68, "N.A.", 0)</f>
        <v>1239000000</v>
      </c>
      <c r="AM68" s="40"/>
    </row>
    <row r="69" spans="1:39" s="11" customFormat="1" ht="20" customHeight="1" x14ac:dyDescent="0.2">
      <c r="A69" s="32" t="s">
        <v>206</v>
      </c>
      <c r="B69" s="33">
        <f t="shared" si="13"/>
        <v>0</v>
      </c>
      <c r="C69" s="115">
        <f t="shared" si="14"/>
        <v>3.2194933303115791E-5</v>
      </c>
      <c r="D69" s="59">
        <f t="shared" si="15"/>
        <v>5500000000</v>
      </c>
      <c r="E69" s="33" t="s">
        <v>377</v>
      </c>
      <c r="F69" s="22" t="s">
        <v>45</v>
      </c>
      <c r="G69" s="22"/>
      <c r="H69" s="22"/>
      <c r="I69" s="22"/>
      <c r="J69" s="22"/>
      <c r="K69" s="22"/>
      <c r="L69" s="34" cm="1">
        <f t="array" ref="L69">_xlfn.SWITCH(F69, "Artificial UV", G69+H69+I69, "Sunlight (intensity given)", 0.05*J69, "Sunlight (UV Index given)", 1.6*K69, "UV + Sunlight (Intensity)", G69+H69+I69+0.05*J69, "N.A.", 0)</f>
        <v>0</v>
      </c>
      <c r="M69" s="48" t="s">
        <v>378</v>
      </c>
      <c r="N69" s="102" t="s">
        <v>379</v>
      </c>
      <c r="O69" s="35" t="s">
        <v>380</v>
      </c>
      <c r="P69" s="35" t="s">
        <v>37</v>
      </c>
      <c r="Q69" s="60"/>
      <c r="R69" s="114">
        <f>338/2/10^6</f>
        <v>1.6899999999999999E-4</v>
      </c>
      <c r="S69" s="60">
        <v>160</v>
      </c>
      <c r="T69" s="60">
        <v>0.03</v>
      </c>
      <c r="U69" s="117">
        <f>S69*2*PI()/60</f>
        <v>16.755160819145562</v>
      </c>
      <c r="V69" s="105">
        <f>U69*T69</f>
        <v>0.50265482457436683</v>
      </c>
      <c r="W69" s="60"/>
      <c r="X69" s="60"/>
      <c r="Y69" s="60"/>
      <c r="Z69" s="60"/>
      <c r="AA69" s="60">
        <v>0.2</v>
      </c>
      <c r="AB69" s="105">
        <f>AA69*V69</f>
        <v>0.10053096491487337</v>
      </c>
      <c r="AC69" s="104"/>
      <c r="AD69" s="105"/>
      <c r="AE69" s="105"/>
      <c r="AF69" s="114"/>
      <c r="AG69" s="44">
        <f t="array" ref="AG69">_xlfn.SWITCH(P69, "Frictional force", 0.4*Z69, "Drag force", 6*PI()*R69*0.001*AB69, "Shear force", AD69*AF69)</f>
        <v>3.2024892360654747E-7</v>
      </c>
      <c r="AH69" s="118">
        <f t="array" ref="AH69">_xlfn.SWITCH(P69, "Frictional force", AG69*AB69*1000, "Drag force", AG69*AB69*1000, "Shear force", AG69*AB69*1000, "N.A.", 0)</f>
        <v>3.2194933303115791E-5</v>
      </c>
      <c r="AI69" s="109" t="s">
        <v>34</v>
      </c>
      <c r="AJ69" s="109" t="s">
        <v>305</v>
      </c>
      <c r="AK69" s="109">
        <v>5500000000</v>
      </c>
      <c r="AL69" s="94" cm="1">
        <f t="array" ref="AL69">_xlfn.SWITCH(AI69, "CFU/ml", AK69, "Cells/ml", 0.8*AK69, "OD600", 1.77*10^9*AK69, "N.A.", 0)</f>
        <v>5500000000</v>
      </c>
      <c r="AM69" s="40"/>
    </row>
    <row r="70" spans="1:39" s="11" customFormat="1" ht="35" customHeight="1" x14ac:dyDescent="0.2">
      <c r="A70" s="32" t="s">
        <v>215</v>
      </c>
      <c r="B70" s="33">
        <f t="shared" si="13"/>
        <v>0</v>
      </c>
      <c r="C70" s="127">
        <f t="shared" si="14"/>
        <v>1.3323965941470634E-3</v>
      </c>
      <c r="D70" s="59">
        <f t="shared" si="15"/>
        <v>1720440000</v>
      </c>
      <c r="E70" s="33" t="s">
        <v>381</v>
      </c>
      <c r="F70" s="22" t="s">
        <v>45</v>
      </c>
      <c r="G70" s="22"/>
      <c r="H70" s="22"/>
      <c r="I70" s="22"/>
      <c r="J70" s="22"/>
      <c r="K70" s="22"/>
      <c r="L70" s="34" cm="1">
        <f t="array" ref="L70">_xlfn.SWITCH(F70, "Artificial UV", G70+H70+I70, "Sunlight (intensity given)", 0.05*J70, "Sunlight (UV Index given)", 1.6*K70, "UV + Sunlight (Intensity)", G70+H70+I70+0.05*J70, "N.A.", 0)</f>
        <v>0</v>
      </c>
      <c r="M70" s="48" t="s">
        <v>382</v>
      </c>
      <c r="N70" s="102" t="s">
        <v>383</v>
      </c>
      <c r="O70" s="35" t="s">
        <v>384</v>
      </c>
      <c r="P70" s="35" t="s">
        <v>41</v>
      </c>
      <c r="Q70" s="60"/>
      <c r="R70" s="114"/>
      <c r="S70" s="60">
        <v>180</v>
      </c>
      <c r="T70" s="60">
        <v>2.5000000000000001E-2</v>
      </c>
      <c r="U70" s="117">
        <f>S70*2*PI()/60</f>
        <v>18.849555921538759</v>
      </c>
      <c r="V70" s="105">
        <f>U70*T70</f>
        <v>0.47123889803846897</v>
      </c>
      <c r="W70" s="60"/>
      <c r="X70" s="60"/>
      <c r="Y70" s="60"/>
      <c r="Z70" s="60"/>
      <c r="AA70" s="60">
        <v>0.2</v>
      </c>
      <c r="AB70" s="105">
        <f>AA70*V70</f>
        <v>9.4247779607693802E-2</v>
      </c>
      <c r="AC70" s="104">
        <f>AB70/0.001</f>
        <v>94.247779607693801</v>
      </c>
      <c r="AD70" s="105">
        <f>0.001*AC70</f>
        <v>9.4247779607693802E-2</v>
      </c>
      <c r="AE70" s="105"/>
      <c r="AF70" s="60">
        <f>1*(1.5*1)/10^4</f>
        <v>1.4999999999999999E-4</v>
      </c>
      <c r="AG70" s="44">
        <f t="array" ref="AG70">_xlfn.SWITCH(P70, "Frictional force", 0.4*Z70, "Drag force", 6*PI()*R70*0.001*AB70, "Shear force", AD70*AF70)</f>
        <v>1.4137166941154069E-5</v>
      </c>
      <c r="AH70" s="128">
        <f t="array" ref="AH70">_xlfn.SWITCH(P70, "Frictional force", AG70*AB70*1000, "Drag force", AG70*AB70*1000, "Shear force", AG70*AB70*1000, "N.A.", 0)</f>
        <v>1.3323965941470634E-3</v>
      </c>
      <c r="AI70" s="109" t="s">
        <v>42</v>
      </c>
      <c r="AJ70" s="109" t="s">
        <v>305</v>
      </c>
      <c r="AK70" s="37">
        <v>0.97199999999999998</v>
      </c>
      <c r="AL70" s="94" cm="1">
        <f t="array" ref="AL70">_xlfn.SWITCH(AI70, "CFU/ml", AK70, "Cells/ml", 0.8*AK70, "OD600", 1.77*10^9*AK70, "N.A.", 0)</f>
        <v>1720440000</v>
      </c>
      <c r="AM70" s="40"/>
    </row>
    <row r="71" spans="1:39" s="11" customFormat="1" ht="20" customHeight="1" x14ac:dyDescent="0.2">
      <c r="A71" s="32" t="s">
        <v>216</v>
      </c>
      <c r="B71" s="33">
        <f t="shared" si="13"/>
        <v>0</v>
      </c>
      <c r="C71" s="129">
        <f t="shared" si="14"/>
        <v>2.0465611686098898E-2</v>
      </c>
      <c r="D71" s="59">
        <f t="shared" si="15"/>
        <v>8000000000</v>
      </c>
      <c r="E71" s="33" t="s">
        <v>385</v>
      </c>
      <c r="F71" s="22" t="s">
        <v>45</v>
      </c>
      <c r="G71" s="22"/>
      <c r="H71" s="22"/>
      <c r="I71" s="22"/>
      <c r="J71" s="22"/>
      <c r="K71" s="22"/>
      <c r="L71" s="34" cm="1">
        <f t="array" ref="L71">_xlfn.SWITCH(F71, "Artificial UV", G71+H71+I71, "Sunlight (intensity given)", 0.05*J71, "Sunlight (UV Index given)", 1.6*K71, "UV + Sunlight (Intensity)", G71+H71+I71+0.05*J71, "N.A.", 0)</f>
        <v>0</v>
      </c>
      <c r="M71" s="35" t="s">
        <v>386</v>
      </c>
      <c r="N71" s="102" t="s">
        <v>371</v>
      </c>
      <c r="O71" s="124" t="s">
        <v>372</v>
      </c>
      <c r="P71" s="35" t="s">
        <v>41</v>
      </c>
      <c r="Q71" s="60"/>
      <c r="R71" s="114"/>
      <c r="S71" s="60">
        <v>180</v>
      </c>
      <c r="T71" s="60">
        <v>0.04</v>
      </c>
      <c r="U71" s="117">
        <f>S71*2*PI()/60</f>
        <v>18.849555921538759</v>
      </c>
      <c r="V71" s="105">
        <f>U71*T71</f>
        <v>0.75398223686155041</v>
      </c>
      <c r="W71" s="60"/>
      <c r="X71" s="60"/>
      <c r="Y71" s="60"/>
      <c r="Z71" s="60"/>
      <c r="AA71" s="60">
        <v>0.2</v>
      </c>
      <c r="AB71" s="105">
        <f>AA71*V71</f>
        <v>0.1507964473723101</v>
      </c>
      <c r="AC71" s="104">
        <f>AB71/0.001</f>
        <v>150.7964473723101</v>
      </c>
      <c r="AD71" s="105">
        <f>0.001*AC71</f>
        <v>0.1507964473723101</v>
      </c>
      <c r="AE71" s="105"/>
      <c r="AF71" s="60">
        <f>1*(3*3)/10^4</f>
        <v>8.9999999999999998E-4</v>
      </c>
      <c r="AG71" s="44">
        <f t="array" ref="AG71">_xlfn.SWITCH(P71, "Frictional force", 0.4*Z71, "Drag force", 6*PI()*R71*0.001*AB71, "Shear force", AD71*AF71)</f>
        <v>1.3571680263507909E-4</v>
      </c>
      <c r="AH71" s="130">
        <f t="array" ref="AH71">_xlfn.SWITCH(P71, "Frictional force", AG71*AB71*1000, "Drag force", AG71*AB71*1000, "Shear force", AG71*AB71*1000, "N.A.", 0)</f>
        <v>2.0465611686098898E-2</v>
      </c>
      <c r="AI71" s="109" t="s">
        <v>34</v>
      </c>
      <c r="AJ71" s="109" t="s">
        <v>305</v>
      </c>
      <c r="AK71" s="109">
        <v>8000000000</v>
      </c>
      <c r="AL71" s="94" cm="1">
        <f t="array" ref="AL71">_xlfn.SWITCH(AI71, "CFU/ml", AK71, "Cells/ml", 0.8*AK71, "OD600", 1.77*10^9*AK71, "N.A.", 0)</f>
        <v>8000000000</v>
      </c>
      <c r="AM71" s="40"/>
    </row>
    <row r="72" spans="1:39" s="11" customFormat="1" ht="20" customHeight="1" x14ac:dyDescent="0.2">
      <c r="A72" s="32" t="s">
        <v>217</v>
      </c>
      <c r="B72" s="33">
        <f t="shared" si="13"/>
        <v>0</v>
      </c>
      <c r="C72" s="129">
        <f t="shared" si="14"/>
        <v>2.0465611686098898E-2</v>
      </c>
      <c r="D72" s="59">
        <f t="shared" si="15"/>
        <v>8300000000</v>
      </c>
      <c r="E72" s="33" t="s">
        <v>385</v>
      </c>
      <c r="F72" s="22" t="s">
        <v>45</v>
      </c>
      <c r="G72" s="22"/>
      <c r="H72" s="22"/>
      <c r="I72" s="22"/>
      <c r="J72" s="22"/>
      <c r="K72" s="22"/>
      <c r="L72" s="34" cm="1">
        <f t="array" ref="L72">_xlfn.SWITCH(F72, "Artificial UV", G72+H72+I72, "Sunlight (intensity given)", 0.05*J72, "Sunlight (UV Index given)", 1.6*K72, "UV + Sunlight (Intensity)", G72+H72+I72+0.05*J72, "N.A.", 0)</f>
        <v>0</v>
      </c>
      <c r="M72" s="35" t="s">
        <v>386</v>
      </c>
      <c r="N72" s="102" t="s">
        <v>371</v>
      </c>
      <c r="O72" s="124" t="s">
        <v>372</v>
      </c>
      <c r="P72" s="35" t="s">
        <v>41</v>
      </c>
      <c r="Q72" s="60"/>
      <c r="R72" s="114"/>
      <c r="S72" s="60">
        <v>180</v>
      </c>
      <c r="T72" s="60">
        <v>0.04</v>
      </c>
      <c r="U72" s="117">
        <f>S72*2*PI()/60</f>
        <v>18.849555921538759</v>
      </c>
      <c r="V72" s="105">
        <f>U72*T72</f>
        <v>0.75398223686155041</v>
      </c>
      <c r="W72" s="60"/>
      <c r="X72" s="60"/>
      <c r="Y72" s="60"/>
      <c r="Z72" s="60"/>
      <c r="AA72" s="60">
        <v>0.2</v>
      </c>
      <c r="AB72" s="105">
        <f>AA72*V72</f>
        <v>0.1507964473723101</v>
      </c>
      <c r="AC72" s="104">
        <f>AB72/0.001</f>
        <v>150.7964473723101</v>
      </c>
      <c r="AD72" s="105">
        <f>0.001*AC72</f>
        <v>0.1507964473723101</v>
      </c>
      <c r="AE72" s="105"/>
      <c r="AF72" s="60">
        <f>1*(3*3)/10^4</f>
        <v>8.9999999999999998E-4</v>
      </c>
      <c r="AG72" s="44">
        <f t="array" ref="AG72">_xlfn.SWITCH(P72, "Frictional force", 0.4*Z72, "Drag force", 6*PI()*R72*0.001*AB72, "Shear force", AD72*AF72)</f>
        <v>1.3571680263507909E-4</v>
      </c>
      <c r="AH72" s="130">
        <f t="array" ref="AH72">_xlfn.SWITCH(P72, "Frictional force", AG72*AB72*1000, "Drag force", AG72*AB72*1000, "Shear force", AG72*AB72*1000, "N.A.", 0)</f>
        <v>2.0465611686098898E-2</v>
      </c>
      <c r="AI72" s="109" t="s">
        <v>34</v>
      </c>
      <c r="AJ72" s="109" t="s">
        <v>305</v>
      </c>
      <c r="AK72" s="109">
        <v>8300000000</v>
      </c>
      <c r="AL72" s="94" cm="1">
        <f t="array" ref="AL72">_xlfn.SWITCH(AI72, "CFU/ml", AK72, "Cells/ml", 0.8*AK72, "OD600", 1.77*10^9*AK72, "N.A.", 0)</f>
        <v>8300000000</v>
      </c>
      <c r="AM72" s="40"/>
    </row>
    <row r="73" spans="1:39" s="11" customFormat="1" ht="20" customHeight="1" x14ac:dyDescent="0.2">
      <c r="A73" s="32" t="s">
        <v>218</v>
      </c>
      <c r="B73" s="33">
        <f t="shared" si="13"/>
        <v>0</v>
      </c>
      <c r="C73" s="33">
        <f t="shared" si="14"/>
        <v>0</v>
      </c>
      <c r="D73" s="59">
        <f t="shared" si="15"/>
        <v>2725800000</v>
      </c>
      <c r="E73" s="33" t="s">
        <v>387</v>
      </c>
      <c r="F73" s="22" t="s">
        <v>45</v>
      </c>
      <c r="G73" s="22"/>
      <c r="H73" s="22"/>
      <c r="I73" s="22"/>
      <c r="J73" s="22"/>
      <c r="K73" s="22"/>
      <c r="L73" s="34" cm="1">
        <f t="array" ref="L73">_xlfn.SWITCH(F73, "Artificial UV", G73+H73+I73, "Sunlight (intensity given)", 0.05*J73, "Sunlight (UV Index given)", 1.6*K73, "UV + Sunlight (Intensity)", G73+H73+I73+0.05*J73, "N.A.", 0)</f>
        <v>0</v>
      </c>
      <c r="M73" s="35" t="s">
        <v>388</v>
      </c>
      <c r="N73" s="102"/>
      <c r="O73" s="124"/>
      <c r="P73" s="35" t="s">
        <v>45</v>
      </c>
      <c r="Q73" s="60"/>
      <c r="R73" s="114"/>
      <c r="S73" s="60"/>
      <c r="T73" s="60"/>
      <c r="U73" s="117"/>
      <c r="V73" s="105"/>
      <c r="W73" s="60"/>
      <c r="X73" s="60"/>
      <c r="Y73" s="60"/>
      <c r="Z73" s="60"/>
      <c r="AA73" s="60"/>
      <c r="AB73" s="105"/>
      <c r="AC73" s="104"/>
      <c r="AD73" s="105"/>
      <c r="AE73" s="105"/>
      <c r="AF73" s="60"/>
      <c r="AG73" s="44"/>
      <c r="AH73" s="60">
        <f t="array" ref="AH73">_xlfn.SWITCH(P73, "Frictional force", AG73*AB73*1000, "Drag force", AG73*AB73*1000, "Shear force", AG73*AB73*1000, "N.A.", 0)</f>
        <v>0</v>
      </c>
      <c r="AI73" s="109" t="s">
        <v>42</v>
      </c>
      <c r="AJ73" s="109" t="s">
        <v>313</v>
      </c>
      <c r="AK73" s="37">
        <v>1.54</v>
      </c>
      <c r="AL73" s="94" cm="1">
        <f t="array" ref="AL73">_xlfn.SWITCH(AI73, "CFU/ml", AK73, "Cells/ml", 0.8*AK73, "OD600", 1.77*10^9*AK73, "N.A.", 0)</f>
        <v>2725800000</v>
      </c>
      <c r="AM73" s="40"/>
    </row>
    <row r="74" spans="1:39" s="11" customFormat="1" ht="20" customHeight="1" x14ac:dyDescent="0.2">
      <c r="A74" s="32" t="s">
        <v>389</v>
      </c>
      <c r="B74" s="33">
        <f t="shared" si="13"/>
        <v>0</v>
      </c>
      <c r="C74" s="33">
        <f t="shared" si="14"/>
        <v>0</v>
      </c>
      <c r="D74" s="59">
        <f t="shared" si="15"/>
        <v>9735000000</v>
      </c>
      <c r="E74" s="33" t="s">
        <v>145</v>
      </c>
      <c r="F74" s="22" t="s">
        <v>45</v>
      </c>
      <c r="G74" s="22"/>
      <c r="H74" s="22"/>
      <c r="I74" s="22"/>
      <c r="J74" s="22"/>
      <c r="K74" s="22"/>
      <c r="L74" s="34" cm="1">
        <f t="array" ref="L74">_xlfn.SWITCH(F74, "Artificial UV", G74+H74+I74, "Sunlight (intensity given)", 0.05*J74, "Sunlight (UV Index given)", 1.6*K74, "UV + Sunlight (Intensity)", G74+H74+I74+0.05*J74, "N.A.", 0)</f>
        <v>0</v>
      </c>
      <c r="M74" s="48" t="s">
        <v>317</v>
      </c>
      <c r="N74" s="102"/>
      <c r="O74" s="124"/>
      <c r="P74" s="35" t="s">
        <v>45</v>
      </c>
      <c r="Q74" s="60"/>
      <c r="R74" s="114"/>
      <c r="S74" s="60"/>
      <c r="T74" s="60"/>
      <c r="U74" s="117"/>
      <c r="V74" s="105"/>
      <c r="W74" s="60"/>
      <c r="X74" s="60"/>
      <c r="Y74" s="60"/>
      <c r="Z74" s="60"/>
      <c r="AA74" s="60"/>
      <c r="AB74" s="105"/>
      <c r="AC74" s="104"/>
      <c r="AD74" s="105"/>
      <c r="AE74" s="105"/>
      <c r="AF74" s="60"/>
      <c r="AG74" s="44"/>
      <c r="AH74" s="60">
        <f t="array" ref="AH74">_xlfn.SWITCH(P74, "Frictional force", AG74*AB74*1000, "Drag force", AG74*AB74*1000, "Shear force", AG74*AB74*1000, "N.A.", 0)</f>
        <v>0</v>
      </c>
      <c r="AI74" s="109" t="s">
        <v>42</v>
      </c>
      <c r="AJ74" s="109" t="s">
        <v>305</v>
      </c>
      <c r="AK74" s="37">
        <v>5.5</v>
      </c>
      <c r="AL74" s="94" cm="1">
        <f t="array" ref="AL74">_xlfn.SWITCH(AI74, "CFU/ml", AK74, "Cells/ml", 0.8*AK74, "OD600", 1.77*10^9*AK74, "N.A.", 0)</f>
        <v>9735000000</v>
      </c>
      <c r="AM74" s="40"/>
    </row>
    <row r="75" spans="1:39" s="11" customFormat="1" ht="20" customHeight="1" x14ac:dyDescent="0.2">
      <c r="A75" s="32" t="s">
        <v>112</v>
      </c>
      <c r="B75" s="125">
        <f t="shared" si="13"/>
        <v>1.7760000000000002</v>
      </c>
      <c r="C75" s="83">
        <f t="shared" si="14"/>
        <v>0</v>
      </c>
      <c r="D75" s="83">
        <f t="shared" si="15"/>
        <v>0</v>
      </c>
      <c r="E75" s="33" t="s">
        <v>356</v>
      </c>
      <c r="F75" s="34" t="s">
        <v>40</v>
      </c>
      <c r="G75" s="22"/>
      <c r="H75" s="22"/>
      <c r="I75" s="22"/>
      <c r="J75" s="22"/>
      <c r="K75" s="22">
        <v>1.1100000000000001</v>
      </c>
      <c r="L75" s="113" cm="1">
        <f t="array" ref="L75">_xlfn.SWITCH(F75, "Artificial UV", G75+H75+I75, "Sunlight (intensity given)", 0.05*J75, "Sunlight (UV Index given)", 1.6*K75, "UV + Sunlight (Intensity)", G75+H75+I75+0.05*J75, "N.A.", 0)</f>
        <v>1.7760000000000002</v>
      </c>
      <c r="M75" s="92" t="s">
        <v>390</v>
      </c>
      <c r="N75" s="102"/>
      <c r="O75" s="35"/>
      <c r="P75" s="92" t="s">
        <v>45</v>
      </c>
      <c r="Q75" s="60"/>
      <c r="R75" s="60"/>
      <c r="S75" s="60"/>
      <c r="T75" s="60"/>
      <c r="U75" s="100"/>
      <c r="V75" s="105"/>
      <c r="W75" s="60"/>
      <c r="X75" s="60"/>
      <c r="Y75" s="60"/>
      <c r="Z75" s="60"/>
      <c r="AA75" s="60"/>
      <c r="AB75" s="100"/>
      <c r="AC75" s="104"/>
      <c r="AD75" s="105"/>
      <c r="AE75" s="105"/>
      <c r="AF75" s="114"/>
      <c r="AG75" s="99"/>
      <c r="AH75" s="43">
        <f t="array" ref="AH75">_xlfn.SWITCH(P75, "Frictional force", AG75*AB75*1000, "Drag force", AG75*AB75*1000, "Shear force", AG75*AB75*1000, "N.A.", 0)</f>
        <v>0</v>
      </c>
      <c r="AI75" s="94" t="s">
        <v>45</v>
      </c>
      <c r="AJ75" s="94"/>
      <c r="AK75" s="37"/>
      <c r="AL75" s="95" cm="1">
        <f t="array" ref="AL75">_xlfn.SWITCH(AI75, "CFU/ml", AK75, "Cells/ml", 0.8*AK75, "OD600", 1.77*10^9*AK75, "N.A.", 0)</f>
        <v>0</v>
      </c>
      <c r="AM75" s="40"/>
    </row>
    <row r="76" spans="1:39" s="11" customFormat="1" ht="35" customHeight="1" x14ac:dyDescent="0.2">
      <c r="A76" s="32" t="s">
        <v>191</v>
      </c>
      <c r="B76" s="83">
        <f t="shared" si="13"/>
        <v>0</v>
      </c>
      <c r="C76" s="107">
        <f t="shared" si="14"/>
        <v>1.6170359850744802E-4</v>
      </c>
      <c r="D76" s="45">
        <f t="shared" si="15"/>
        <v>2548800000</v>
      </c>
      <c r="E76" s="33" t="s">
        <v>136</v>
      </c>
      <c r="F76" s="34" t="s">
        <v>45</v>
      </c>
      <c r="G76" s="22"/>
      <c r="H76" s="22"/>
      <c r="I76" s="22"/>
      <c r="J76" s="22"/>
      <c r="K76" s="22"/>
      <c r="L76" s="34" cm="1">
        <f t="array" ref="L76">_xlfn.SWITCH(F76, "Artificial UV", G76+H76+I76, "Sunlight (intensity given)", 0.05*J76, "Sunlight (UV Index given)", 1.6*K76, "UV + Sunlight (Intensity)", G76+H76+I76+0.05*J76, "N.A.", 0)</f>
        <v>0</v>
      </c>
      <c r="M76" s="124" t="s">
        <v>391</v>
      </c>
      <c r="N76" s="102" t="s">
        <v>392</v>
      </c>
      <c r="O76" s="123" t="s">
        <v>361</v>
      </c>
      <c r="P76" s="92" t="s">
        <v>41</v>
      </c>
      <c r="Q76" s="60"/>
      <c r="R76" s="60"/>
      <c r="S76" s="60">
        <v>120</v>
      </c>
      <c r="T76" s="60">
        <v>0.04</v>
      </c>
      <c r="U76" s="117">
        <f>S76*2*PI()/60</f>
        <v>12.566370614359171</v>
      </c>
      <c r="V76" s="105">
        <f>T76*U76</f>
        <v>0.50265482457436683</v>
      </c>
      <c r="W76" s="60"/>
      <c r="X76" s="60"/>
      <c r="Y76" s="60"/>
      <c r="Z76" s="60"/>
      <c r="AA76" s="60">
        <v>0.2</v>
      </c>
      <c r="AB76" s="105">
        <f>AA76*V76</f>
        <v>0.10053096491487337</v>
      </c>
      <c r="AC76" s="104">
        <f>AB76/0.001</f>
        <v>100.53096491487337</v>
      </c>
      <c r="AD76" s="105">
        <f>0.001*AC76</f>
        <v>0.10053096491487337</v>
      </c>
      <c r="AE76" s="105"/>
      <c r="AF76" s="60">
        <f>1*(4*4)/10^6</f>
        <v>1.5999999999999999E-5</v>
      </c>
      <c r="AG76" s="42">
        <f t="array" ref="AG76">_xlfn.SWITCH(P76, "Frictional force", 0.4*Z76, "Drag force", 6*PI()*R76*0.001*AB76, "Shear force", AD76*AF76)</f>
        <v>1.6084954386379739E-6</v>
      </c>
      <c r="AH76" s="99">
        <f t="array" ref="AH76">_xlfn.SWITCH(P76, "Frictional force", AG76*AB76*1000, "Drag force", AG76*AB76*1000, "Shear force", AG76*AB76*1000, "N.A.", 0)</f>
        <v>1.6170359850744802E-4</v>
      </c>
      <c r="AI76" s="94" t="s">
        <v>42</v>
      </c>
      <c r="AJ76" s="94" t="s">
        <v>338</v>
      </c>
      <c r="AK76" s="121">
        <v>1.44</v>
      </c>
      <c r="AL76" s="94" cm="1">
        <f t="array" ref="AL76">_xlfn.SWITCH(AI76, "CFU/ml", AK76, "Cells/ml", 0.8*AK76, "OD600", 1.77*10^9*AK76, "N.A.", 0)</f>
        <v>2548800000</v>
      </c>
      <c r="AM76" s="40"/>
    </row>
    <row r="77" spans="1:39" s="11" customFormat="1" ht="35" customHeight="1" x14ac:dyDescent="0.2">
      <c r="A77" s="32" t="s">
        <v>192</v>
      </c>
      <c r="B77" s="83">
        <f t="shared" si="13"/>
        <v>0</v>
      </c>
      <c r="C77" s="107">
        <f t="shared" si="14"/>
        <v>1.6170359850744802E-4</v>
      </c>
      <c r="D77" s="45">
        <f t="shared" si="15"/>
        <v>893850000</v>
      </c>
      <c r="E77" s="33" t="s">
        <v>136</v>
      </c>
      <c r="F77" s="34" t="s">
        <v>45</v>
      </c>
      <c r="G77" s="22"/>
      <c r="H77" s="22"/>
      <c r="I77" s="22"/>
      <c r="J77" s="22"/>
      <c r="K77" s="22"/>
      <c r="L77" s="34" cm="1">
        <f t="array" ref="L77">_xlfn.SWITCH(F77, "Artificial UV", G77+H77+I77, "Sunlight (intensity given)", 0.05*J77, "Sunlight (UV Index given)", 1.6*K77, "UV + Sunlight (Intensity)", G77+H77+I77+0.05*J77, "N.A.", 0)</f>
        <v>0</v>
      </c>
      <c r="M77" s="124" t="s">
        <v>391</v>
      </c>
      <c r="N77" s="102" t="s">
        <v>392</v>
      </c>
      <c r="O77" s="123" t="s">
        <v>361</v>
      </c>
      <c r="P77" s="92" t="s">
        <v>41</v>
      </c>
      <c r="Q77" s="60"/>
      <c r="R77" s="60"/>
      <c r="S77" s="60">
        <v>120</v>
      </c>
      <c r="T77" s="60">
        <v>0.04</v>
      </c>
      <c r="U77" s="117">
        <f>S77*2*PI()/60</f>
        <v>12.566370614359171</v>
      </c>
      <c r="V77" s="105">
        <f>T77*U77</f>
        <v>0.50265482457436683</v>
      </c>
      <c r="W77" s="60"/>
      <c r="X77" s="60"/>
      <c r="Y77" s="60"/>
      <c r="Z77" s="60"/>
      <c r="AA77" s="60">
        <v>0.2</v>
      </c>
      <c r="AB77" s="105">
        <f>AA77*V77</f>
        <v>0.10053096491487337</v>
      </c>
      <c r="AC77" s="104">
        <f>AB77/0.001</f>
        <v>100.53096491487337</v>
      </c>
      <c r="AD77" s="105">
        <f>0.001*AC77</f>
        <v>0.10053096491487337</v>
      </c>
      <c r="AE77" s="105"/>
      <c r="AF77" s="60">
        <f>1*(4*4)/10^6</f>
        <v>1.5999999999999999E-5</v>
      </c>
      <c r="AG77" s="42">
        <f t="array" ref="AG77">_xlfn.SWITCH(P77, "Frictional force", 0.4*Z77, "Drag force", 6*PI()*R77*0.001*AB77, "Shear force", AD77*AF77)</f>
        <v>1.6084954386379739E-6</v>
      </c>
      <c r="AH77" s="99">
        <f t="array" ref="AH77">_xlfn.SWITCH(P77, "Frictional force", AG77*AB77*1000, "Drag force", AG77*AB77*1000, "Shear force", AG77*AB77*1000, "N.A.", 0)</f>
        <v>1.6170359850744802E-4</v>
      </c>
      <c r="AI77" s="94" t="s">
        <v>42</v>
      </c>
      <c r="AJ77" s="94" t="s">
        <v>338</v>
      </c>
      <c r="AK77" s="121">
        <v>0.505</v>
      </c>
      <c r="AL77" s="94" cm="1">
        <f t="array" ref="AL77">_xlfn.SWITCH(AI77, "CFU/ml", AK77, "Cells/ml", 0.8*AK77, "OD600", 1.77*10^9*AK77, "N.A.", 0)</f>
        <v>893850000</v>
      </c>
      <c r="AM77" s="40"/>
    </row>
    <row r="78" spans="1:39" s="11" customFormat="1" ht="35" customHeight="1" x14ac:dyDescent="0.2">
      <c r="A78" s="32" t="s">
        <v>193</v>
      </c>
      <c r="B78" s="83">
        <f t="shared" si="13"/>
        <v>0</v>
      </c>
      <c r="C78" s="107">
        <f t="shared" si="14"/>
        <v>1.6170359850744802E-4</v>
      </c>
      <c r="D78" s="45">
        <f t="shared" si="15"/>
        <v>1097400000</v>
      </c>
      <c r="E78" s="33" t="s">
        <v>136</v>
      </c>
      <c r="F78" s="34" t="s">
        <v>45</v>
      </c>
      <c r="G78" s="22"/>
      <c r="H78" s="22"/>
      <c r="I78" s="22"/>
      <c r="J78" s="22"/>
      <c r="K78" s="22"/>
      <c r="L78" s="34" cm="1">
        <f t="array" ref="L78">_xlfn.SWITCH(F78, "Artificial UV", G78+H78+I78, "Sunlight (intensity given)", 0.05*J78, "Sunlight (UV Index given)", 1.6*K78, "UV + Sunlight (Intensity)", G78+H78+I78+0.05*J78, "N.A.", 0)</f>
        <v>0</v>
      </c>
      <c r="M78" s="124" t="s">
        <v>391</v>
      </c>
      <c r="N78" s="102" t="s">
        <v>392</v>
      </c>
      <c r="O78" s="123" t="s">
        <v>361</v>
      </c>
      <c r="P78" s="92" t="s">
        <v>41</v>
      </c>
      <c r="Q78" s="60"/>
      <c r="R78" s="60"/>
      <c r="S78" s="60">
        <v>120</v>
      </c>
      <c r="T78" s="60">
        <v>0.04</v>
      </c>
      <c r="U78" s="117">
        <f>S78*2*PI()/60</f>
        <v>12.566370614359171</v>
      </c>
      <c r="V78" s="105">
        <f>T78*U78</f>
        <v>0.50265482457436683</v>
      </c>
      <c r="W78" s="60"/>
      <c r="X78" s="60"/>
      <c r="Y78" s="60"/>
      <c r="Z78" s="60"/>
      <c r="AA78" s="60">
        <v>0.2</v>
      </c>
      <c r="AB78" s="105">
        <f>AA78*V78</f>
        <v>0.10053096491487337</v>
      </c>
      <c r="AC78" s="104">
        <f>AB78/0.001</f>
        <v>100.53096491487337</v>
      </c>
      <c r="AD78" s="105">
        <f>0.001*AC78</f>
        <v>0.10053096491487337</v>
      </c>
      <c r="AE78" s="105"/>
      <c r="AF78" s="60">
        <f>1*(4*4)/10^6</f>
        <v>1.5999999999999999E-5</v>
      </c>
      <c r="AG78" s="42">
        <f t="array" ref="AG78">_xlfn.SWITCH(P78, "Frictional force", 0.4*Z78, "Drag force", 6*PI()*R78*0.001*AB78, "Shear force", AD78*AF78)</f>
        <v>1.6084954386379739E-6</v>
      </c>
      <c r="AH78" s="99">
        <f t="array" ref="AH78">_xlfn.SWITCH(P78, "Frictional force", AG78*AB78*1000, "Drag force", AG78*AB78*1000, "Shear force", AG78*AB78*1000, "N.A.", 0)</f>
        <v>1.6170359850744802E-4</v>
      </c>
      <c r="AI78" s="94" t="s">
        <v>42</v>
      </c>
      <c r="AJ78" s="94" t="s">
        <v>338</v>
      </c>
      <c r="AK78" s="121">
        <v>0.62</v>
      </c>
      <c r="AL78" s="94" cm="1">
        <f t="array" ref="AL78">_xlfn.SWITCH(AI78, "CFU/ml", AK78, "Cells/ml", 0.8*AK78, "OD600", 1.77*10^9*AK78, "N.A.", 0)</f>
        <v>1097400000</v>
      </c>
      <c r="AM78" s="40"/>
    </row>
    <row r="79" spans="1:39" s="11" customFormat="1" ht="20" customHeight="1" x14ac:dyDescent="0.2">
      <c r="A79" s="32" t="s">
        <v>197</v>
      </c>
      <c r="B79" s="33">
        <f t="shared" si="13"/>
        <v>0</v>
      </c>
      <c r="C79" s="122">
        <f t="shared" si="14"/>
        <v>1.7441030632668648E-5</v>
      </c>
      <c r="D79" s="59">
        <f t="shared" si="15"/>
        <v>1239000000</v>
      </c>
      <c r="E79" s="33" t="s">
        <v>147</v>
      </c>
      <c r="F79" s="22" t="s">
        <v>45</v>
      </c>
      <c r="G79" s="22"/>
      <c r="H79" s="22"/>
      <c r="I79" s="22"/>
      <c r="J79" s="22"/>
      <c r="K79" s="22"/>
      <c r="L79" s="34" cm="1">
        <f t="array" ref="L79">_xlfn.SWITCH(F79, "Artificial UV", G79+H79+I79, "Sunlight (intensity given)", 0.05*J79, "Sunlight (UV Index given)", 1.6*K79, "UV + Sunlight (Intensity)", G79+H79+I79+0.05*J79, "N.A.", 0)</f>
        <v>0</v>
      </c>
      <c r="M79" s="48" t="s">
        <v>393</v>
      </c>
      <c r="N79" s="102" t="s">
        <v>394</v>
      </c>
      <c r="O79" s="35" t="s">
        <v>310</v>
      </c>
      <c r="P79" s="35" t="s">
        <v>37</v>
      </c>
      <c r="Q79" s="60"/>
      <c r="R79" s="120">
        <f>75/2/10^6</f>
        <v>3.7499999999999997E-5</v>
      </c>
      <c r="S79" s="60">
        <v>150</v>
      </c>
      <c r="T79" s="60">
        <v>0.05</v>
      </c>
      <c r="U79" s="117">
        <f>S79*2*PI()/60</f>
        <v>15.707963267948966</v>
      </c>
      <c r="V79" s="105">
        <f>T79*U79</f>
        <v>0.78539816339744828</v>
      </c>
      <c r="W79" s="60"/>
      <c r="X79" s="60"/>
      <c r="Y79" s="60"/>
      <c r="Z79" s="60"/>
      <c r="AA79" s="60">
        <v>0.2</v>
      </c>
      <c r="AB79" s="105">
        <f>AA79*V79</f>
        <v>0.15707963267948966</v>
      </c>
      <c r="AC79" s="104"/>
      <c r="AD79" s="105"/>
      <c r="AE79" s="105"/>
      <c r="AF79" s="120"/>
      <c r="AG79" s="44">
        <f t="array" ref="AG79">_xlfn.SWITCH(P79, "Frictional force", 0.4*Z79, "Drag force", 6*PI()*R79*0.001*AB79, "Shear force", AD79*AF79)</f>
        <v>1.1103304951225528E-7</v>
      </c>
      <c r="AH79" s="120">
        <f t="array" ref="AH79">_xlfn.SWITCH(P79, "Frictional force", AG79*AB79*1000, "Drag force", AG79*AB79*1000, "Shear force", AG79*AB79*1000, "N.A.", 0)</f>
        <v>1.7441030632668648E-5</v>
      </c>
      <c r="AI79" s="109" t="s">
        <v>711</v>
      </c>
      <c r="AJ79" s="109" t="s">
        <v>305</v>
      </c>
      <c r="AK79" s="163">
        <v>0.7</v>
      </c>
      <c r="AL79" s="94" cm="1">
        <f t="array" ref="AL79">_xlfn.SWITCH(AI79, "CFU/ml", AK79, "Cells/ml", 0.8*AK79, "OD600", 1.77*10^9*AK79, "N.A.", 0)</f>
        <v>1239000000</v>
      </c>
      <c r="AM79" s="40"/>
    </row>
    <row r="80" spans="1:39" s="11" customFormat="1" ht="20" customHeight="1" x14ac:dyDescent="0.2">
      <c r="A80" s="32" t="s">
        <v>198</v>
      </c>
      <c r="B80" s="33">
        <f t="shared" si="13"/>
        <v>0</v>
      </c>
      <c r="C80" s="122">
        <f t="shared" si="14"/>
        <v>1.9844017075391887E-5</v>
      </c>
      <c r="D80" s="59">
        <f t="shared" si="15"/>
        <v>267270000</v>
      </c>
      <c r="E80" s="33" t="s">
        <v>756</v>
      </c>
      <c r="F80" s="22" t="s">
        <v>139</v>
      </c>
      <c r="G80" s="22"/>
      <c r="H80" s="22"/>
      <c r="I80" s="22"/>
      <c r="J80" s="22"/>
      <c r="K80" s="22"/>
      <c r="L80" s="34" cm="1">
        <f t="array" ref="L80">_xlfn.SWITCH(F80, "Artificial UV", G80+H80+I80, "Sunlight (intensity given)", 0.05*J80, "Sunlight (UV Index given)", 1.6*K80, "UV + Sunlight (Intensity)", G80+H80+I80+0.05*J80, "N.A.", 0)</f>
        <v>0</v>
      </c>
      <c r="M80" s="48" t="s">
        <v>393</v>
      </c>
      <c r="N80" s="102" t="s">
        <v>758</v>
      </c>
      <c r="O80" s="124" t="s">
        <v>372</v>
      </c>
      <c r="P80" s="35" t="s">
        <v>759</v>
      </c>
      <c r="Q80" s="60"/>
      <c r="R80" s="120">
        <f>75/2/10^6</f>
        <v>3.7499999999999997E-5</v>
      </c>
      <c r="S80" s="60">
        <v>200</v>
      </c>
      <c r="T80" s="60">
        <v>0.04</v>
      </c>
      <c r="U80" s="117">
        <f>S80*2*PI()/60</f>
        <v>20.943951023931955</v>
      </c>
      <c r="V80" s="105">
        <f>T80*U80</f>
        <v>0.83775804095727824</v>
      </c>
      <c r="W80" s="60"/>
      <c r="X80" s="60"/>
      <c r="Y80" s="60"/>
      <c r="Z80" s="60"/>
      <c r="AA80" s="60">
        <v>0.2</v>
      </c>
      <c r="AB80" s="105">
        <f>AA80*V80</f>
        <v>0.16755160819145565</v>
      </c>
      <c r="AC80" s="104"/>
      <c r="AD80" s="105"/>
      <c r="AE80" s="105"/>
      <c r="AF80" s="120"/>
      <c r="AG80" s="44">
        <f t="array" ref="AG80">_xlfn.SWITCH(P80, "Frictional force", 0.4*Z80, "Drag force", 6*PI()*R80*0.001*AB80, "Shear force", AD80*AF80)</f>
        <v>1.184352528130723E-7</v>
      </c>
      <c r="AH80" s="120">
        <f t="array" ref="AH80">_xlfn.SWITCH(P80, "Frictional force", AG80*AB80*1000, "Drag force", AG80*AB80*1000, "Shear force", AG80*AB80*1000, "N.A.", 0)</f>
        <v>1.9844017075391887E-5</v>
      </c>
      <c r="AI80" s="109" t="s">
        <v>711</v>
      </c>
      <c r="AJ80" s="109" t="s">
        <v>305</v>
      </c>
      <c r="AK80" s="37">
        <v>0.151</v>
      </c>
      <c r="AL80" s="94" cm="1">
        <f t="array" ref="AL80">_xlfn.SWITCH(AI80, "CFU/ml", AK80, "Cells/ml", 0.8*AK80, "OD600", 1.77*10^9*AK80, "N.A.", 0)</f>
        <v>267270000</v>
      </c>
      <c r="AM80" s="40" t="s">
        <v>761</v>
      </c>
    </row>
    <row r="81" spans="1:39" s="11" customFormat="1" ht="20" customHeight="1" x14ac:dyDescent="0.2">
      <c r="A81" s="32" t="s">
        <v>755</v>
      </c>
      <c r="B81" s="83">
        <f t="shared" ref="B81" si="16">L81</f>
        <v>14</v>
      </c>
      <c r="C81" s="83">
        <f t="shared" ref="C81" si="17">AH81</f>
        <v>0</v>
      </c>
      <c r="D81" s="45">
        <f t="shared" ref="D81" si="18">AL81</f>
        <v>72</v>
      </c>
      <c r="E81" s="33" t="s">
        <v>395</v>
      </c>
      <c r="F81" s="34" t="s">
        <v>647</v>
      </c>
      <c r="G81" s="22">
        <v>14</v>
      </c>
      <c r="H81" s="22">
        <v>0</v>
      </c>
      <c r="I81" s="22">
        <v>0</v>
      </c>
      <c r="J81" s="22"/>
      <c r="K81" s="22"/>
      <c r="L81" s="34" cm="1">
        <f t="array" ref="L81">_xlfn.SWITCH(F81, "Artificial UV", G81+H81+I81, "Sunlight (intensity given)", 0.05*J81, "Sunlight (UV Index given)", 1.6*K81, "UV + Sunlight (Intensity)", G81+H81+I81+0.05*J81, "N.A.", 0)</f>
        <v>14</v>
      </c>
      <c r="M81" s="35" t="s">
        <v>674</v>
      </c>
      <c r="N81" s="102"/>
      <c r="O81" s="35"/>
      <c r="P81" s="92" t="s">
        <v>45</v>
      </c>
      <c r="Q81" s="60"/>
      <c r="R81" s="60"/>
      <c r="S81" s="60"/>
      <c r="T81" s="60"/>
      <c r="U81" s="100"/>
      <c r="V81" s="105"/>
      <c r="W81" s="60"/>
      <c r="X81" s="60"/>
      <c r="Y81" s="60"/>
      <c r="Z81" s="60"/>
      <c r="AA81" s="60"/>
      <c r="AB81" s="100"/>
      <c r="AC81" s="104"/>
      <c r="AD81" s="105"/>
      <c r="AE81" s="105"/>
      <c r="AF81" s="114"/>
      <c r="AG81" s="99"/>
      <c r="AH81" s="43">
        <f t="array" ref="AH81">_xlfn.SWITCH(P81, "Frictional force", AG81*AB81*1000, "Drag force", AG81*AB81*1000, "Shear force", AG81*AB81*1000, "N.A.", 0)</f>
        <v>0</v>
      </c>
      <c r="AI81" s="94" t="s">
        <v>38</v>
      </c>
      <c r="AJ81" s="94" t="s">
        <v>305</v>
      </c>
      <c r="AK81" s="37">
        <v>90</v>
      </c>
      <c r="AL81" s="94" cm="1">
        <f t="array" ref="AL81">_xlfn.SWITCH(AI81, "CFU/ml", AK81, "Cells/ml", 0.8*AK81, "OD600", 1.77*10^9*AK81, "N.A.", 0)</f>
        <v>72</v>
      </c>
      <c r="AM81" s="40"/>
    </row>
    <row r="82" spans="1:39" s="11" customFormat="1" ht="35" customHeight="1" x14ac:dyDescent="0.2">
      <c r="A82" s="32" t="s">
        <v>397</v>
      </c>
      <c r="B82" s="33">
        <f t="shared" si="13"/>
        <v>1.65</v>
      </c>
      <c r="C82" s="106">
        <f t="shared" si="14"/>
        <v>2.5152291643059212E-4</v>
      </c>
      <c r="D82" s="59">
        <f t="shared" si="15"/>
        <v>25000</v>
      </c>
      <c r="E82" s="83" t="s">
        <v>70</v>
      </c>
      <c r="F82" s="22" t="s">
        <v>32</v>
      </c>
      <c r="G82" s="22">
        <v>0</v>
      </c>
      <c r="H82" s="22">
        <v>1.65</v>
      </c>
      <c r="I82" s="22">
        <v>0</v>
      </c>
      <c r="J82" s="22"/>
      <c r="K82" s="22"/>
      <c r="L82" s="34" cm="1">
        <f t="array" ref="L82">_xlfn.SWITCH(F82, "Artificial UV", G82+H82+I82, "Sunlight (intensity given)", 0.05*J82, "Sunlight (UV Index given)", 1.6*K82, "UV + Sunlight (Intensity)", G82+H82+I82+0.05*J82, "N.A.", 0)</f>
        <v>1.65</v>
      </c>
      <c r="M82" s="92" t="s">
        <v>398</v>
      </c>
      <c r="N82" s="102" t="s">
        <v>399</v>
      </c>
      <c r="O82" s="35" t="s">
        <v>304</v>
      </c>
      <c r="P82" s="35" t="s">
        <v>37</v>
      </c>
      <c r="Q82" s="60"/>
      <c r="R82" s="60">
        <f>4/2/1000</f>
        <v>2E-3</v>
      </c>
      <c r="S82" s="60">
        <v>130</v>
      </c>
      <c r="T82" s="60">
        <v>0.03</v>
      </c>
      <c r="U82" s="117">
        <f>S82*2*PI()/60</f>
        <v>13.613568165555769</v>
      </c>
      <c r="V82" s="105">
        <f>T82*U82</f>
        <v>0.40840704496667307</v>
      </c>
      <c r="W82" s="60"/>
      <c r="X82" s="60"/>
      <c r="Y82" s="60"/>
      <c r="Z82" s="60"/>
      <c r="AA82" s="60">
        <v>0.2</v>
      </c>
      <c r="AB82" s="105">
        <f>AA82*V82</f>
        <v>8.168140899333462E-2</v>
      </c>
      <c r="AC82" s="104"/>
      <c r="AD82" s="105"/>
      <c r="AE82" s="105"/>
      <c r="AF82" s="120"/>
      <c r="AG82" s="44">
        <f t="array" ref="AG82">_xlfn.SWITCH(P82, "Frictional force", 0.4*Z82, "Drag force", 6*PI()*R82*0.001*AB82, "Shear force", AD82*AF82)</f>
        <v>3.0793165731398796E-6</v>
      </c>
      <c r="AH82" s="114">
        <f t="array" ref="AH82">_xlfn.SWITCH(P82, "Frictional force", AG82*AB82*1000, "Drag force", AG82*AB82*1000, "Shear force", AG82*AB82*1000, "N.A.", 0)</f>
        <v>2.5152291643059212E-4</v>
      </c>
      <c r="AI82" s="109" t="s">
        <v>34</v>
      </c>
      <c r="AJ82" s="109" t="s">
        <v>305</v>
      </c>
      <c r="AK82" s="109">
        <v>25000</v>
      </c>
      <c r="AL82" s="94" cm="1">
        <f t="array" ref="AL82">_xlfn.SWITCH(AI82, "CFU/ml", AK82, "Cells/ml", 0.8*AK82, "OD600", 1.77*10^9*AK82, "N.A.", 0)</f>
        <v>25000</v>
      </c>
      <c r="AM82" s="110" t="s">
        <v>713</v>
      </c>
    </row>
    <row r="83" spans="1:39" s="11" customFormat="1" ht="20" customHeight="1" x14ac:dyDescent="0.2">
      <c r="A83" s="32" t="s">
        <v>400</v>
      </c>
      <c r="B83" s="132">
        <f>L83</f>
        <v>49.735919716217296</v>
      </c>
      <c r="C83" s="33">
        <f>AH83</f>
        <v>0</v>
      </c>
      <c r="D83" s="33">
        <f>AL83</f>
        <v>0</v>
      </c>
      <c r="E83" s="33" t="s">
        <v>404</v>
      </c>
      <c r="F83" s="22" t="s">
        <v>36</v>
      </c>
      <c r="G83" s="22"/>
      <c r="H83" s="22"/>
      <c r="I83" s="22"/>
      <c r="J83" s="133">
        <f>500/(4*PI()*0.2^2)</f>
        <v>994.71839432434581</v>
      </c>
      <c r="K83" s="22"/>
      <c r="L83" s="113" cm="1">
        <f t="array" ref="L83">_xlfn.SWITCH(F83, "Artificial UV", G83+H83+I83, "Sunlight (intensity given)", 0.05*J83, "Sunlight (UV Index given)", 1.6*K83, "UV + Sunlight (Intensity)", G83+H83+I83+0.05*J83, "N.A.", 0)</f>
        <v>49.735919716217296</v>
      </c>
      <c r="M83" s="131" t="s">
        <v>405</v>
      </c>
      <c r="N83" s="102"/>
      <c r="O83" s="35"/>
      <c r="P83" s="35" t="s">
        <v>45</v>
      </c>
      <c r="Q83" s="60"/>
      <c r="R83" s="114"/>
      <c r="S83" s="60"/>
      <c r="T83" s="60"/>
      <c r="U83" s="117"/>
      <c r="V83" s="105"/>
      <c r="W83" s="60"/>
      <c r="X83" s="60"/>
      <c r="Y83" s="60"/>
      <c r="Z83" s="60"/>
      <c r="AA83" s="60"/>
      <c r="AB83" s="105"/>
      <c r="AC83" s="104"/>
      <c r="AD83" s="105"/>
      <c r="AE83" s="105"/>
      <c r="AF83" s="120"/>
      <c r="AG83" s="44"/>
      <c r="AH83" s="60">
        <f t="array" ref="AH83">_xlfn.SWITCH(P83, "Frictional force", AG83*AB83*1000, "Drag force", AG83*AB83*1000, "Shear force", AG83*AB83*1000, "N.A.", 0)</f>
        <v>0</v>
      </c>
      <c r="AI83" s="109" t="s">
        <v>45</v>
      </c>
      <c r="AJ83" s="109"/>
      <c r="AK83" s="109"/>
      <c r="AL83" s="95" cm="1">
        <f t="array" ref="AL83">_xlfn.SWITCH(AI83, "CFU/ml", AK83, "Cells/ml", 0.8*AK83, "OD600", 1.77*10^9*AK83, "N.A.", 0)</f>
        <v>0</v>
      </c>
      <c r="AM83" s="40"/>
    </row>
    <row r="84" spans="1:39" s="11" customFormat="1" ht="20" customHeight="1" x14ac:dyDescent="0.2">
      <c r="A84" s="32" t="s">
        <v>401</v>
      </c>
      <c r="B84" s="33">
        <f>L84</f>
        <v>0</v>
      </c>
      <c r="C84" s="122">
        <f>AH84</f>
        <v>3.2194933303115791E-5</v>
      </c>
      <c r="D84" s="59">
        <f>AL84</f>
        <v>2500000000</v>
      </c>
      <c r="E84" s="33" t="s">
        <v>377</v>
      </c>
      <c r="F84" s="22" t="s">
        <v>45</v>
      </c>
      <c r="G84" s="22"/>
      <c r="H84" s="22"/>
      <c r="I84" s="22"/>
      <c r="J84" s="22"/>
      <c r="K84" s="22"/>
      <c r="L84" s="34" cm="1">
        <f t="array" ref="L84">_xlfn.SWITCH(F84, "Artificial UV", G84+H84+I84, "Sunlight (intensity given)", 0.05*J84, "Sunlight (UV Index given)", 1.6*K84, "UV + Sunlight (Intensity)", G84+H84+I84+0.05*J84, "N.A.", 0)</f>
        <v>0</v>
      </c>
      <c r="M84" s="131" t="s">
        <v>402</v>
      </c>
      <c r="N84" s="102" t="s">
        <v>403</v>
      </c>
      <c r="O84" s="35" t="s">
        <v>310</v>
      </c>
      <c r="P84" s="35" t="s">
        <v>37</v>
      </c>
      <c r="Q84" s="60"/>
      <c r="R84" s="114">
        <f>338/2/10^6</f>
        <v>1.6899999999999999E-4</v>
      </c>
      <c r="S84" s="60">
        <v>160</v>
      </c>
      <c r="T84" s="60">
        <v>0.03</v>
      </c>
      <c r="U84" s="117">
        <f>S84*2*PI()/60</f>
        <v>16.755160819145562</v>
      </c>
      <c r="V84" s="105">
        <f>T84*U84</f>
        <v>0.50265482457436683</v>
      </c>
      <c r="W84" s="60"/>
      <c r="X84" s="60"/>
      <c r="Y84" s="60"/>
      <c r="Z84" s="60"/>
      <c r="AA84" s="60">
        <v>0.2</v>
      </c>
      <c r="AB84" s="105">
        <f>AA84*V84</f>
        <v>0.10053096491487337</v>
      </c>
      <c r="AC84" s="104"/>
      <c r="AD84" s="105"/>
      <c r="AE84" s="105"/>
      <c r="AF84" s="120"/>
      <c r="AG84" s="44">
        <f t="array" ref="AG84">_xlfn.SWITCH(P84, "Frictional force", 0.4*Z84, "Drag force", 6*PI()*R84*0.001*AB84, "Shear force", AD84*AF84)</f>
        <v>3.2024892360654747E-7</v>
      </c>
      <c r="AH84" s="118">
        <f t="array" ref="AH84">_xlfn.SWITCH(P84, "Frictional force", AG84*AB84*1000, "Drag force", AG84*AB84*1000, "Shear force", AG84*AB84*1000, "N.A.", 0)</f>
        <v>3.2194933303115791E-5</v>
      </c>
      <c r="AI84" s="109" t="s">
        <v>34</v>
      </c>
      <c r="AJ84" s="109" t="s">
        <v>305</v>
      </c>
      <c r="AK84" s="109">
        <v>2500000000</v>
      </c>
      <c r="AL84" s="94" cm="1">
        <f t="array" ref="AL84">_xlfn.SWITCH(AI84, "CFU/ml", AK84, "Cells/ml", 0.8*AK84, "OD600", 1.77*10^9*AK84, "N.A.", 0)</f>
        <v>2500000000</v>
      </c>
      <c r="AM84" s="40"/>
    </row>
    <row r="85" spans="1:39" s="11" customFormat="1" ht="20" customHeight="1" x14ac:dyDescent="0.2">
      <c r="A85" s="32" t="s">
        <v>657</v>
      </c>
      <c r="B85" s="33">
        <f>L85</f>
        <v>0</v>
      </c>
      <c r="C85" s="106">
        <f>AH85</f>
        <v>6.3955036519059056E-4</v>
      </c>
      <c r="D85" s="59">
        <f>AL85</f>
        <v>1770000000</v>
      </c>
      <c r="E85" s="33" t="s">
        <v>649</v>
      </c>
      <c r="F85" s="22" t="s">
        <v>139</v>
      </c>
      <c r="G85" s="22"/>
      <c r="H85" s="22"/>
      <c r="I85" s="22"/>
      <c r="J85" s="22"/>
      <c r="K85" s="22"/>
      <c r="L85" s="34" cm="1">
        <f t="array" ref="L85">_xlfn.SWITCH(F85, "Artificial UV", G85+H85+I85, "Sunlight (intensity given)", 0.05*J85, "Sunlight (UV Index given)", 1.6*K85, "UV + Sunlight (Intensity)", G85+H85+I85+0.05*J85, "N.A.", 0)</f>
        <v>0</v>
      </c>
      <c r="M85" s="131" t="s">
        <v>660</v>
      </c>
      <c r="N85" s="102" t="s">
        <v>652</v>
      </c>
      <c r="O85" s="35" t="s">
        <v>653</v>
      </c>
      <c r="P85" s="35" t="s">
        <v>648</v>
      </c>
      <c r="Q85" s="60"/>
      <c r="R85" s="114"/>
      <c r="S85" s="60">
        <v>180</v>
      </c>
      <c r="T85" s="60">
        <v>1.4999999999999999E-2</v>
      </c>
      <c r="U85" s="117">
        <f>S85*2*PI()/60</f>
        <v>18.849555921538759</v>
      </c>
      <c r="V85" s="105">
        <f>T85*U85</f>
        <v>0.28274333882308139</v>
      </c>
      <c r="W85" s="60"/>
      <c r="X85" s="60"/>
      <c r="Y85" s="60"/>
      <c r="Z85" s="60"/>
      <c r="AA85" s="60">
        <v>0.2</v>
      </c>
      <c r="AB85" s="105">
        <f>AA85*V85</f>
        <v>5.6548667764616284E-2</v>
      </c>
      <c r="AC85" s="104">
        <f>AB85/0.001</f>
        <v>56.548667764616283</v>
      </c>
      <c r="AD85" s="105">
        <f>0.001*AC85</f>
        <v>5.6548667764616284E-2</v>
      </c>
      <c r="AE85" s="105"/>
      <c r="AF85" s="152">
        <f>2*(1*1)/10^4</f>
        <v>2.0000000000000001E-4</v>
      </c>
      <c r="AG85" s="44">
        <f t="array" ref="AG85">_xlfn.SWITCH(P85, "Frictional force", 0.4*Z85, "Drag force", 6*PI()*R85*0.001*AB85, "Shear force", AD85*AF85)</f>
        <v>1.1309733552923257E-5</v>
      </c>
      <c r="AH85" s="128">
        <f t="array" ref="AH85">_xlfn.SWITCH(P85, "Frictional force", AG85*AB85*1000, "Drag force", AG85*AB85*1000, "Shear force", AG85*AB85*1000, "N.A.", 0)</f>
        <v>6.3955036519059056E-4</v>
      </c>
      <c r="AI85" s="109" t="s">
        <v>711</v>
      </c>
      <c r="AJ85" s="109" t="s">
        <v>313</v>
      </c>
      <c r="AK85" s="119">
        <v>1</v>
      </c>
      <c r="AL85" s="94" cm="1">
        <f t="array" ref="AL85">_xlfn.SWITCH(AI85, "CFU/ml", AK85, "Cells/ml", 0.8*AK85, "OD600", 1.77*10^9*AK85, "N.A.", 0)</f>
        <v>1770000000</v>
      </c>
      <c r="AM85" s="110" t="s">
        <v>712</v>
      </c>
    </row>
    <row r="86" spans="1:39" s="11" customFormat="1" ht="35" customHeight="1" x14ac:dyDescent="0.2">
      <c r="A86" s="32" t="s">
        <v>656</v>
      </c>
      <c r="B86" s="33">
        <f>L86</f>
        <v>1.65</v>
      </c>
      <c r="C86" s="106">
        <f>AH86</f>
        <v>2.5152291643059212E-4</v>
      </c>
      <c r="D86" s="59">
        <f>AL86</f>
        <v>25000</v>
      </c>
      <c r="E86" s="83" t="s">
        <v>70</v>
      </c>
      <c r="F86" s="22" t="s">
        <v>32</v>
      </c>
      <c r="G86" s="22">
        <v>0</v>
      </c>
      <c r="H86" s="22">
        <v>1.65</v>
      </c>
      <c r="I86" s="22">
        <v>0</v>
      </c>
      <c r="J86" s="22"/>
      <c r="K86" s="22"/>
      <c r="L86" s="34" cm="1">
        <f t="array" ref="L86">_xlfn.SWITCH(F86, "Artificial UV", G86+H86+I86, "Sunlight (intensity given)", 0.05*J86, "Sunlight (UV Index given)", 1.6*K86, "UV + Sunlight (Intensity)", G86+H86+I86+0.05*J86, "N.A.", 0)</f>
        <v>1.65</v>
      </c>
      <c r="M86" s="92" t="s">
        <v>398</v>
      </c>
      <c r="N86" s="102" t="s">
        <v>399</v>
      </c>
      <c r="O86" s="35" t="s">
        <v>304</v>
      </c>
      <c r="P86" s="35" t="s">
        <v>37</v>
      </c>
      <c r="Q86" s="60"/>
      <c r="R86" s="60">
        <f>4/2/1000</f>
        <v>2E-3</v>
      </c>
      <c r="S86" s="60">
        <v>130</v>
      </c>
      <c r="T86" s="60">
        <v>0.03</v>
      </c>
      <c r="U86" s="117">
        <f>S86*2*PI()/60</f>
        <v>13.613568165555769</v>
      </c>
      <c r="V86" s="105">
        <f>T86*U86</f>
        <v>0.40840704496667307</v>
      </c>
      <c r="W86" s="60"/>
      <c r="X86" s="60"/>
      <c r="Y86" s="60"/>
      <c r="Z86" s="60"/>
      <c r="AA86" s="60">
        <v>0.2</v>
      </c>
      <c r="AB86" s="105">
        <f>AA86*V86</f>
        <v>8.168140899333462E-2</v>
      </c>
      <c r="AC86" s="104"/>
      <c r="AD86" s="105"/>
      <c r="AE86" s="105"/>
      <c r="AF86" s="120"/>
      <c r="AG86" s="44">
        <f t="array" ref="AG86">_xlfn.SWITCH(P86, "Frictional force", 0.4*Z86, "Drag force", 6*PI()*R86*0.001*AB86, "Shear force", AD86*AF86)</f>
        <v>3.0793165731398796E-6</v>
      </c>
      <c r="AH86" s="114">
        <f t="array" ref="AH86">_xlfn.SWITCH(P86, "Frictional force", AG86*AB86*1000, "Drag force", AG86*AB86*1000, "Shear force", AG86*AB86*1000, "N.A.", 0)</f>
        <v>2.5152291643059212E-4</v>
      </c>
      <c r="AI86" s="109" t="s">
        <v>34</v>
      </c>
      <c r="AJ86" s="109" t="s">
        <v>305</v>
      </c>
      <c r="AK86" s="109">
        <v>25000</v>
      </c>
      <c r="AL86" s="94" cm="1">
        <f t="array" ref="AL86">_xlfn.SWITCH(AI86, "CFU/ml", AK86, "Cells/ml", 0.8*AK86, "OD600", 1.77*10^9*AK86, "N.A.", 0)</f>
        <v>25000</v>
      </c>
      <c r="AM86" s="110" t="s">
        <v>713</v>
      </c>
    </row>
    <row r="87" spans="1:39" s="11" customFormat="1" ht="20" customHeight="1" x14ac:dyDescent="0.2">
      <c r="A87" s="32" t="s">
        <v>406</v>
      </c>
      <c r="B87" s="33">
        <f t="shared" si="13"/>
        <v>0</v>
      </c>
      <c r="C87" s="33">
        <f t="shared" si="14"/>
        <v>0</v>
      </c>
      <c r="D87" s="59">
        <f t="shared" si="15"/>
        <v>6309573.4448019378</v>
      </c>
      <c r="E87" s="33" t="s">
        <v>407</v>
      </c>
      <c r="F87" s="22" t="s">
        <v>45</v>
      </c>
      <c r="G87" s="22"/>
      <c r="H87" s="22"/>
      <c r="I87" s="22"/>
      <c r="J87" s="22"/>
      <c r="K87" s="22"/>
      <c r="L87" s="34" cm="1">
        <f t="array" ref="L87">_xlfn.SWITCH(F87, "Artificial UV", G87+H87+I87, "Sunlight (intensity given)", 0.05*J87, "Sunlight (UV Index given)", 1.6*K87, "UV + Sunlight (Intensity)", G87+H87+I87+0.05*J87, "N.A.", 0)</f>
        <v>0</v>
      </c>
      <c r="M87" s="131" t="s">
        <v>408</v>
      </c>
      <c r="N87" s="102"/>
      <c r="O87" s="35"/>
      <c r="P87" s="35" t="s">
        <v>45</v>
      </c>
      <c r="Q87" s="60"/>
      <c r="R87" s="114"/>
      <c r="S87" s="60"/>
      <c r="T87" s="60"/>
      <c r="U87" s="117"/>
      <c r="V87" s="105"/>
      <c r="W87" s="60"/>
      <c r="X87" s="60"/>
      <c r="Y87" s="60"/>
      <c r="Z87" s="60"/>
      <c r="AA87" s="60"/>
      <c r="AB87" s="105"/>
      <c r="AC87" s="104"/>
      <c r="AD87" s="105"/>
      <c r="AE87" s="105"/>
      <c r="AF87" s="120"/>
      <c r="AG87" s="44"/>
      <c r="AH87" s="60">
        <f t="array" ref="AH87">_xlfn.SWITCH(P87, "Frictional force", AG87*AB87*1000, "Drag force", AG87*AB87*1000, "Shear force", AG87*AB87*1000, "N.A.", 0)</f>
        <v>0</v>
      </c>
      <c r="AI87" s="109" t="s">
        <v>34</v>
      </c>
      <c r="AJ87" s="109" t="s">
        <v>305</v>
      </c>
      <c r="AK87" s="109">
        <f>10^6.8</f>
        <v>6309573.4448019378</v>
      </c>
      <c r="AL87" s="94" cm="1">
        <f t="array" ref="AL87">_xlfn.SWITCH(AI87, "CFU/ml", AK87, "Cells/ml", 0.8*AK87, "OD600", 1.77*10^9*AK87, "N.A.", 0)</f>
        <v>6309573.4448019378</v>
      </c>
      <c r="AM87" s="40"/>
    </row>
    <row r="88" spans="1:39" s="11" customFormat="1" ht="35" customHeight="1" x14ac:dyDescent="0.2">
      <c r="A88" s="32" t="s">
        <v>409</v>
      </c>
      <c r="B88" s="33">
        <f t="shared" si="13"/>
        <v>0</v>
      </c>
      <c r="C88" s="106">
        <f t="shared" si="14"/>
        <v>3.9478417604357436E-3</v>
      </c>
      <c r="D88" s="59">
        <f t="shared" si="15"/>
        <v>10047545.726038359</v>
      </c>
      <c r="E88" s="33" t="s">
        <v>410</v>
      </c>
      <c r="F88" s="22" t="s">
        <v>45</v>
      </c>
      <c r="G88" s="22"/>
      <c r="H88" s="22"/>
      <c r="I88" s="22"/>
      <c r="J88" s="22"/>
      <c r="K88" s="22"/>
      <c r="L88" s="34" cm="1">
        <f t="array" ref="L88">_xlfn.SWITCH(F88, "Artificial UV", G88+H88+I88, "Sunlight (intensity given)", 0.05*J88, "Sunlight (UV Index given)", 1.6*K88, "UV + Sunlight (Intensity)", G88+H88+I88+0.05*J88, "N.A.", 0)</f>
        <v>0</v>
      </c>
      <c r="M88" s="131" t="s">
        <v>411</v>
      </c>
      <c r="N88" s="102" t="s">
        <v>412</v>
      </c>
      <c r="O88" s="35" t="s">
        <v>384</v>
      </c>
      <c r="P88" s="35" t="s">
        <v>41</v>
      </c>
      <c r="Q88" s="60"/>
      <c r="R88" s="114"/>
      <c r="S88" s="60">
        <v>120</v>
      </c>
      <c r="T88" s="60">
        <v>2.5000000000000001E-2</v>
      </c>
      <c r="U88" s="117">
        <f>S88*2*PI()/60</f>
        <v>12.566370614359171</v>
      </c>
      <c r="V88" s="105">
        <f>T88*U88</f>
        <v>0.31415926535897931</v>
      </c>
      <c r="W88" s="60"/>
      <c r="X88" s="60"/>
      <c r="Y88" s="60"/>
      <c r="Z88" s="60"/>
      <c r="AA88" s="60">
        <v>0.2</v>
      </c>
      <c r="AB88" s="105">
        <f>AA88*V88</f>
        <v>6.2831853071795868E-2</v>
      </c>
      <c r="AC88" s="104">
        <f>AB88/0.001</f>
        <v>62.831853071795869</v>
      </c>
      <c r="AD88" s="105">
        <f>0.001*AC88</f>
        <v>6.2831853071795868E-2</v>
      </c>
      <c r="AE88" s="105"/>
      <c r="AF88" s="134">
        <f>2*(2.5*2)/10^4</f>
        <v>1E-3</v>
      </c>
      <c r="AG88" s="44" cm="1">
        <f t="array" ref="AG88">_xlfn.SWITCH(P88, "Frictional force", 0.4*Z88, "Drag force", 6*PI()*R88*0.001*AB88, "Shear force", AD88*AF88)</f>
        <v>6.283185307179587E-5</v>
      </c>
      <c r="AH88" s="114" cm="1">
        <f t="array" ref="AH88">_xlfn.SWITCH(P88, "Frictional force", AG88*AB88*1000, "Drag force", AG88*AB88*1000, "Shear force", AG88*AB88*1000, "N.A.", 0)</f>
        <v>3.9478417604357436E-3</v>
      </c>
      <c r="AI88" s="109" t="s">
        <v>34</v>
      </c>
      <c r="AJ88" s="109" t="s">
        <v>305</v>
      </c>
      <c r="AK88" s="109">
        <f>10^7.4*10/25</f>
        <v>10047545.726038359</v>
      </c>
      <c r="AL88" s="94" cm="1">
        <f t="array" ref="AL88">_xlfn.SWITCH(AI88, "CFU/ml", AK88, "Cells/ml", 0.8*AK88, "OD600", 1.77*10^9*AK88, "N.A.", 0)</f>
        <v>10047545.726038359</v>
      </c>
      <c r="AM88" s="40" t="s">
        <v>769</v>
      </c>
    </row>
    <row r="89" spans="1:39" s="11" customFormat="1" ht="35" customHeight="1" x14ac:dyDescent="0.2">
      <c r="A89" s="32" t="s">
        <v>413</v>
      </c>
      <c r="B89" s="33">
        <f t="shared" si="13"/>
        <v>0</v>
      </c>
      <c r="C89" s="106">
        <f t="shared" si="14"/>
        <v>3.9478417604357436E-3</v>
      </c>
      <c r="D89" s="59">
        <f t="shared" si="15"/>
        <v>200474.89345090941</v>
      </c>
      <c r="E89" s="33" t="s">
        <v>410</v>
      </c>
      <c r="F89" s="22" t="s">
        <v>45</v>
      </c>
      <c r="G89" s="22"/>
      <c r="H89" s="22"/>
      <c r="I89" s="22"/>
      <c r="J89" s="22"/>
      <c r="K89" s="22"/>
      <c r="L89" s="34" cm="1">
        <f t="array" ref="L89">_xlfn.SWITCH(F89, "Artificial UV", G89+H89+I89, "Sunlight (intensity given)", 0.05*J89, "Sunlight (UV Index given)", 1.6*K89, "UV + Sunlight (Intensity)", G89+H89+I89+0.05*J89, "N.A.", 0)</f>
        <v>0</v>
      </c>
      <c r="M89" s="131" t="s">
        <v>411</v>
      </c>
      <c r="N89" s="102" t="s">
        <v>412</v>
      </c>
      <c r="O89" s="35" t="s">
        <v>384</v>
      </c>
      <c r="P89" s="35" t="s">
        <v>41</v>
      </c>
      <c r="Q89" s="60"/>
      <c r="R89" s="114"/>
      <c r="S89" s="60">
        <v>120</v>
      </c>
      <c r="T89" s="60">
        <v>2.5000000000000001E-2</v>
      </c>
      <c r="U89" s="117">
        <f>S89*2*PI()/60</f>
        <v>12.566370614359171</v>
      </c>
      <c r="V89" s="105">
        <f>T89*U89</f>
        <v>0.31415926535897931</v>
      </c>
      <c r="W89" s="60"/>
      <c r="X89" s="60"/>
      <c r="Y89" s="60"/>
      <c r="Z89" s="60"/>
      <c r="AA89" s="60">
        <v>0.2</v>
      </c>
      <c r="AB89" s="105">
        <f>AA89*V89</f>
        <v>6.2831853071795868E-2</v>
      </c>
      <c r="AC89" s="104">
        <f>AB89/0.001</f>
        <v>62.831853071795869</v>
      </c>
      <c r="AD89" s="105">
        <f>0.001*AC89</f>
        <v>6.2831853071795868E-2</v>
      </c>
      <c r="AE89" s="105"/>
      <c r="AF89" s="134">
        <f>2*(2.5*2)/10^4</f>
        <v>1E-3</v>
      </c>
      <c r="AG89" s="44" cm="1">
        <f t="array" ref="AG89">_xlfn.SWITCH(P89, "Frictional force", 0.4*Z89, "Drag force", 6*PI()*R89*0.001*AB89, "Shear force", AD89*AF89)</f>
        <v>6.283185307179587E-5</v>
      </c>
      <c r="AH89" s="114" cm="1">
        <f t="array" ref="AH89">_xlfn.SWITCH(P89, "Frictional force", AG89*AB89*1000, "Drag force", AG89*AB89*1000, "Shear force", AG89*AB89*1000, "N.A.", 0)</f>
        <v>3.9478417604357436E-3</v>
      </c>
      <c r="AI89" s="109" t="s">
        <v>34</v>
      </c>
      <c r="AJ89" s="109" t="s">
        <v>305</v>
      </c>
      <c r="AK89" s="109">
        <f>10^5.7*10/25</f>
        <v>200474.89345090941</v>
      </c>
      <c r="AL89" s="94" cm="1">
        <f t="array" ref="AL89">_xlfn.SWITCH(AI89, "CFU/ml", AK89, "Cells/ml", 0.8*AK89, "OD600", 1.77*10^9*AK89, "N.A.", 0)</f>
        <v>200474.89345090941</v>
      </c>
      <c r="AM89" s="40" t="s">
        <v>769</v>
      </c>
    </row>
    <row r="90" spans="1:39" s="11" customFormat="1" ht="20" customHeight="1" x14ac:dyDescent="0.2">
      <c r="A90" s="32" t="s">
        <v>414</v>
      </c>
      <c r="B90" s="33">
        <f t="shared" si="13"/>
        <v>0</v>
      </c>
      <c r="C90" s="106">
        <f t="shared" si="14"/>
        <v>4.5479137080219785E-3</v>
      </c>
      <c r="D90" s="59">
        <f t="shared" si="15"/>
        <v>96465000</v>
      </c>
      <c r="E90" s="33" t="s">
        <v>415</v>
      </c>
      <c r="F90" s="22" t="s">
        <v>45</v>
      </c>
      <c r="G90" s="22"/>
      <c r="H90" s="22"/>
      <c r="I90" s="22"/>
      <c r="J90" s="22"/>
      <c r="K90" s="22"/>
      <c r="L90" s="34" cm="1">
        <f t="array" ref="L90">_xlfn.SWITCH(F90, "Artificial UV", G90+H90+I90, "Sunlight (intensity given)", 0.05*J90, "Sunlight (UV Index given)", 1.6*K90, "UV + Sunlight (Intensity)", G90+H90+I90+0.05*J90, "N.A.", 0)</f>
        <v>0</v>
      </c>
      <c r="M90" s="131" t="s">
        <v>416</v>
      </c>
      <c r="N90" s="102" t="s">
        <v>371</v>
      </c>
      <c r="O90" s="124" t="s">
        <v>372</v>
      </c>
      <c r="P90" s="35" t="s">
        <v>41</v>
      </c>
      <c r="Q90" s="60"/>
      <c r="R90" s="114"/>
      <c r="S90" s="60">
        <v>180</v>
      </c>
      <c r="T90" s="60">
        <v>0.04</v>
      </c>
      <c r="U90" s="117">
        <f>S90*2*PI()/60</f>
        <v>18.849555921538759</v>
      </c>
      <c r="V90" s="105">
        <f>T90*U90</f>
        <v>0.75398223686155041</v>
      </c>
      <c r="W90" s="60"/>
      <c r="X90" s="60"/>
      <c r="Y90" s="60"/>
      <c r="Z90" s="60"/>
      <c r="AA90" s="60">
        <v>0.2</v>
      </c>
      <c r="AB90" s="105">
        <f>AA90*V90</f>
        <v>0.1507964473723101</v>
      </c>
      <c r="AC90" s="104">
        <f>AB90/0.001</f>
        <v>150.7964473723101</v>
      </c>
      <c r="AD90" s="105">
        <f>0.001*AC90</f>
        <v>0.1507964473723101</v>
      </c>
      <c r="AE90" s="105"/>
      <c r="AF90" s="134">
        <f>2*(1*1)/10^4</f>
        <v>2.0000000000000001E-4</v>
      </c>
      <c r="AG90" s="44" cm="1">
        <f t="array" ref="AG90">_xlfn.SWITCH(P90, "Frictional force", 0.4*Z90, "Drag force", 6*PI()*R90*0.001*AB90, "Shear force", AD90*AF90)</f>
        <v>3.015928947446202E-5</v>
      </c>
      <c r="AH90" s="114" cm="1">
        <f t="array" ref="AH90">_xlfn.SWITCH(P90, "Frictional force", AG90*AB90*1000, "Drag force", AG90*AB90*1000, "Shear force", AG90*AB90*1000, "N.A.", 0)</f>
        <v>4.5479137080219785E-3</v>
      </c>
      <c r="AI90" s="109" t="s">
        <v>42</v>
      </c>
      <c r="AJ90" s="109" t="s">
        <v>305</v>
      </c>
      <c r="AK90" s="37">
        <v>5.45E-2</v>
      </c>
      <c r="AL90" s="94" cm="1">
        <f t="array" ref="AL90">_xlfn.SWITCH(AI90, "CFU/ml", AK90, "Cells/ml", 0.8*AK90, "OD600", 1.77*10^9*AK90, "N.A.", 0)</f>
        <v>96465000</v>
      </c>
      <c r="AM90" s="40"/>
    </row>
    <row r="91" spans="1:39" s="11" customFormat="1" ht="20" customHeight="1" x14ac:dyDescent="0.2">
      <c r="A91" s="32" t="s">
        <v>417</v>
      </c>
      <c r="B91" s="33">
        <f t="shared" si="13"/>
        <v>60</v>
      </c>
      <c r="C91" s="33">
        <f t="shared" si="14"/>
        <v>0</v>
      </c>
      <c r="D91" s="33">
        <f t="shared" si="15"/>
        <v>0</v>
      </c>
      <c r="E91" s="33" t="s">
        <v>418</v>
      </c>
      <c r="F91" s="22" t="s">
        <v>36</v>
      </c>
      <c r="G91" s="22"/>
      <c r="H91" s="22"/>
      <c r="I91" s="22"/>
      <c r="J91" s="22">
        <v>1200</v>
      </c>
      <c r="K91" s="22"/>
      <c r="L91" s="34" cm="1">
        <f t="array" ref="L91">_xlfn.SWITCH(F91, "Artificial UV", G91+H91+I91, "Sunlight (intensity given)", 0.05*J91, "Sunlight (UV Index given)", 1.6*K91, "UV + Sunlight (Intensity)", G91+H91+I91+0.05*J91, "N.A.", 0)</f>
        <v>60</v>
      </c>
      <c r="M91" s="92" t="s">
        <v>328</v>
      </c>
      <c r="N91" s="102"/>
      <c r="O91" s="124"/>
      <c r="P91" s="35" t="s">
        <v>45</v>
      </c>
      <c r="Q91" s="60"/>
      <c r="R91" s="114"/>
      <c r="S91" s="60"/>
      <c r="T91" s="60"/>
      <c r="U91" s="117"/>
      <c r="V91" s="105"/>
      <c r="W91" s="60"/>
      <c r="X91" s="60"/>
      <c r="Y91" s="60"/>
      <c r="Z91" s="60"/>
      <c r="AA91" s="60"/>
      <c r="AB91" s="105"/>
      <c r="AC91" s="104"/>
      <c r="AD91" s="105"/>
      <c r="AE91" s="105"/>
      <c r="AF91" s="134"/>
      <c r="AG91" s="44"/>
      <c r="AH91" s="60" cm="1">
        <f t="array" ref="AH91">_xlfn.SWITCH(P91, "Frictional force", AG91*AB91*1000, "Drag force", AG91*AB91*1000, "Shear force", AG91*AB91*1000, "N.A.", 0)</f>
        <v>0</v>
      </c>
      <c r="AI91" s="109" t="s">
        <v>45</v>
      </c>
      <c r="AJ91" s="109"/>
      <c r="AK91" s="37"/>
      <c r="AL91" s="95" cm="1">
        <f t="array" ref="AL91">_xlfn.SWITCH(AI91, "CFU/ml", AK91, "Cells/ml", 0.8*AK91, "OD600", 1.77*10^9*AK91, "N.A.", 0)</f>
        <v>0</v>
      </c>
      <c r="AM91" s="40"/>
    </row>
    <row r="92" spans="1:39" s="11" customFormat="1" ht="20" customHeight="1" x14ac:dyDescent="0.2">
      <c r="A92" s="32" t="s">
        <v>419</v>
      </c>
      <c r="B92" s="33">
        <f t="shared" si="13"/>
        <v>65</v>
      </c>
      <c r="C92" s="33">
        <f t="shared" si="14"/>
        <v>0</v>
      </c>
      <c r="D92" s="33">
        <f t="shared" si="15"/>
        <v>0</v>
      </c>
      <c r="E92" s="33" t="s">
        <v>128</v>
      </c>
      <c r="F92" s="22" t="s">
        <v>36</v>
      </c>
      <c r="G92" s="22"/>
      <c r="H92" s="22"/>
      <c r="I92" s="22"/>
      <c r="J92" s="22">
        <v>1300</v>
      </c>
      <c r="K92" s="22"/>
      <c r="L92" s="34" cm="1">
        <f t="array" ref="L92">_xlfn.SWITCH(F92, "Artificial UV", G92+H92+I92, "Sunlight (intensity given)", 0.05*J92, "Sunlight (UV Index given)", 1.6*K92, "UV + Sunlight (Intensity)", G92+H92+I92+0.05*J92, "N.A.", 0)</f>
        <v>65</v>
      </c>
      <c r="M92" s="35" t="s">
        <v>420</v>
      </c>
      <c r="N92" s="102"/>
      <c r="O92" s="124"/>
      <c r="P92" s="35" t="s">
        <v>45</v>
      </c>
      <c r="Q92" s="60"/>
      <c r="R92" s="114"/>
      <c r="S92" s="60"/>
      <c r="T92" s="60"/>
      <c r="U92" s="117"/>
      <c r="V92" s="105"/>
      <c r="W92" s="60"/>
      <c r="X92" s="60"/>
      <c r="Y92" s="60"/>
      <c r="Z92" s="60"/>
      <c r="AA92" s="60"/>
      <c r="AB92" s="105"/>
      <c r="AC92" s="104"/>
      <c r="AD92" s="105"/>
      <c r="AE92" s="105"/>
      <c r="AF92" s="134"/>
      <c r="AG92" s="44"/>
      <c r="AH92" s="60" cm="1">
        <f t="array" ref="AH92">_xlfn.SWITCH(P92, "Frictional force", AG92*AB92*1000, "Drag force", AG92*AB92*1000, "Shear force", AG92*AB92*1000, "N.A.", 0)</f>
        <v>0</v>
      </c>
      <c r="AI92" s="109" t="s">
        <v>45</v>
      </c>
      <c r="AJ92" s="109"/>
      <c r="AK92" s="37"/>
      <c r="AL92" s="95" cm="1">
        <f t="array" ref="AL92">_xlfn.SWITCH(AI92, "CFU/ml", AK92, "Cells/ml", 0.8*AK92, "OD600", 1.77*10^9*AK92, "N.A.", 0)</f>
        <v>0</v>
      </c>
      <c r="AM92" s="40" t="s">
        <v>715</v>
      </c>
    </row>
    <row r="93" spans="1:39" s="11" customFormat="1" ht="20" customHeight="1" x14ac:dyDescent="0.2">
      <c r="A93" s="32" t="s">
        <v>421</v>
      </c>
      <c r="B93" s="33">
        <f t="shared" si="13"/>
        <v>65</v>
      </c>
      <c r="C93" s="33">
        <f t="shared" si="14"/>
        <v>0</v>
      </c>
      <c r="D93" s="59">
        <f t="shared" si="15"/>
        <v>250000</v>
      </c>
      <c r="E93" s="33" t="s">
        <v>128</v>
      </c>
      <c r="F93" s="22" t="s">
        <v>36</v>
      </c>
      <c r="G93" s="22"/>
      <c r="H93" s="22"/>
      <c r="I93" s="22"/>
      <c r="J93" s="22">
        <v>1300</v>
      </c>
      <c r="K93" s="22"/>
      <c r="L93" s="34" cm="1">
        <f t="array" ref="L93">_xlfn.SWITCH(F93, "Artificial UV", G93+H93+I93, "Sunlight (intensity given)", 0.05*J93, "Sunlight (UV Index given)", 1.6*K93, "UV + Sunlight (Intensity)", G93+H93+I93+0.05*J93, "N.A.", 0)</f>
        <v>65</v>
      </c>
      <c r="M93" s="35" t="s">
        <v>420</v>
      </c>
      <c r="N93" s="102"/>
      <c r="O93" s="35"/>
      <c r="P93" s="35" t="s">
        <v>45</v>
      </c>
      <c r="Q93" s="60"/>
      <c r="R93" s="60"/>
      <c r="S93" s="60"/>
      <c r="T93" s="60"/>
      <c r="U93" s="105"/>
      <c r="V93" s="105"/>
      <c r="W93" s="60"/>
      <c r="X93" s="60"/>
      <c r="Y93" s="60"/>
      <c r="Z93" s="60"/>
      <c r="AA93" s="60"/>
      <c r="AB93" s="105"/>
      <c r="AC93" s="104"/>
      <c r="AD93" s="105"/>
      <c r="AE93" s="105"/>
      <c r="AF93" s="114"/>
      <c r="AG93" s="114"/>
      <c r="AH93" s="60">
        <f t="array" ref="AH93">_xlfn.SWITCH(P93, "Frictional force", AG93*AB93*1000, "Drag force", AG93*AB93*1000, "Shear force", AG93*AB93*1000, "N.A.", 0)</f>
        <v>0</v>
      </c>
      <c r="AI93" s="109" t="s">
        <v>34</v>
      </c>
      <c r="AJ93" s="109" t="s">
        <v>305</v>
      </c>
      <c r="AK93" s="109">
        <v>250000</v>
      </c>
      <c r="AL93" s="94" cm="1">
        <f t="array" ref="AL93">_xlfn.SWITCH(AI93, "CFU/ml", AK93, "Cells/ml", 0.8*AK93, "OD600", 1.77*10^9*AK93, "N.A.", 0)</f>
        <v>250000</v>
      </c>
      <c r="AM93" s="40" t="s">
        <v>714</v>
      </c>
    </row>
    <row r="94" spans="1:39" s="11" customFormat="1" ht="20" customHeight="1" x14ac:dyDescent="0.2">
      <c r="A94" s="33" t="s">
        <v>422</v>
      </c>
      <c r="B94" s="33">
        <f t="shared" si="13"/>
        <v>60</v>
      </c>
      <c r="C94" s="33">
        <f t="shared" si="14"/>
        <v>0</v>
      </c>
      <c r="D94" s="33">
        <f t="shared" si="15"/>
        <v>0</v>
      </c>
      <c r="E94" s="33" t="s">
        <v>327</v>
      </c>
      <c r="F94" s="22" t="s">
        <v>36</v>
      </c>
      <c r="G94" s="22"/>
      <c r="H94" s="22"/>
      <c r="I94" s="22"/>
      <c r="J94" s="22">
        <v>1200</v>
      </c>
      <c r="K94" s="22"/>
      <c r="L94" s="34" cm="1">
        <f t="array" ref="L94">_xlfn.SWITCH(F94, "Artificial UV", G94+H94+I94, "Sunlight (intensity given)", 0.05*J94, "Sunlight (UV Index given)", 1.6*K94, "UV + Sunlight (Intensity)", G94+H94+I94+0.05*J94, "N.A.", 0)</f>
        <v>60</v>
      </c>
      <c r="M94" s="92" t="s">
        <v>328</v>
      </c>
      <c r="N94" s="102"/>
      <c r="O94" s="35"/>
      <c r="P94" s="35" t="s">
        <v>45</v>
      </c>
      <c r="Q94" s="60"/>
      <c r="R94" s="60"/>
      <c r="S94" s="60"/>
      <c r="T94" s="60"/>
      <c r="U94" s="105"/>
      <c r="V94" s="105"/>
      <c r="W94" s="60"/>
      <c r="X94" s="60"/>
      <c r="Y94" s="60"/>
      <c r="Z94" s="60"/>
      <c r="AA94" s="60"/>
      <c r="AB94" s="105"/>
      <c r="AC94" s="104"/>
      <c r="AD94" s="105"/>
      <c r="AE94" s="105"/>
      <c r="AF94" s="114"/>
      <c r="AG94" s="114"/>
      <c r="AH94" s="60" cm="1">
        <f t="array" ref="AH94">_xlfn.SWITCH(P94, "Frictional force", AG94*AB94*1000, "Drag force", AG94*AB94*1000, "Shear force", AG94*AB94*1000, "N.A.", 0)</f>
        <v>0</v>
      </c>
      <c r="AI94" s="109" t="s">
        <v>45</v>
      </c>
      <c r="AJ94" s="109"/>
      <c r="AK94" s="37"/>
      <c r="AL94" s="95" cm="1">
        <f t="array" ref="AL94">_xlfn.SWITCH(AI94, "CFU/ml", AK94, "Cells/ml", 0.8*AK94, "OD600", 1.77*10^9*AK94, "N.A.", 0)</f>
        <v>0</v>
      </c>
      <c r="AM94" s="40"/>
    </row>
    <row r="95" spans="1:39" s="11" customFormat="1" ht="20" customHeight="1" x14ac:dyDescent="0.2">
      <c r="A95" s="33" t="s">
        <v>423</v>
      </c>
      <c r="B95" s="33">
        <f t="shared" si="13"/>
        <v>60</v>
      </c>
      <c r="C95" s="33">
        <f t="shared" si="14"/>
        <v>0</v>
      </c>
      <c r="D95" s="33">
        <f t="shared" si="15"/>
        <v>0</v>
      </c>
      <c r="E95" s="33" t="s">
        <v>418</v>
      </c>
      <c r="F95" s="22" t="s">
        <v>36</v>
      </c>
      <c r="G95" s="22"/>
      <c r="H95" s="22"/>
      <c r="I95" s="22"/>
      <c r="J95" s="22">
        <v>1200</v>
      </c>
      <c r="K95" s="22"/>
      <c r="L95" s="34" cm="1">
        <f t="array" ref="L95">_xlfn.SWITCH(F95, "Artificial UV", G95+H95+I95, "Sunlight (intensity given)", 0.05*J95, "Sunlight (UV Index given)", 1.6*K95, "UV + Sunlight (Intensity)", G95+H95+I95+0.05*J95, "N.A.", 0)</f>
        <v>60</v>
      </c>
      <c r="M95" s="92" t="s">
        <v>328</v>
      </c>
      <c r="N95" s="102"/>
      <c r="O95" s="35"/>
      <c r="P95" s="35" t="s">
        <v>45</v>
      </c>
      <c r="Q95" s="60"/>
      <c r="R95" s="60"/>
      <c r="S95" s="60"/>
      <c r="T95" s="60"/>
      <c r="U95" s="105"/>
      <c r="V95" s="105"/>
      <c r="W95" s="60"/>
      <c r="X95" s="60"/>
      <c r="Y95" s="60"/>
      <c r="Z95" s="60"/>
      <c r="AA95" s="60"/>
      <c r="AB95" s="105"/>
      <c r="AC95" s="104"/>
      <c r="AD95" s="105"/>
      <c r="AE95" s="105"/>
      <c r="AF95" s="114"/>
      <c r="AG95" s="114"/>
      <c r="AH95" s="60" cm="1">
        <f t="array" ref="AH95">_xlfn.SWITCH(P95, "Frictional force", AG95*AB95*1000, "Drag force", AG95*AB95*1000, "Shear force", AG95*AB95*1000, "N.A.", 0)</f>
        <v>0</v>
      </c>
      <c r="AI95" s="109" t="s">
        <v>45</v>
      </c>
      <c r="AJ95" s="109"/>
      <c r="AK95" s="37"/>
      <c r="AL95" s="95" cm="1">
        <f t="array" ref="AL95">_xlfn.SWITCH(AI95, "CFU/ml", AK95, "Cells/ml", 0.8*AK95, "OD600", 1.77*10^9*AK95, "N.A.", 0)</f>
        <v>0</v>
      </c>
      <c r="AM95" s="40"/>
    </row>
    <row r="97" spans="1:38" ht="40" customHeight="1" x14ac:dyDescent="0.2">
      <c r="A97" s="229" t="s">
        <v>707</v>
      </c>
      <c r="B97" s="218"/>
      <c r="C97" s="218"/>
      <c r="D97" s="218"/>
      <c r="E97" s="218"/>
      <c r="F97" s="218"/>
      <c r="G97" s="218"/>
      <c r="H97" s="218"/>
      <c r="I97" s="218"/>
      <c r="J97" s="218"/>
      <c r="K97" s="218"/>
      <c r="L97" s="218"/>
      <c r="M97" s="218"/>
      <c r="N97" s="218"/>
      <c r="O97" s="218"/>
      <c r="P97" s="218"/>
      <c r="Q97" s="16"/>
      <c r="R97" s="16"/>
      <c r="S97" s="16"/>
      <c r="T97" s="16"/>
      <c r="U97" s="16"/>
      <c r="V97" s="16"/>
      <c r="W97" s="16"/>
      <c r="X97" s="16"/>
      <c r="Y97" s="16"/>
      <c r="Z97" s="16"/>
      <c r="AA97" s="16"/>
      <c r="AB97" s="16"/>
      <c r="AC97" s="16"/>
      <c r="AD97" s="16"/>
      <c r="AE97" s="16"/>
      <c r="AF97" s="16"/>
      <c r="AG97" s="16"/>
      <c r="AH97" s="16"/>
      <c r="AI97" s="16"/>
      <c r="AJ97" s="16"/>
      <c r="AK97" s="16"/>
      <c r="AL97" s="16"/>
    </row>
    <row r="98" spans="1:38" ht="60" customHeight="1" x14ac:dyDescent="0.2">
      <c r="A98" s="216" t="s">
        <v>1012</v>
      </c>
      <c r="B98" s="216"/>
      <c r="C98" s="216"/>
      <c r="D98" s="216"/>
      <c r="E98" s="216"/>
      <c r="F98" s="216"/>
      <c r="G98" s="216"/>
      <c r="H98" s="216"/>
      <c r="I98" s="216"/>
      <c r="J98" s="216"/>
      <c r="K98" s="216"/>
      <c r="L98" s="216"/>
      <c r="M98" s="216"/>
      <c r="N98" s="216"/>
      <c r="O98" s="216"/>
      <c r="P98" s="216"/>
      <c r="Q98" s="16"/>
      <c r="R98" s="16"/>
      <c r="S98" s="16"/>
      <c r="T98" s="16"/>
      <c r="U98" s="16"/>
      <c r="V98" s="16"/>
      <c r="W98" s="16"/>
      <c r="X98" s="16"/>
      <c r="Y98" s="16"/>
      <c r="Z98" s="16"/>
      <c r="AA98" s="16"/>
      <c r="AB98" s="16"/>
      <c r="AC98" s="16"/>
      <c r="AD98" s="16"/>
      <c r="AE98" s="16"/>
      <c r="AF98" s="16"/>
      <c r="AG98" s="16"/>
      <c r="AH98" s="16"/>
      <c r="AI98" s="16"/>
      <c r="AJ98" s="16"/>
      <c r="AK98" s="16"/>
      <c r="AL98" s="16"/>
    </row>
    <row r="99" spans="1:38" ht="40" customHeight="1" x14ac:dyDescent="0.2">
      <c r="A99" s="230" t="s">
        <v>813</v>
      </c>
      <c r="B99" s="218"/>
      <c r="C99" s="218"/>
      <c r="D99" s="218"/>
      <c r="E99" s="218"/>
      <c r="F99" s="218"/>
      <c r="G99" s="218"/>
      <c r="H99" s="218"/>
      <c r="I99" s="218"/>
      <c r="J99" s="218"/>
      <c r="K99" s="218"/>
      <c r="L99" s="218"/>
      <c r="M99" s="218"/>
      <c r="N99" s="218"/>
      <c r="O99" s="218"/>
      <c r="P99" s="218"/>
    </row>
    <row r="100" spans="1:38" s="80" customFormat="1" ht="20" customHeight="1" x14ac:dyDescent="0.2">
      <c r="AI100" s="170"/>
      <c r="AJ100" s="170"/>
    </row>
    <row r="102" spans="1:38" ht="20" customHeight="1" x14ac:dyDescent="0.2">
      <c r="A102" s="15"/>
    </row>
    <row r="103" spans="1:38" ht="20" customHeight="1" x14ac:dyDescent="0.2">
      <c r="A103" s="14"/>
      <c r="B103" s="3"/>
      <c r="C103" s="3"/>
      <c r="D103" s="3"/>
      <c r="E103" s="3"/>
      <c r="F103" s="3"/>
      <c r="G103" s="3"/>
      <c r="H103" s="3"/>
      <c r="I103" s="2"/>
      <c r="J103" s="2"/>
      <c r="K103" s="2"/>
      <c r="L103" s="2"/>
      <c r="M103" s="2"/>
      <c r="AI103" s="135"/>
      <c r="AJ103" s="135"/>
      <c r="AK103" s="3"/>
      <c r="AL103" s="3"/>
    </row>
    <row r="104" spans="1:38" ht="20" customHeight="1" x14ac:dyDescent="0.2">
      <c r="N104" s="2"/>
    </row>
    <row r="108" spans="1:38" ht="20" customHeight="1" x14ac:dyDescent="0.2">
      <c r="G108" s="6"/>
      <c r="I108" s="6"/>
      <c r="O108" s="136"/>
      <c r="P108" s="136"/>
      <c r="Q108" s="136"/>
      <c r="R108" s="136"/>
      <c r="S108" s="136"/>
      <c r="T108" s="136"/>
      <c r="U108" s="136"/>
      <c r="V108" s="136"/>
      <c r="W108" s="136"/>
      <c r="X108" s="136"/>
      <c r="Y108" s="136"/>
      <c r="Z108" s="136"/>
      <c r="AA108" s="136"/>
      <c r="AB108" s="136"/>
      <c r="AC108" s="136"/>
      <c r="AD108" s="136"/>
      <c r="AE108" s="136"/>
      <c r="AF108" s="136"/>
      <c r="AG108" s="136"/>
      <c r="AH108" s="136"/>
    </row>
  </sheetData>
  <sortState xmlns:xlrd2="http://schemas.microsoft.com/office/spreadsheetml/2017/richdata2" ref="A83:AM86">
    <sortCondition ref="A83:A86"/>
  </sortState>
  <mergeCells count="8">
    <mergeCell ref="Q2:AH2"/>
    <mergeCell ref="AI2:AL2"/>
    <mergeCell ref="A98:P98"/>
    <mergeCell ref="A97:P97"/>
    <mergeCell ref="A99:P99"/>
    <mergeCell ref="B2:D2"/>
    <mergeCell ref="F2:L2"/>
    <mergeCell ref="M2:P2"/>
  </mergeCells>
  <phoneticPr fontId="7" type="noConversion"/>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49F42-EA75-D14D-ABA4-DBAEE29AC1BC}">
  <dimension ref="A1:S98"/>
  <sheetViews>
    <sheetView zoomScaleNormal="100" workbookViewId="0">
      <selection activeCell="E14" sqref="E14"/>
    </sheetView>
  </sheetViews>
  <sheetFormatPr baseColWidth="10" defaultRowHeight="20" customHeight="1" x14ac:dyDescent="0.2"/>
  <cols>
    <col min="1" max="1" width="12.33203125" style="1" customWidth="1"/>
    <col min="2" max="2" width="9.83203125" style="4" customWidth="1"/>
    <col min="3" max="3" width="11.83203125" style="4" customWidth="1"/>
    <col min="4" max="4" width="12.83203125" style="5" customWidth="1"/>
    <col min="5" max="7" width="10.83203125" style="4" customWidth="1"/>
    <col min="8" max="8" width="12.83203125" style="4" customWidth="1"/>
    <col min="9" max="9" width="12.83203125" style="11" customWidth="1"/>
    <col min="10" max="10" width="14.83203125" style="11" customWidth="1"/>
    <col min="11" max="11" width="18.83203125" style="4" customWidth="1"/>
    <col min="12" max="13" width="15.83203125" style="4" customWidth="1"/>
    <col min="14" max="14" width="19.33203125" style="4" customWidth="1"/>
    <col min="15" max="15" width="35.83203125" style="4" customWidth="1"/>
    <col min="16" max="16" width="9.83203125" style="4" customWidth="1"/>
    <col min="17" max="17" width="14.83203125" style="4" customWidth="1"/>
    <col min="18" max="18" width="125.83203125" style="4" customWidth="1"/>
    <col min="19" max="19" width="40.6640625" style="4" customWidth="1"/>
    <col min="20" max="16384" width="10.83203125" style="1"/>
  </cols>
  <sheetData>
    <row r="1" spans="1:19" ht="20" customHeight="1" x14ac:dyDescent="0.2">
      <c r="A1" s="162" t="s">
        <v>993</v>
      </c>
      <c r="D1" s="25"/>
      <c r="E1" s="25"/>
      <c r="F1" s="25"/>
      <c r="G1" s="25"/>
      <c r="H1" s="25"/>
      <c r="I1" s="8"/>
      <c r="J1" s="8"/>
      <c r="K1" s="25"/>
      <c r="L1" s="25"/>
      <c r="M1" s="25"/>
      <c r="N1" s="25"/>
      <c r="O1" s="25"/>
      <c r="P1" s="25"/>
      <c r="Q1" s="25"/>
      <c r="R1" s="9"/>
    </row>
    <row r="2" spans="1:19" s="2" customFormat="1" ht="20" customHeight="1" x14ac:dyDescent="0.2">
      <c r="A2" s="2" t="s">
        <v>53</v>
      </c>
      <c r="B2" s="3" t="s">
        <v>24</v>
      </c>
      <c r="C2" s="3" t="s">
        <v>244</v>
      </c>
      <c r="D2" s="29" t="s">
        <v>117</v>
      </c>
      <c r="E2" s="30" t="s">
        <v>424</v>
      </c>
      <c r="F2" s="30" t="s">
        <v>425</v>
      </c>
      <c r="G2" s="30" t="s">
        <v>19</v>
      </c>
      <c r="H2" s="30" t="s">
        <v>20</v>
      </c>
      <c r="I2" s="10" t="s">
        <v>54</v>
      </c>
      <c r="J2" s="10" t="s">
        <v>181</v>
      </c>
      <c r="K2" s="3" t="s">
        <v>183</v>
      </c>
      <c r="L2" s="3" t="s">
        <v>182</v>
      </c>
      <c r="M2" s="3" t="s">
        <v>727</v>
      </c>
      <c r="N2" s="3" t="s">
        <v>55</v>
      </c>
      <c r="O2" s="3" t="s">
        <v>56</v>
      </c>
      <c r="P2" s="3" t="s">
        <v>3</v>
      </c>
      <c r="Q2" s="3" t="s">
        <v>57</v>
      </c>
      <c r="R2" s="3" t="s">
        <v>118</v>
      </c>
      <c r="S2" s="23" t="s">
        <v>58</v>
      </c>
    </row>
    <row r="3" spans="1:19" ht="35" customHeight="1" x14ac:dyDescent="0.2">
      <c r="A3" s="1" t="s">
        <v>59</v>
      </c>
      <c r="B3" s="4" t="s">
        <v>2</v>
      </c>
      <c r="C3" s="4" t="s">
        <v>426</v>
      </c>
      <c r="D3" s="28">
        <f>-LN(1-J3/100)/I3</f>
        <v>5.0226359178605949E-5</v>
      </c>
      <c r="E3" s="137">
        <f>6/((6*19/PI())^(1/3))*10</f>
        <v>18.123118250828707</v>
      </c>
      <c r="F3" s="31">
        <f>VLOOKUP(A3, 'Env. stresses'!A:B, 2, FALSE)</f>
        <v>11.169999999999998</v>
      </c>
      <c r="G3" s="31">
        <f>VLOOKUP(A3, 'Env. stresses'!A:C, 3, FALSE)</f>
        <v>0</v>
      </c>
      <c r="H3" s="31">
        <f>VLOOKUP(A3, 'Env. stresses'!A:D, 4, FALSE)</f>
        <v>0</v>
      </c>
      <c r="I3" s="11">
        <v>180</v>
      </c>
      <c r="J3" s="11">
        <f>K3-L3</f>
        <v>0.90000000000000013</v>
      </c>
      <c r="K3" s="4">
        <f>2.1-1.2</f>
        <v>0.90000000000000013</v>
      </c>
      <c r="L3" s="4">
        <v>0</v>
      </c>
      <c r="M3" s="4" t="s">
        <v>427</v>
      </c>
      <c r="N3" s="4" t="s">
        <v>60</v>
      </c>
      <c r="O3" s="4" t="s">
        <v>428</v>
      </c>
      <c r="P3" s="4" t="s">
        <v>429</v>
      </c>
      <c r="Q3" s="4" t="s">
        <v>430</v>
      </c>
      <c r="R3" s="80" t="s">
        <v>431</v>
      </c>
    </row>
    <row r="4" spans="1:19" ht="20" customHeight="1" x14ac:dyDescent="0.2">
      <c r="A4" s="1" t="s">
        <v>432</v>
      </c>
      <c r="B4" s="4" t="s">
        <v>2</v>
      </c>
      <c r="C4" s="4" t="s">
        <v>426</v>
      </c>
      <c r="D4" s="28">
        <f t="shared" ref="D4:D28" si="0">-LN(1-J4/100)/I4</f>
        <v>2.2023185715519423E-8</v>
      </c>
      <c r="E4" s="137">
        <f>2*(5*3+5*0.45+3*0.45)/(5*3*0.45)</f>
        <v>5.511111111111112</v>
      </c>
      <c r="F4" s="31">
        <f>VLOOKUP(A4, 'Env. stresses'!A:B, 2, FALSE)</f>
        <v>27.5</v>
      </c>
      <c r="G4" s="31">
        <f>VLOOKUP(A4, 'Env. stresses'!A:C, 3, FALSE)</f>
        <v>0</v>
      </c>
      <c r="H4" s="31">
        <f>VLOOKUP(A4, 'Env. stresses'!A:D, 4, FALSE)</f>
        <v>0</v>
      </c>
      <c r="I4" s="11">
        <v>180</v>
      </c>
      <c r="J4" s="12">
        <f>K4-L4</f>
        <v>3.9641655714555064E-4</v>
      </c>
      <c r="K4" s="12">
        <f>(PI()*1.8^3/6/10^12*2.1*10^5+PI()*236^3/6/10^21*2.7*10^7)*2*(5*3+5*0.45+3*0.45)/(5*3*0.45)*100</f>
        <v>4.5581542131627477E-4</v>
      </c>
      <c r="L4" s="12">
        <f>(PI()*4.4^3/6/10^12*2.1*10^3+PI()*323^3/6/10^21*8*10^5)*2*(5*3+5*0.45+3*0.45)/(5*3*0.45)*100</f>
        <v>5.9398864170724118E-5</v>
      </c>
      <c r="M4" s="4" t="s">
        <v>433</v>
      </c>
      <c r="N4" s="4" t="s">
        <v>64</v>
      </c>
      <c r="O4" s="4" t="s">
        <v>434</v>
      </c>
      <c r="P4" s="1" t="s">
        <v>65</v>
      </c>
      <c r="Q4" s="1" t="s">
        <v>435</v>
      </c>
      <c r="R4" s="80" t="s">
        <v>436</v>
      </c>
    </row>
    <row r="5" spans="1:19" ht="35" customHeight="1" x14ac:dyDescent="0.2">
      <c r="A5" s="1" t="s">
        <v>437</v>
      </c>
      <c r="B5" s="4" t="s">
        <v>2</v>
      </c>
      <c r="C5" s="4" t="s">
        <v>426</v>
      </c>
      <c r="D5" s="28">
        <f t="shared" si="0"/>
        <v>4.8977514487482431E-7</v>
      </c>
      <c r="E5" s="137">
        <f>2*(5*1.5+5*0.1+1.5*0.1)/(5*1.5*0.1)</f>
        <v>21.733333333333334</v>
      </c>
      <c r="F5" s="31">
        <f>VLOOKUP(A5, 'Env. stresses'!A:B, 2, FALSE)</f>
        <v>27.5</v>
      </c>
      <c r="G5" s="31">
        <f>VLOOKUP(A5, 'Env. stresses'!A:C, 3, FALSE)</f>
        <v>0</v>
      </c>
      <c r="H5" s="31">
        <f>VLOOKUP(A5, 'Env. stresses'!A:D, 4, FALSE)</f>
        <v>0</v>
      </c>
      <c r="I5" s="11">
        <v>176</v>
      </c>
      <c r="J5" s="12">
        <f>K5-L5</f>
        <v>8.6196710348069305E-3</v>
      </c>
      <c r="K5" s="12">
        <f>2*(PI()*1.9^3/6/10^12*7.5*10^5+PI()*296^3/6/10^21*2.7*10^7)*2*(5*1.5+5*0.1+1.5*0.1)/(5*1.5*0.1)*100</f>
        <v>1.3301499982468786E-2</v>
      </c>
      <c r="L5" s="12">
        <f>2*(PI()*1.7^3/6/10^12*3.6*10^5+PI()*281^3/6/10^21*1.3*10^7)*2*(5*1.5+5*0.1+1.5*0.1)/(5*1.5*0.1)*100</f>
        <v>4.6818289476618568E-3</v>
      </c>
      <c r="M5" s="4" t="s">
        <v>433</v>
      </c>
      <c r="N5" s="4" t="s">
        <v>67</v>
      </c>
      <c r="O5" s="4" t="s">
        <v>438</v>
      </c>
      <c r="P5" s="16" t="s">
        <v>68</v>
      </c>
      <c r="Q5" s="16" t="s">
        <v>439</v>
      </c>
      <c r="R5" s="80" t="s">
        <v>440</v>
      </c>
    </row>
    <row r="6" spans="1:19" ht="35" customHeight="1" x14ac:dyDescent="0.2">
      <c r="A6" s="1" t="s">
        <v>441</v>
      </c>
      <c r="B6" s="4" t="s">
        <v>2</v>
      </c>
      <c r="C6" s="4" t="s">
        <v>442</v>
      </c>
      <c r="D6" s="28">
        <f t="shared" si="0"/>
        <v>5.0075150338312075E-5</v>
      </c>
      <c r="E6" s="137">
        <f>6/((6*19/PI())^(1/3))*10</f>
        <v>18.123118250828707</v>
      </c>
      <c r="F6" s="31">
        <f>VLOOKUP(A6, 'Env. stresses'!A:B, 2, FALSE)</f>
        <v>0</v>
      </c>
      <c r="G6" s="147">
        <f>VLOOKUP(A6, 'Env. stresses'!A:C, 3, FALSE)</f>
        <v>2.7774403644125034E-2</v>
      </c>
      <c r="H6" s="31">
        <f>VLOOKUP(A6, 'Env. stresses'!A:D, 4, FALSE)</f>
        <v>0</v>
      </c>
      <c r="I6" s="11">
        <v>60</v>
      </c>
      <c r="J6" s="11">
        <f>K6-L6</f>
        <v>0.29999999999999993</v>
      </c>
      <c r="K6" s="4">
        <f>1.2-0.9</f>
        <v>0.29999999999999993</v>
      </c>
      <c r="L6" s="4">
        <v>0</v>
      </c>
      <c r="M6" s="4" t="s">
        <v>427</v>
      </c>
      <c r="N6" s="4" t="s">
        <v>60</v>
      </c>
      <c r="O6" s="4" t="s">
        <v>428</v>
      </c>
      <c r="P6" s="4" t="s">
        <v>429</v>
      </c>
      <c r="Q6" s="4" t="s">
        <v>443</v>
      </c>
      <c r="R6" s="80" t="s">
        <v>431</v>
      </c>
    </row>
    <row r="7" spans="1:19" ht="35" customHeight="1" x14ac:dyDescent="0.2">
      <c r="A7" s="16" t="s">
        <v>184</v>
      </c>
      <c r="B7" s="11" t="s">
        <v>2</v>
      </c>
      <c r="C7" s="11" t="s">
        <v>442</v>
      </c>
      <c r="D7" s="28">
        <f t="shared" si="0"/>
        <v>4.6846025995511555E-2</v>
      </c>
      <c r="E7" s="137">
        <f>2*(5*1.5+5*0.1+1.5*0.1)/(5*1.5*0.1)</f>
        <v>21.733333333333334</v>
      </c>
      <c r="F7" s="31">
        <f>VLOOKUP(A7, 'Env. stresses'!A:B, 2, FALSE)</f>
        <v>0</v>
      </c>
      <c r="G7" s="138">
        <f>VLOOKUP(A7, 'Env. stresses'!A:C, 3, FALSE)</f>
        <v>0.29608813203268075</v>
      </c>
      <c r="H7" s="31">
        <f>VLOOKUP(A7, 'Env. stresses'!A:D, 4, FALSE)</f>
        <v>0</v>
      </c>
      <c r="I7" s="12">
        <f>30/3600/24</f>
        <v>3.4722222222222224E-4</v>
      </c>
      <c r="J7" s="12">
        <f>(PI()*1.3^3/6/10^12*2.5*10^6+PI()*253^3/6/10^21*1.1*10^8)*2*(5*1.5+5*0.1+1.5*0.1)/(5*1.5*0.1)*100-K5/2</f>
        <v>1.6265848958093064E-3</v>
      </c>
      <c r="K7" s="12" t="s">
        <v>444</v>
      </c>
      <c r="L7" s="5" t="s">
        <v>444</v>
      </c>
      <c r="M7" s="4" t="s">
        <v>445</v>
      </c>
      <c r="N7" s="4" t="s">
        <v>67</v>
      </c>
      <c r="O7" s="4" t="s">
        <v>438</v>
      </c>
      <c r="P7" s="16" t="s">
        <v>68</v>
      </c>
      <c r="Q7" s="16" t="s">
        <v>446</v>
      </c>
      <c r="R7" s="80" t="s">
        <v>447</v>
      </c>
    </row>
    <row r="8" spans="1:19" ht="20" customHeight="1" x14ac:dyDescent="0.2">
      <c r="A8" s="16" t="s">
        <v>149</v>
      </c>
      <c r="B8" s="11" t="s">
        <v>2</v>
      </c>
      <c r="C8" s="11" t="s">
        <v>442</v>
      </c>
      <c r="D8" s="28">
        <f t="shared" si="0"/>
        <v>4.000080002137398E-5</v>
      </c>
      <c r="E8" s="31">
        <f>2*(2*2+2*2*0.05)/(2*2*0.05)</f>
        <v>42</v>
      </c>
      <c r="F8" s="31">
        <f>VLOOKUP(A8, 'Env. stresses'!A:B, 2, FALSE)</f>
        <v>0</v>
      </c>
      <c r="G8" s="140">
        <f>VLOOKUP(A8, 'Env. stresses'!A:C, 3, FALSE)</f>
        <v>9.8696044010893585E-3</v>
      </c>
      <c r="H8" s="31">
        <f>VLOOKUP(A8, 'Env. stresses'!A:D, 4, FALSE)</f>
        <v>0</v>
      </c>
      <c r="I8" s="11">
        <v>1</v>
      </c>
      <c r="J8" s="11">
        <f t="shared" ref="J8:J28" si="1">K8-L8</f>
        <v>4.0000000000000001E-3</v>
      </c>
      <c r="K8" s="13">
        <v>4.0000000000000001E-3</v>
      </c>
      <c r="L8" s="11">
        <v>0</v>
      </c>
      <c r="M8" s="4" t="s">
        <v>427</v>
      </c>
      <c r="N8" s="11" t="s">
        <v>73</v>
      </c>
      <c r="O8" s="11" t="s">
        <v>448</v>
      </c>
      <c r="P8" s="11" t="s">
        <v>140</v>
      </c>
      <c r="Q8" s="11" t="s">
        <v>449</v>
      </c>
      <c r="R8" s="81" t="s">
        <v>450</v>
      </c>
      <c r="S8" s="14"/>
    </row>
    <row r="9" spans="1:19" ht="20" customHeight="1" x14ac:dyDescent="0.2">
      <c r="A9" s="16" t="s">
        <v>72</v>
      </c>
      <c r="B9" s="11" t="s">
        <v>120</v>
      </c>
      <c r="C9" s="11" t="s">
        <v>442</v>
      </c>
      <c r="D9" s="28">
        <f t="shared" si="0"/>
        <v>1.7114082987469137E-6</v>
      </c>
      <c r="E9" s="139">
        <f>2*(4*4+2*4*0.5)/(4*4*0.5)*10</f>
        <v>50</v>
      </c>
      <c r="F9" s="31">
        <f>VLOOKUP(A9, 'Env. stresses'!A:B, 2, FALSE)</f>
        <v>0</v>
      </c>
      <c r="G9" s="140">
        <f>VLOOKUP(A9, 'Env. stresses'!A:C, 3, FALSE)</f>
        <v>1.1229416563017226E-4</v>
      </c>
      <c r="H9" s="31">
        <f>VLOOKUP(A9, 'Env. stresses'!A:D, 4, FALSE)</f>
        <v>0</v>
      </c>
      <c r="I9" s="11">
        <v>30</v>
      </c>
      <c r="J9" s="141">
        <f t="shared" si="1"/>
        <v>5.134093097167081E-3</v>
      </c>
      <c r="K9" s="141">
        <f>(PI()*0.76524^3/6/10^12)*11.67*10^6*0.15/(4*4*0.5*10^-3)*100</f>
        <v>5.134093097167081E-3</v>
      </c>
      <c r="L9" s="11">
        <v>0</v>
      </c>
      <c r="M9" s="4" t="s">
        <v>427</v>
      </c>
      <c r="N9" s="11" t="s">
        <v>298</v>
      </c>
      <c r="O9" s="16" t="s">
        <v>451</v>
      </c>
      <c r="P9" s="11" t="s">
        <v>452</v>
      </c>
      <c r="Q9" s="11" t="s">
        <v>453</v>
      </c>
      <c r="R9" s="11" t="s">
        <v>454</v>
      </c>
      <c r="S9" s="14"/>
    </row>
    <row r="10" spans="1:19" ht="20" customHeight="1" x14ac:dyDescent="0.2">
      <c r="A10" s="16" t="s">
        <v>245</v>
      </c>
      <c r="B10" s="11" t="s">
        <v>120</v>
      </c>
      <c r="C10" s="11" t="s">
        <v>131</v>
      </c>
      <c r="D10" s="28">
        <f t="shared" si="0"/>
        <v>4.8487269233360927E-6</v>
      </c>
      <c r="E10" s="139">
        <f>2*(4*4+2*4*0.5)/(4*4*0.5)*10</f>
        <v>50</v>
      </c>
      <c r="F10" s="31">
        <f>VLOOKUP(A10, 'Env. stresses'!A:B, 2, FALSE)</f>
        <v>4.99</v>
      </c>
      <c r="G10" s="140">
        <f>VLOOKUP(A10, 'Env. stresses'!A:C, 3, FALSE)</f>
        <v>1.1229416563017226E-4</v>
      </c>
      <c r="H10" s="31">
        <f>VLOOKUP(A10, 'Env. stresses'!A:D, 4, FALSE)</f>
        <v>0</v>
      </c>
      <c r="I10" s="11">
        <v>30</v>
      </c>
      <c r="J10" s="13">
        <f t="shared" si="1"/>
        <v>1.4545122864426248E-2</v>
      </c>
      <c r="K10" s="13">
        <f>(PI()*0.53576^3/6/10^12)*96.34*10^6*0.15/(4*4*0.5*10^-3)*100</f>
        <v>1.4545122864426248E-2</v>
      </c>
      <c r="L10" s="11">
        <v>0</v>
      </c>
      <c r="M10" s="4" t="s">
        <v>427</v>
      </c>
      <c r="N10" s="11" t="s">
        <v>298</v>
      </c>
      <c r="O10" s="16" t="s">
        <v>451</v>
      </c>
      <c r="P10" s="11" t="s">
        <v>452</v>
      </c>
      <c r="Q10" s="11" t="s">
        <v>453</v>
      </c>
      <c r="R10" s="11" t="s">
        <v>455</v>
      </c>
      <c r="S10" s="14"/>
    </row>
    <row r="11" spans="1:19" s="16" customFormat="1" ht="55" customHeight="1" x14ac:dyDescent="0.2">
      <c r="A11" s="16" t="s">
        <v>246</v>
      </c>
      <c r="B11" s="4" t="s">
        <v>2</v>
      </c>
      <c r="C11" s="4" t="s">
        <v>131</v>
      </c>
      <c r="D11" s="28">
        <f t="shared" si="0"/>
        <v>4.9241579297501446E-6</v>
      </c>
      <c r="E11" s="31">
        <f>6/4*10</f>
        <v>15</v>
      </c>
      <c r="F11" s="31">
        <f>VLOOKUP(A11, 'Env. stresses'!A:B, 2, FALSE)</f>
        <v>1.65</v>
      </c>
      <c r="G11" s="140">
        <f>VLOOKUP(A11, 'Env. stresses'!A:C, 3, FALSE)</f>
        <v>2.5152291643059212E-4</v>
      </c>
      <c r="H11" s="28">
        <f>VLOOKUP(A11, 'Env. stresses'!A:D, 4, FALSE)</f>
        <v>25000</v>
      </c>
      <c r="I11" s="11">
        <v>540</v>
      </c>
      <c r="J11" s="13">
        <f t="shared" si="1"/>
        <v>0.2655513152550063</v>
      </c>
      <c r="K11" s="13">
        <f>0.00447/(55.2*0.91*1/6*PI()*4^3/1000)*100</f>
        <v>0.2655513152550063</v>
      </c>
      <c r="L11" s="11">
        <v>0</v>
      </c>
      <c r="M11" s="4" t="s">
        <v>427</v>
      </c>
      <c r="N11" s="4" t="s">
        <v>70</v>
      </c>
      <c r="O11" s="11" t="s">
        <v>456</v>
      </c>
      <c r="P11" s="4" t="s">
        <v>429</v>
      </c>
      <c r="Q11" s="4" t="s">
        <v>71</v>
      </c>
      <c r="R11" s="80" t="s">
        <v>457</v>
      </c>
      <c r="S11" s="142" t="s">
        <v>458</v>
      </c>
    </row>
    <row r="12" spans="1:19" s="15" customFormat="1" ht="20" customHeight="1" x14ac:dyDescent="0.2">
      <c r="A12" s="16" t="s">
        <v>74</v>
      </c>
      <c r="B12" s="11" t="s">
        <v>2</v>
      </c>
      <c r="C12" s="11" t="s">
        <v>426</v>
      </c>
      <c r="D12" s="28">
        <f t="shared" si="0"/>
        <v>4.3906625566003297E-4</v>
      </c>
      <c r="E12" s="137">
        <f>6/((6*19/PI())^(1/3))*10</f>
        <v>18.123118250828707</v>
      </c>
      <c r="F12" s="31">
        <f>VLOOKUP(A12, 'Env. stresses'!A:B, 2, FALSE)</f>
        <v>11.169999999999998</v>
      </c>
      <c r="G12" s="31">
        <f>VLOOKUP(A12, 'Env. stresses'!A:C, 3, FALSE)</f>
        <v>0</v>
      </c>
      <c r="H12" s="31">
        <f>VLOOKUP(A12, 'Env. stresses'!A:D, 4, FALSE)</f>
        <v>0</v>
      </c>
      <c r="I12" s="11">
        <v>60</v>
      </c>
      <c r="J12" s="11">
        <f t="shared" si="1"/>
        <v>2.6</v>
      </c>
      <c r="K12" s="11">
        <f>4.2-1.6</f>
        <v>2.6</v>
      </c>
      <c r="L12" s="11">
        <v>0</v>
      </c>
      <c r="M12" s="4" t="s">
        <v>427</v>
      </c>
      <c r="N12" s="11" t="s">
        <v>60</v>
      </c>
      <c r="O12" s="4" t="s">
        <v>428</v>
      </c>
      <c r="P12" s="4" t="s">
        <v>429</v>
      </c>
      <c r="Q12" s="11" t="s">
        <v>460</v>
      </c>
      <c r="R12" s="81" t="s">
        <v>459</v>
      </c>
      <c r="S12" s="14"/>
    </row>
    <row r="13" spans="1:19" ht="20" customHeight="1" x14ac:dyDescent="0.2">
      <c r="A13" s="16" t="s">
        <v>75</v>
      </c>
      <c r="B13" s="4" t="s">
        <v>2</v>
      </c>
      <c r="C13" s="4" t="s">
        <v>426</v>
      </c>
      <c r="D13" s="28">
        <f t="shared" si="0"/>
        <v>2.7999685567191095E-4</v>
      </c>
      <c r="E13" s="28">
        <f>6/3.079*10^4</f>
        <v>19486.846378694379</v>
      </c>
      <c r="F13" s="137">
        <f>VLOOKUP(A13, 'Env. stresses'!A:B, 2, FALSE)</f>
        <v>1.7760000000000002</v>
      </c>
      <c r="G13" s="31">
        <f>VLOOKUP(A13, 'Env. stresses'!A:C, 3, FALSE)</f>
        <v>0</v>
      </c>
      <c r="H13" s="31">
        <f>VLOOKUP(A13, 'Env. stresses'!A:D, 4, FALSE)</f>
        <v>0</v>
      </c>
      <c r="I13" s="11">
        <v>365</v>
      </c>
      <c r="J13" s="11">
        <f t="shared" si="1"/>
        <v>9.7149999999999999</v>
      </c>
      <c r="K13" s="11">
        <f>(18.52+1.34)/2</f>
        <v>9.93</v>
      </c>
      <c r="L13" s="4">
        <f>(0.39+0.04)/2</f>
        <v>0.215</v>
      </c>
      <c r="M13" s="4" t="s">
        <v>433</v>
      </c>
      <c r="N13" s="4" t="s">
        <v>77</v>
      </c>
      <c r="O13" s="11" t="s">
        <v>461</v>
      </c>
      <c r="P13" s="4" t="s">
        <v>429</v>
      </c>
      <c r="Q13" s="4" t="s">
        <v>462</v>
      </c>
      <c r="R13" s="4" t="s">
        <v>463</v>
      </c>
      <c r="S13" s="80"/>
    </row>
    <row r="14" spans="1:19" ht="20" customHeight="1" x14ac:dyDescent="0.2">
      <c r="A14" s="16" t="s">
        <v>76</v>
      </c>
      <c r="B14" s="4" t="s">
        <v>120</v>
      </c>
      <c r="C14" s="4" t="s">
        <v>464</v>
      </c>
      <c r="D14" s="28">
        <f t="shared" si="0"/>
        <v>1.3350194181778823E-3</v>
      </c>
      <c r="E14" s="31">
        <f>6/2.4*10</f>
        <v>25</v>
      </c>
      <c r="F14" s="31">
        <f>VLOOKUP(A14, 'Env. stresses'!A:B, 2, FALSE)</f>
        <v>0</v>
      </c>
      <c r="G14" s="31">
        <f>VLOOKUP(A14, 'Env. stresses'!A:C, 3, FALSE)</f>
        <v>0</v>
      </c>
      <c r="H14" s="28">
        <f>VLOOKUP(A14, 'Env. stresses'!A:D, 4, FALSE)</f>
        <v>1239000000</v>
      </c>
      <c r="I14" s="11">
        <v>40</v>
      </c>
      <c r="J14" s="11">
        <f t="shared" si="1"/>
        <v>5.2</v>
      </c>
      <c r="K14" s="58">
        <f>(6.4+4)/2</f>
        <v>5.2</v>
      </c>
      <c r="L14" s="58">
        <v>0</v>
      </c>
      <c r="M14" s="4" t="s">
        <v>433</v>
      </c>
      <c r="N14" s="4" t="s">
        <v>146</v>
      </c>
      <c r="O14" s="4" t="s">
        <v>465</v>
      </c>
      <c r="P14" s="4" t="s">
        <v>429</v>
      </c>
      <c r="Q14" s="4" t="s">
        <v>466</v>
      </c>
      <c r="R14" s="4" t="s">
        <v>467</v>
      </c>
    </row>
    <row r="15" spans="1:19" ht="35" customHeight="1" x14ac:dyDescent="0.2">
      <c r="A15" s="16" t="s">
        <v>78</v>
      </c>
      <c r="B15" s="11" t="s">
        <v>120</v>
      </c>
      <c r="C15" s="11" t="s">
        <v>464</v>
      </c>
      <c r="D15" s="28">
        <f t="shared" si="0"/>
        <v>9.1659960928978674E-4</v>
      </c>
      <c r="E15" s="139">
        <f>6/200*10^4</f>
        <v>300</v>
      </c>
      <c r="F15" s="31">
        <f>VLOOKUP(A15, 'Env. stresses'!A:B, 2, FALSE)</f>
        <v>0</v>
      </c>
      <c r="G15" s="144">
        <f>VLOOKUP(A15, 'Env. stresses'!A:C, 3, FALSE)</f>
        <v>4.6509415020449733E-5</v>
      </c>
      <c r="H15" s="28">
        <f>VLOOKUP(A15, 'Env. stresses'!A:D, 4, FALSE)</f>
        <v>1504500000</v>
      </c>
      <c r="I15" s="11">
        <v>40</v>
      </c>
      <c r="J15" s="11">
        <f t="shared" si="1"/>
        <v>3.6</v>
      </c>
      <c r="K15" s="11">
        <v>3.6</v>
      </c>
      <c r="L15" s="145">
        <v>0</v>
      </c>
      <c r="M15" s="11" t="s">
        <v>433</v>
      </c>
      <c r="N15" s="11" t="s">
        <v>147</v>
      </c>
      <c r="O15" s="11" t="s">
        <v>468</v>
      </c>
      <c r="P15" s="11" t="s">
        <v>429</v>
      </c>
      <c r="Q15" s="11" t="s">
        <v>466</v>
      </c>
      <c r="R15" s="81" t="s">
        <v>469</v>
      </c>
      <c r="S15" s="11"/>
    </row>
    <row r="16" spans="1:19" ht="20" customHeight="1" x14ac:dyDescent="0.2">
      <c r="A16" s="16" t="s">
        <v>82</v>
      </c>
      <c r="B16" s="11" t="s">
        <v>120</v>
      </c>
      <c r="C16" s="11" t="s">
        <v>464</v>
      </c>
      <c r="D16" s="28">
        <f t="shared" si="0"/>
        <v>1.0173428080876999E-3</v>
      </c>
      <c r="E16" s="31">
        <f>6/2.5*10</f>
        <v>24</v>
      </c>
      <c r="F16" s="31">
        <f>VLOOKUP(A16, 'Env. stresses'!A:B, 2, FALSE)</f>
        <v>0</v>
      </c>
      <c r="G16" s="31">
        <f>VLOOKUP(A16, 'Env. stresses'!A:C, 3, FALSE)</f>
        <v>0</v>
      </c>
      <c r="H16" s="28">
        <f>VLOOKUP(A16, 'Env. stresses'!A:D, 4, FALSE)</f>
        <v>1239000000</v>
      </c>
      <c r="I16" s="11">
        <v>140</v>
      </c>
      <c r="J16" s="146">
        <f t="shared" si="1"/>
        <v>13.275</v>
      </c>
      <c r="K16" s="146">
        <v>13.275</v>
      </c>
      <c r="L16" s="145">
        <v>0</v>
      </c>
      <c r="M16" s="11" t="s">
        <v>433</v>
      </c>
      <c r="N16" s="11" t="s">
        <v>202</v>
      </c>
      <c r="O16" s="11" t="s">
        <v>470</v>
      </c>
      <c r="P16" s="11" t="s">
        <v>429</v>
      </c>
      <c r="Q16" s="11" t="s">
        <v>471</v>
      </c>
      <c r="R16" s="11" t="s">
        <v>472</v>
      </c>
      <c r="S16" s="11"/>
    </row>
    <row r="17" spans="1:19" ht="20" customHeight="1" x14ac:dyDescent="0.2">
      <c r="A17" s="16" t="s">
        <v>83</v>
      </c>
      <c r="B17" s="11" t="s">
        <v>120</v>
      </c>
      <c r="C17" s="11" t="s">
        <v>464</v>
      </c>
      <c r="D17" s="28">
        <f t="shared" si="0"/>
        <v>1.7379991030144627E-3</v>
      </c>
      <c r="E17" s="31">
        <f>2*(1*1+2*1*0.05)/(1*1*0.05)</f>
        <v>44</v>
      </c>
      <c r="F17" s="31">
        <f>VLOOKUP(A17, 'Env. stresses'!A:B, 2, FALSE)</f>
        <v>0</v>
      </c>
      <c r="G17" s="140">
        <f>VLOOKUP(A17, 'Env. stresses'!A:C, 3, FALSE)</f>
        <v>7.0183853518857671E-4</v>
      </c>
      <c r="H17" s="28">
        <f>VLOOKUP(A17, 'Env. stresses'!A:D, 4, FALSE)</f>
        <v>177000000</v>
      </c>
      <c r="I17" s="11">
        <v>90</v>
      </c>
      <c r="J17" s="146">
        <f t="shared" si="1"/>
        <v>14.48</v>
      </c>
      <c r="K17" s="146">
        <v>17.52</v>
      </c>
      <c r="L17" s="145">
        <v>3.04</v>
      </c>
      <c r="M17" s="11" t="s">
        <v>433</v>
      </c>
      <c r="N17" s="11" t="s">
        <v>473</v>
      </c>
      <c r="O17" s="11" t="s">
        <v>474</v>
      </c>
      <c r="P17" s="11" t="s">
        <v>140</v>
      </c>
      <c r="Q17" s="11" t="s">
        <v>475</v>
      </c>
      <c r="R17" s="81" t="s">
        <v>450</v>
      </c>
      <c r="S17" s="11"/>
    </row>
    <row r="18" spans="1:19" ht="20" customHeight="1" x14ac:dyDescent="0.2">
      <c r="A18" s="16" t="s">
        <v>84</v>
      </c>
      <c r="B18" s="11" t="s">
        <v>120</v>
      </c>
      <c r="C18" s="11" t="s">
        <v>464</v>
      </c>
      <c r="D18" s="28">
        <f t="shared" si="0"/>
        <v>1.1320388122590915E-3</v>
      </c>
      <c r="E18" s="143">
        <f>2*(15*15+2*15*0.005)/(15*15*0.005)</f>
        <v>400.26666666666665</v>
      </c>
      <c r="F18" s="31">
        <f>VLOOKUP(A18, 'Env. stresses'!A:B, 2, FALSE)</f>
        <v>0</v>
      </c>
      <c r="G18" s="31">
        <f>VLOOKUP(A18, 'Env. stresses'!A:C, 3, FALSE)</f>
        <v>0</v>
      </c>
      <c r="H18" s="28">
        <f>VLOOKUP(A18, 'Env. stresses'!A:D, 4, FALSE)</f>
        <v>10620000000</v>
      </c>
      <c r="I18" s="11">
        <v>28</v>
      </c>
      <c r="J18" s="146">
        <f t="shared" si="1"/>
        <v>3.12</v>
      </c>
      <c r="K18" s="146">
        <v>3.12</v>
      </c>
      <c r="L18" s="11">
        <v>0</v>
      </c>
      <c r="M18" s="11" t="s">
        <v>427</v>
      </c>
      <c r="N18" s="11" t="s">
        <v>476</v>
      </c>
      <c r="O18" s="11" t="s">
        <v>477</v>
      </c>
      <c r="P18" s="11" t="s">
        <v>124</v>
      </c>
      <c r="Q18" s="11" t="s">
        <v>478</v>
      </c>
      <c r="R18" s="11" t="s">
        <v>479</v>
      </c>
      <c r="S18" s="11"/>
    </row>
    <row r="19" spans="1:19" ht="20" customHeight="1" x14ac:dyDescent="0.2">
      <c r="A19" s="16" t="s">
        <v>87</v>
      </c>
      <c r="B19" s="11" t="s">
        <v>120</v>
      </c>
      <c r="C19" s="11" t="s">
        <v>464</v>
      </c>
      <c r="D19" s="28">
        <f t="shared" si="0"/>
        <v>3.7755426442963807E-5</v>
      </c>
      <c r="E19" s="143">
        <f>2*(1.5*1.5+2*1.5*0.005)/(1.5*1.5*0.005)</f>
        <v>402.66666666666669</v>
      </c>
      <c r="F19" s="31">
        <f>VLOOKUP(A19, 'Env. stresses'!A:B, 2, FALSE)</f>
        <v>0</v>
      </c>
      <c r="G19" s="140">
        <f>VLOOKUP(A19, 'Env. stresses'!A:C, 3, FALSE)</f>
        <v>1.9985948912205954E-3</v>
      </c>
      <c r="H19" s="28">
        <f>VLOOKUP(A19, 'Env. stresses'!A:D, 4, FALSE)</f>
        <v>4000000</v>
      </c>
      <c r="I19" s="11">
        <v>360</v>
      </c>
      <c r="J19" s="146">
        <f t="shared" si="1"/>
        <v>1.35</v>
      </c>
      <c r="K19" s="146">
        <v>1.35</v>
      </c>
      <c r="L19" s="11">
        <v>0</v>
      </c>
      <c r="M19" s="11" t="s">
        <v>186</v>
      </c>
      <c r="N19" s="11" t="s">
        <v>764</v>
      </c>
      <c r="O19" s="11" t="s">
        <v>80</v>
      </c>
      <c r="P19" s="11" t="s">
        <v>124</v>
      </c>
      <c r="Q19" s="11" t="s">
        <v>767</v>
      </c>
      <c r="R19" s="11"/>
      <c r="S19" s="11"/>
    </row>
    <row r="20" spans="1:19" s="16" customFormat="1" ht="20" customHeight="1" x14ac:dyDescent="0.2">
      <c r="A20" s="16" t="s">
        <v>247</v>
      </c>
      <c r="B20" s="4" t="s">
        <v>2</v>
      </c>
      <c r="C20" s="4" t="s">
        <v>480</v>
      </c>
      <c r="D20" s="28">
        <f t="shared" si="0"/>
        <v>7.6175080293620445E-4</v>
      </c>
      <c r="E20" s="31">
        <v>44</v>
      </c>
      <c r="F20" s="31">
        <f>VLOOKUP(A20, 'Env. stresses'!A:B, 2, FALSE)</f>
        <v>14</v>
      </c>
      <c r="G20" s="31">
        <f>VLOOKUP(A20, 'Env. stresses'!A:C, 3, FALSE)</f>
        <v>0</v>
      </c>
      <c r="H20" s="28">
        <f>VLOOKUP(A20, 'Env. stresses'!A:D, 4, FALSE)</f>
        <v>72</v>
      </c>
      <c r="I20" s="11">
        <v>54</v>
      </c>
      <c r="J20" s="11">
        <f t="shared" si="1"/>
        <v>4.03</v>
      </c>
      <c r="K20" s="4">
        <v>3.45</v>
      </c>
      <c r="L20" s="4">
        <v>-0.57999999999999996</v>
      </c>
      <c r="M20" s="4" t="s">
        <v>433</v>
      </c>
      <c r="N20" s="4" t="s">
        <v>85</v>
      </c>
      <c r="O20" s="4" t="s">
        <v>481</v>
      </c>
      <c r="P20" s="16" t="s">
        <v>86</v>
      </c>
      <c r="Q20" s="4" t="s">
        <v>482</v>
      </c>
      <c r="R20" s="80" t="s">
        <v>483</v>
      </c>
      <c r="S20" s="4" t="s">
        <v>484</v>
      </c>
    </row>
    <row r="21" spans="1:19" s="16" customFormat="1" ht="20" customHeight="1" x14ac:dyDescent="0.2">
      <c r="A21" s="16" t="s">
        <v>248</v>
      </c>
      <c r="B21" s="4" t="s">
        <v>2</v>
      </c>
      <c r="C21" s="4" t="s">
        <v>480</v>
      </c>
      <c r="D21" s="28">
        <f t="shared" si="0"/>
        <v>8.7213456542719069E-5</v>
      </c>
      <c r="E21" s="31">
        <f>6/4*10</f>
        <v>15</v>
      </c>
      <c r="F21" s="31">
        <f>VLOOKUP(A21, 'Env. stresses'!A:B, 2, FALSE)</f>
        <v>1.65</v>
      </c>
      <c r="G21" s="140">
        <f>VLOOKUP(A21, 'Env. stresses'!A:C, 3, FALSE)</f>
        <v>2.5152291643059212E-4</v>
      </c>
      <c r="H21" s="28">
        <f>VLOOKUP(A21, 'Env. stresses'!A:D, 4, FALSE)</f>
        <v>25000</v>
      </c>
      <c r="I21" s="11">
        <v>540</v>
      </c>
      <c r="J21" s="146">
        <f t="shared" si="1"/>
        <v>4.6003490678867571</v>
      </c>
      <c r="K21" s="146">
        <f>(0.0261-0.02483)/0.0261*100-K11</f>
        <v>4.6003490678867571</v>
      </c>
      <c r="L21" s="4">
        <v>0</v>
      </c>
      <c r="M21" s="4" t="s">
        <v>427</v>
      </c>
      <c r="N21" s="4" t="s">
        <v>70</v>
      </c>
      <c r="O21" s="11" t="s">
        <v>485</v>
      </c>
      <c r="P21" s="4" t="s">
        <v>429</v>
      </c>
      <c r="Q21" s="4" t="s">
        <v>71</v>
      </c>
      <c r="R21" s="4" t="s">
        <v>486</v>
      </c>
      <c r="S21" s="4"/>
    </row>
    <row r="22" spans="1:19" ht="20" customHeight="1" x14ac:dyDescent="0.2">
      <c r="A22" s="1" t="s">
        <v>88</v>
      </c>
      <c r="B22" s="4" t="s">
        <v>43</v>
      </c>
      <c r="C22" s="4" t="s">
        <v>426</v>
      </c>
      <c r="D22" s="28">
        <f t="shared" si="0"/>
        <v>2.4263500511462424E-9</v>
      </c>
      <c r="E22" s="137">
        <f>2*(5*3+5*0.4+3*0.4)/(5*3*0.4)</f>
        <v>6.0666666666666664</v>
      </c>
      <c r="F22" s="31">
        <f>VLOOKUP(A22, 'Env. stresses'!A:B, 2, FALSE)</f>
        <v>27.5</v>
      </c>
      <c r="G22" s="31">
        <f>VLOOKUP(A22, 'Env. stresses'!A:C, 3, FALSE)</f>
        <v>0</v>
      </c>
      <c r="H22" s="31">
        <f>VLOOKUP(A22, 'Env. stresses'!A:D, 4, FALSE)</f>
        <v>0</v>
      </c>
      <c r="I22" s="11">
        <v>180</v>
      </c>
      <c r="J22" s="12">
        <f t="shared" si="1"/>
        <v>4.3674291382537851E-5</v>
      </c>
      <c r="K22" s="12">
        <f>(PI()*1.6^3/6/10^12*2.6*10^4+PI()*166^3/6/10^21*1.3*10^7)*2*(5*3+5*0.4+3*0.4)/(5*3*0.4)*100</f>
        <v>5.2717768381357466E-5</v>
      </c>
      <c r="L22" s="12">
        <f>(PI()*3^3/6/10^12*8.8*10^2+PI()*201^3/6/10^21*5.8*10^5)*2*(5*3+5*0.4+3*0.4)/(5*3*0.4)*100</f>
        <v>9.0434769988196167E-6</v>
      </c>
      <c r="M22" s="4" t="s">
        <v>433</v>
      </c>
      <c r="N22" s="4" t="s">
        <v>64</v>
      </c>
      <c r="O22" s="4" t="s">
        <v>488</v>
      </c>
      <c r="P22" s="4" t="s">
        <v>65</v>
      </c>
      <c r="Q22" s="4" t="s">
        <v>435</v>
      </c>
      <c r="R22" s="80" t="s">
        <v>489</v>
      </c>
    </row>
    <row r="23" spans="1:19" s="16" customFormat="1" ht="20" customHeight="1" x14ac:dyDescent="0.2">
      <c r="A23" s="16" t="s">
        <v>325</v>
      </c>
      <c r="B23" s="11" t="s">
        <v>43</v>
      </c>
      <c r="C23" s="11" t="s">
        <v>426</v>
      </c>
      <c r="D23" s="28">
        <f t="shared" si="0"/>
        <v>3.7515375346674404E-6</v>
      </c>
      <c r="E23" s="139">
        <f>2*(1*1+2*1*0.05)/(1*1*0.05)</f>
        <v>44</v>
      </c>
      <c r="F23" s="31">
        <f>VLOOKUP(A23, 'Env. stresses'!A:B, 2, FALSE)</f>
        <v>28.08</v>
      </c>
      <c r="G23" s="31">
        <f>VLOOKUP(A23, 'Env. stresses'!A:C, 3, FALSE)</f>
        <v>0</v>
      </c>
      <c r="H23" s="31">
        <f>VLOOKUP(A23, 'Env. stresses'!A:D, 4, FALSE)</f>
        <v>0</v>
      </c>
      <c r="I23" s="11">
        <v>56</v>
      </c>
      <c r="J23" s="12">
        <f t="shared" si="1"/>
        <v>2.1006403540162803E-2</v>
      </c>
      <c r="K23" s="12">
        <f>(PI()*224^3/6/10^21*1.26*10^8*20)/(1*1*0.05)*100</f>
        <v>2.9660141169943876E-2</v>
      </c>
      <c r="L23" s="12">
        <f>(PI()*216^3/6/10^21*0.41*10^8*20)/(1*1*0.05)*100</f>
        <v>8.6537376297810709E-3</v>
      </c>
      <c r="M23" s="4" t="s">
        <v>433</v>
      </c>
      <c r="N23" s="11" t="s">
        <v>92</v>
      </c>
      <c r="O23" s="16" t="s">
        <v>490</v>
      </c>
      <c r="P23" s="11" t="s">
        <v>68</v>
      </c>
      <c r="Q23" s="11" t="s">
        <v>491</v>
      </c>
      <c r="R23" s="81" t="s">
        <v>492</v>
      </c>
      <c r="S23" s="11"/>
    </row>
    <row r="24" spans="1:19" s="16" customFormat="1" ht="20" customHeight="1" x14ac:dyDescent="0.2">
      <c r="A24" s="16" t="s">
        <v>90</v>
      </c>
      <c r="B24" s="11" t="s">
        <v>125</v>
      </c>
      <c r="C24" s="11" t="s">
        <v>426</v>
      </c>
      <c r="D24" s="28">
        <f t="shared" si="0"/>
        <v>7.2541064291061505E-4</v>
      </c>
      <c r="E24" s="143">
        <f>2/0.7*10</f>
        <v>28.571428571428573</v>
      </c>
      <c r="F24" s="31">
        <f>VLOOKUP(A24, 'Env. stresses'!A:B, 2, FALSE)</f>
        <v>60</v>
      </c>
      <c r="G24" s="31">
        <f>VLOOKUP(A24, 'Env. stresses'!A:C, 3, FALSE)</f>
        <v>0</v>
      </c>
      <c r="H24" s="31">
        <f>VLOOKUP(A24, 'Env. stresses'!A:D, 4, FALSE)</f>
        <v>0</v>
      </c>
      <c r="I24" s="145">
        <f>2000/24</f>
        <v>83.333333333333329</v>
      </c>
      <c r="J24" s="11">
        <f t="shared" si="1"/>
        <v>5.8660000000000005</v>
      </c>
      <c r="K24" s="11">
        <v>5.8840000000000003</v>
      </c>
      <c r="L24" s="11">
        <v>1.7999999999999999E-2</v>
      </c>
      <c r="M24" s="4" t="s">
        <v>433</v>
      </c>
      <c r="N24" s="11" t="s">
        <v>327</v>
      </c>
      <c r="O24" s="16" t="s">
        <v>493</v>
      </c>
      <c r="P24" s="11" t="s">
        <v>124</v>
      </c>
      <c r="Q24" s="11" t="s">
        <v>494</v>
      </c>
      <c r="R24" s="81" t="s">
        <v>768</v>
      </c>
      <c r="S24" s="11"/>
    </row>
    <row r="25" spans="1:19" s="16" customFormat="1" ht="20" customHeight="1" x14ac:dyDescent="0.2">
      <c r="A25" s="16" t="s">
        <v>91</v>
      </c>
      <c r="B25" s="11" t="s">
        <v>43</v>
      </c>
      <c r="C25" s="11" t="s">
        <v>442</v>
      </c>
      <c r="D25" s="28">
        <f t="shared" si="0"/>
        <v>7.0246149369644663E-3</v>
      </c>
      <c r="E25" s="31">
        <f>2*(2*2+2*2*0.05)/(2*2*0.05)</f>
        <v>42</v>
      </c>
      <c r="F25" s="31">
        <f>VLOOKUP(A25, 'Env. stresses'!A:B, 2, FALSE)</f>
        <v>0</v>
      </c>
      <c r="G25" s="147">
        <f>VLOOKUP(A25, 'Env. stresses'!A:C, 3, FALSE)</f>
        <v>1.9739208802178717E-2</v>
      </c>
      <c r="H25" s="31">
        <f>VLOOKUP(A25, 'Env. stresses'!A:D, 4, FALSE)</f>
        <v>0</v>
      </c>
      <c r="I25" s="11">
        <v>1</v>
      </c>
      <c r="J25" s="11">
        <f t="shared" si="1"/>
        <v>0.7</v>
      </c>
      <c r="K25" s="11">
        <v>0.7</v>
      </c>
      <c r="L25" s="11">
        <v>0</v>
      </c>
      <c r="M25" s="4" t="s">
        <v>427</v>
      </c>
      <c r="N25" s="11" t="s">
        <v>73</v>
      </c>
      <c r="O25" s="11" t="s">
        <v>448</v>
      </c>
      <c r="P25" s="11" t="s">
        <v>140</v>
      </c>
      <c r="Q25" s="11" t="s">
        <v>449</v>
      </c>
      <c r="R25" s="11" t="s">
        <v>496</v>
      </c>
      <c r="S25" s="14"/>
    </row>
    <row r="26" spans="1:19" s="15" customFormat="1" ht="20" customHeight="1" x14ac:dyDescent="0.2">
      <c r="A26" s="16" t="s">
        <v>93</v>
      </c>
      <c r="B26" s="11" t="s">
        <v>43</v>
      </c>
      <c r="C26" s="11" t="s">
        <v>442</v>
      </c>
      <c r="D26" s="28">
        <f t="shared" si="0"/>
        <v>2.2744084493751788E-4</v>
      </c>
      <c r="E26" s="143">
        <f>2*(1*1+2*1*0.003)/(1*1*0.003)</f>
        <v>670.66666666666663</v>
      </c>
      <c r="F26" s="31">
        <f>VLOOKUP(A26, 'Env. stresses'!A:B, 2, FALSE)</f>
        <v>0</v>
      </c>
      <c r="G26" s="140">
        <f>VLOOKUP(A26, 'Env. stresses'!A:C, 3, FALSE)</f>
        <v>1.4036770703771534E-3</v>
      </c>
      <c r="H26" s="31">
        <f>VLOOKUP(A26, 'Env. stresses'!A:D, 4, FALSE)</f>
        <v>0</v>
      </c>
      <c r="I26" s="11">
        <v>30</v>
      </c>
      <c r="J26" s="11">
        <f t="shared" si="1"/>
        <v>0.68</v>
      </c>
      <c r="K26" s="11">
        <v>0.68</v>
      </c>
      <c r="L26" s="11">
        <v>0</v>
      </c>
      <c r="M26" s="4" t="s">
        <v>427</v>
      </c>
      <c r="N26" s="11" t="s">
        <v>94</v>
      </c>
      <c r="O26" s="16" t="s">
        <v>487</v>
      </c>
      <c r="P26" s="11" t="s">
        <v>124</v>
      </c>
      <c r="Q26" s="11" t="s">
        <v>453</v>
      </c>
      <c r="R26" s="11" t="s">
        <v>497</v>
      </c>
      <c r="S26" s="11"/>
    </row>
    <row r="27" spans="1:19" s="16" customFormat="1" ht="35" customHeight="1" x14ac:dyDescent="0.2">
      <c r="A27" s="16" t="s">
        <v>208</v>
      </c>
      <c r="B27" s="4" t="s">
        <v>43</v>
      </c>
      <c r="C27" s="4" t="s">
        <v>131</v>
      </c>
      <c r="D27" s="28">
        <f t="shared" si="0"/>
        <v>7.9718039328363236E-7</v>
      </c>
      <c r="E27" s="137">
        <f>6/3.5*10</f>
        <v>17.142857142857142</v>
      </c>
      <c r="F27" s="31">
        <f>VLOOKUP(A27, 'Env. stresses'!A:B, 2, FALSE)</f>
        <v>1.65</v>
      </c>
      <c r="G27" s="140">
        <f>VLOOKUP(A27, 'Env. stresses'!A:C, 3, FALSE)</f>
        <v>2.2008255187676813E-4</v>
      </c>
      <c r="H27" s="28">
        <f>VLOOKUP(A27, 'Env. stresses'!A:D, 4, FALSE)</f>
        <v>25000</v>
      </c>
      <c r="I27" s="11">
        <v>540</v>
      </c>
      <c r="J27" s="13">
        <f t="shared" si="1"/>
        <v>4.3038477026582582E-2</v>
      </c>
      <c r="K27" s="13">
        <f>0.00056/(55.2*1.05*1/6*PI()*3.5^3/1000)*100</f>
        <v>4.3038477026582582E-2</v>
      </c>
      <c r="L27" s="4">
        <v>0</v>
      </c>
      <c r="M27" s="4" t="s">
        <v>427</v>
      </c>
      <c r="N27" s="4" t="s">
        <v>70</v>
      </c>
      <c r="O27" s="11" t="s">
        <v>498</v>
      </c>
      <c r="P27" s="4" t="s">
        <v>61</v>
      </c>
      <c r="Q27" s="4" t="s">
        <v>71</v>
      </c>
      <c r="R27" s="80" t="s">
        <v>499</v>
      </c>
      <c r="S27" s="4"/>
    </row>
    <row r="28" spans="1:19" ht="35" customHeight="1" x14ac:dyDescent="0.2">
      <c r="A28" s="1" t="s">
        <v>95</v>
      </c>
      <c r="B28" s="4" t="s">
        <v>43</v>
      </c>
      <c r="C28" s="4" t="s">
        <v>426</v>
      </c>
      <c r="D28" s="28">
        <f t="shared" si="0"/>
        <v>8.4721185352082252E-5</v>
      </c>
      <c r="E28" s="28">
        <f>2*(3.361*3.361+2*3.361*3.361/3)/(3.361*3.361*3.361/3)*10^4</f>
        <v>29753.049687592975</v>
      </c>
      <c r="F28" s="137">
        <f>VLOOKUP(A28, 'Env. stresses'!A:B, 2, FALSE)</f>
        <v>1.7760000000000002</v>
      </c>
      <c r="G28" s="31">
        <f>VLOOKUP(A28, 'Env. stresses'!A:C, 3, FALSE)</f>
        <v>0</v>
      </c>
      <c r="H28" s="31">
        <f>VLOOKUP(A28, 'Env. stresses'!A:D, 4, FALSE)</f>
        <v>0</v>
      </c>
      <c r="I28" s="11">
        <v>365</v>
      </c>
      <c r="J28" s="11">
        <f t="shared" si="1"/>
        <v>3.0449999999999999</v>
      </c>
      <c r="K28" s="4">
        <f>(3.36+3.08)/2</f>
        <v>3.2199999999999998</v>
      </c>
      <c r="L28" s="4">
        <f>(0.06+0.29)/2</f>
        <v>0.17499999999999999</v>
      </c>
      <c r="M28" s="4" t="s">
        <v>433</v>
      </c>
      <c r="N28" s="4" t="s">
        <v>77</v>
      </c>
      <c r="O28" s="11" t="s">
        <v>500</v>
      </c>
      <c r="P28" s="4" t="s">
        <v>96</v>
      </c>
      <c r="Q28" s="4" t="s">
        <v>462</v>
      </c>
      <c r="R28" s="80" t="s">
        <v>501</v>
      </c>
    </row>
    <row r="29" spans="1:19" ht="20" customHeight="1" x14ac:dyDescent="0.2">
      <c r="A29" s="1" t="s">
        <v>97</v>
      </c>
      <c r="B29" s="4" t="s">
        <v>43</v>
      </c>
      <c r="C29" s="4" t="s">
        <v>426</v>
      </c>
      <c r="D29" s="28">
        <f>0.0000097*24</f>
        <v>2.3280000000000002E-4</v>
      </c>
      <c r="E29" s="143">
        <f>2*(8*1.5+8*0.0196+1.5*0.0196)/(8*1.5*0.0196)</f>
        <v>103.62414965986396</v>
      </c>
      <c r="F29" s="31">
        <f>VLOOKUP(A29, 'Env. stresses'!A:B, 2, FALSE)</f>
        <v>27.5</v>
      </c>
      <c r="G29" s="31">
        <f>VLOOKUP(A29, 'Env. stresses'!A:C, 3, FALSE)</f>
        <v>0</v>
      </c>
      <c r="H29" s="31">
        <f>VLOOKUP(A29, 'Env. stresses'!A:D, 4, FALSE)</f>
        <v>0</v>
      </c>
      <c r="I29" s="11">
        <f>9/24</f>
        <v>0.375</v>
      </c>
      <c r="J29" s="12" t="s">
        <v>444</v>
      </c>
      <c r="K29" s="5" t="s">
        <v>444</v>
      </c>
      <c r="L29" s="5" t="s">
        <v>444</v>
      </c>
      <c r="M29" s="4" t="s">
        <v>445</v>
      </c>
      <c r="N29" s="4" t="s">
        <v>98</v>
      </c>
      <c r="O29" s="11" t="s">
        <v>502</v>
      </c>
      <c r="P29" s="4" t="s">
        <v>81</v>
      </c>
      <c r="Q29" s="4" t="s">
        <v>503</v>
      </c>
      <c r="R29" s="4" t="s">
        <v>504</v>
      </c>
    </row>
    <row r="30" spans="1:19" ht="20" customHeight="1" x14ac:dyDescent="0.2">
      <c r="A30" s="1" t="s">
        <v>99</v>
      </c>
      <c r="B30" s="4" t="s">
        <v>43</v>
      </c>
      <c r="C30" s="4" t="s">
        <v>426</v>
      </c>
      <c r="D30" s="28">
        <f>0.000029*24</f>
        <v>6.96E-4</v>
      </c>
      <c r="E30" s="143">
        <f>2*(8*1.5+8*0.0056+1.5*0.0056)/(8*1.5*0.0056)</f>
        <v>358.72619047619048</v>
      </c>
      <c r="F30" s="31">
        <f>VLOOKUP(A30, 'Env. stresses'!A:B, 2, FALSE)</f>
        <v>27.5</v>
      </c>
      <c r="G30" s="31">
        <f>VLOOKUP(A30, 'Env. stresses'!A:C, 3, FALSE)</f>
        <v>0</v>
      </c>
      <c r="H30" s="31">
        <f>VLOOKUP(A30, 'Env. stresses'!A:D, 4, FALSE)</f>
        <v>0</v>
      </c>
      <c r="I30" s="11">
        <f>12/24</f>
        <v>0.5</v>
      </c>
      <c r="J30" s="12" t="s">
        <v>444</v>
      </c>
      <c r="K30" s="5" t="s">
        <v>444</v>
      </c>
      <c r="L30" s="5" t="s">
        <v>444</v>
      </c>
      <c r="M30" s="4" t="s">
        <v>445</v>
      </c>
      <c r="N30" s="4" t="s">
        <v>98</v>
      </c>
      <c r="O30" s="11" t="s">
        <v>505</v>
      </c>
      <c r="P30" s="4" t="s">
        <v>81</v>
      </c>
      <c r="Q30" s="4" t="s">
        <v>506</v>
      </c>
      <c r="R30" s="4" t="s">
        <v>507</v>
      </c>
    </row>
    <row r="31" spans="1:19" ht="20" customHeight="1" x14ac:dyDescent="0.2">
      <c r="A31" s="16" t="s">
        <v>508</v>
      </c>
      <c r="B31" s="11" t="s">
        <v>125</v>
      </c>
      <c r="C31" s="11" t="s">
        <v>464</v>
      </c>
      <c r="D31" s="28">
        <f t="shared" ref="D31:D93" si="2">-LN(1-J31/100)/I31</f>
        <v>1.0841063901853355E-3</v>
      </c>
      <c r="E31" s="143">
        <f>2*(1*1+2*1*0.003)/(1*1*0.003)</f>
        <v>670.66666666666663</v>
      </c>
      <c r="F31" s="31">
        <f>VLOOKUP(A31, 'Env. stresses'!A:B, 2, FALSE)</f>
        <v>0</v>
      </c>
      <c r="G31" s="140">
        <f>VLOOKUP(A31, 'Env. stresses'!A:C, 3, FALSE)</f>
        <v>1.4036770703771534E-3</v>
      </c>
      <c r="H31" s="28">
        <f>VLOOKUP(A31, 'Env. stresses'!A:D, 4, FALSE)</f>
        <v>159300000</v>
      </c>
      <c r="I31" s="11">
        <v>30</v>
      </c>
      <c r="J31" s="11">
        <f t="shared" ref="J31:J47" si="3">K31-L31</f>
        <v>3.2</v>
      </c>
      <c r="K31" s="11">
        <f>(4.5+1.9)/2</f>
        <v>3.2</v>
      </c>
      <c r="L31" s="11">
        <v>0</v>
      </c>
      <c r="M31" s="4" t="s">
        <v>427</v>
      </c>
      <c r="N31" s="11" t="s">
        <v>94</v>
      </c>
      <c r="O31" s="16" t="s">
        <v>487</v>
      </c>
      <c r="P31" s="11" t="s">
        <v>124</v>
      </c>
      <c r="Q31" s="11" t="s">
        <v>453</v>
      </c>
      <c r="R31" s="11" t="s">
        <v>509</v>
      </c>
      <c r="S31" s="11"/>
    </row>
    <row r="32" spans="1:19" s="16" customFormat="1" ht="20" customHeight="1" x14ac:dyDescent="0.2">
      <c r="A32" s="16" t="s">
        <v>148</v>
      </c>
      <c r="B32" s="4" t="s">
        <v>43</v>
      </c>
      <c r="C32" s="4" t="s">
        <v>464</v>
      </c>
      <c r="D32" s="28">
        <f t="shared" si="2"/>
        <v>1.3607331506751722E-3</v>
      </c>
      <c r="E32" s="139">
        <f>2*(4*4+2*4*0.5)/(4*4*0.5)*10</f>
        <v>50</v>
      </c>
      <c r="F32" s="31">
        <f>VLOOKUP(A32, 'Env. stresses'!A:B, 2, FALSE)</f>
        <v>0</v>
      </c>
      <c r="G32" s="140">
        <f>VLOOKUP(A32, 'Env. stresses'!A:C, 3, FALSE)</f>
        <v>1.6170359850744802E-4</v>
      </c>
      <c r="H32" s="28">
        <f>VLOOKUP(A32, 'Env. stresses'!A:D, 4, FALSE)</f>
        <v>980580000.00000012</v>
      </c>
      <c r="I32" s="11">
        <v>30</v>
      </c>
      <c r="J32" s="145">
        <f t="shared" si="3"/>
        <v>4</v>
      </c>
      <c r="K32" s="145">
        <v>4</v>
      </c>
      <c r="L32" s="145">
        <v>0</v>
      </c>
      <c r="M32" s="4" t="s">
        <v>433</v>
      </c>
      <c r="N32" s="11" t="s">
        <v>136</v>
      </c>
      <c r="O32" s="16" t="s">
        <v>510</v>
      </c>
      <c r="P32" s="11" t="s">
        <v>140</v>
      </c>
      <c r="Q32" s="11" t="s">
        <v>453</v>
      </c>
      <c r="R32" s="11" t="s">
        <v>511</v>
      </c>
      <c r="S32" s="11"/>
    </row>
    <row r="33" spans="1:19" s="16" customFormat="1" ht="20" customHeight="1" x14ac:dyDescent="0.2">
      <c r="A33" s="16" t="s">
        <v>141</v>
      </c>
      <c r="B33" s="4" t="s">
        <v>43</v>
      </c>
      <c r="C33" s="4" t="s">
        <v>464</v>
      </c>
      <c r="D33" s="28">
        <f t="shared" si="2"/>
        <v>7.4152029824399121E-4</v>
      </c>
      <c r="E33" s="139">
        <f>2*(4*4+2*4*0.5)/(4*4*0.5)*10</f>
        <v>50</v>
      </c>
      <c r="F33" s="31">
        <f>VLOOKUP(A33, 'Env. stresses'!A:B, 2, FALSE)</f>
        <v>0</v>
      </c>
      <c r="G33" s="140">
        <f>VLOOKUP(A33, 'Env. stresses'!A:C, 3, FALSE)</f>
        <v>1.6170359850744802E-4</v>
      </c>
      <c r="H33" s="28">
        <f>VLOOKUP(A33, 'Env. stresses'!A:D, 4, FALSE)</f>
        <v>646050000</v>
      </c>
      <c r="I33" s="11">
        <v>30</v>
      </c>
      <c r="J33" s="145">
        <f t="shared" si="3"/>
        <v>2.2000000000000002</v>
      </c>
      <c r="K33" s="145">
        <v>2.2000000000000002</v>
      </c>
      <c r="L33" s="145">
        <v>0</v>
      </c>
      <c r="M33" s="4" t="s">
        <v>433</v>
      </c>
      <c r="N33" s="11" t="s">
        <v>136</v>
      </c>
      <c r="O33" s="16" t="s">
        <v>510</v>
      </c>
      <c r="P33" s="11" t="s">
        <v>140</v>
      </c>
      <c r="Q33" s="11" t="s">
        <v>453</v>
      </c>
      <c r="R33" s="11" t="s">
        <v>511</v>
      </c>
      <c r="S33" s="11"/>
    </row>
    <row r="34" spans="1:19" s="16" customFormat="1" ht="20" customHeight="1" x14ac:dyDescent="0.2">
      <c r="A34" s="16" t="s">
        <v>142</v>
      </c>
      <c r="B34" s="11" t="s">
        <v>125</v>
      </c>
      <c r="C34" s="11" t="s">
        <v>464</v>
      </c>
      <c r="D34" s="28">
        <f t="shared" si="2"/>
        <v>2.7793869646350338E-3</v>
      </c>
      <c r="E34" s="139">
        <f>2*(4*4+2*4*0.5)/(4*4*0.5)*10</f>
        <v>50</v>
      </c>
      <c r="F34" s="31">
        <f>VLOOKUP(A34, 'Env. stresses'!A:B, 2, FALSE)</f>
        <v>0</v>
      </c>
      <c r="G34" s="140">
        <f>VLOOKUP(A34, 'Env. stresses'!A:C, 3, FALSE)</f>
        <v>1.6170359850744802E-4</v>
      </c>
      <c r="H34" s="28">
        <f>VLOOKUP(A34, 'Env. stresses'!A:D, 4, FALSE)</f>
        <v>1734600000</v>
      </c>
      <c r="I34" s="11">
        <v>30</v>
      </c>
      <c r="J34" s="145">
        <f t="shared" si="3"/>
        <v>8</v>
      </c>
      <c r="K34" s="145">
        <v>8</v>
      </c>
      <c r="L34" s="145">
        <v>0</v>
      </c>
      <c r="M34" s="4" t="s">
        <v>433</v>
      </c>
      <c r="N34" s="11" t="s">
        <v>136</v>
      </c>
      <c r="O34" s="16" t="s">
        <v>510</v>
      </c>
      <c r="P34" s="11" t="s">
        <v>140</v>
      </c>
      <c r="Q34" s="11" t="s">
        <v>453</v>
      </c>
      <c r="R34" s="11" t="s">
        <v>511</v>
      </c>
      <c r="S34" s="11"/>
    </row>
    <row r="35" spans="1:19" s="16" customFormat="1" ht="35" customHeight="1" x14ac:dyDescent="0.2">
      <c r="A35" s="16" t="s">
        <v>143</v>
      </c>
      <c r="B35" s="11" t="s">
        <v>125</v>
      </c>
      <c r="C35" s="11" t="s">
        <v>464</v>
      </c>
      <c r="D35" s="28">
        <f t="shared" si="2"/>
        <v>1.7069710188323622E-3</v>
      </c>
      <c r="E35" s="139">
        <f>6/200*10^4</f>
        <v>300</v>
      </c>
      <c r="F35" s="31">
        <f>VLOOKUP(A35, 'Env. stresses'!A:B, 2, FALSE)</f>
        <v>0</v>
      </c>
      <c r="G35" s="148">
        <f>VLOOKUP(A35, 'Env. stresses'!A:C, 3, FALSE)</f>
        <v>4.6509415020449733E-5</v>
      </c>
      <c r="H35" s="28">
        <f>VLOOKUP(A35, 'Env. stresses'!A:D, 4, FALSE)</f>
        <v>1486800000</v>
      </c>
      <c r="I35" s="11">
        <v>40</v>
      </c>
      <c r="J35" s="145">
        <f t="shared" si="3"/>
        <v>6.6</v>
      </c>
      <c r="K35" s="145">
        <f>(7.4+5.8)/2</f>
        <v>6.6</v>
      </c>
      <c r="L35" s="145">
        <v>0</v>
      </c>
      <c r="M35" s="11" t="s">
        <v>433</v>
      </c>
      <c r="N35" s="11" t="s">
        <v>147</v>
      </c>
      <c r="O35" s="11" t="s">
        <v>468</v>
      </c>
      <c r="P35" s="11" t="s">
        <v>429</v>
      </c>
      <c r="Q35" s="11" t="s">
        <v>466</v>
      </c>
      <c r="R35" s="81" t="s">
        <v>512</v>
      </c>
      <c r="S35" s="11"/>
    </row>
    <row r="36" spans="1:19" s="16" customFormat="1" ht="20" customHeight="1" x14ac:dyDescent="0.2">
      <c r="A36" s="1" t="s">
        <v>513</v>
      </c>
      <c r="B36" s="4" t="s">
        <v>43</v>
      </c>
      <c r="C36" s="4" t="s">
        <v>480</v>
      </c>
      <c r="D36" s="28">
        <f t="shared" si="2"/>
        <v>1.871511500468019E-5</v>
      </c>
      <c r="E36" s="137">
        <f>6/3.5*10</f>
        <v>17.142857142857142</v>
      </c>
      <c r="F36" s="31">
        <f>VLOOKUP(A36, 'Env. stresses'!A:B, 2, FALSE)</f>
        <v>1.65</v>
      </c>
      <c r="G36" s="140">
        <f>VLOOKUP(A36, 'Env. stresses'!A:C, 3, FALSE)</f>
        <v>2.2008255187676813E-4</v>
      </c>
      <c r="H36" s="28">
        <f>VLOOKUP(A36, 'Env. stresses'!A:D, 4, FALSE)</f>
        <v>25000</v>
      </c>
      <c r="I36" s="11">
        <v>540</v>
      </c>
      <c r="J36" s="146">
        <f t="shared" si="3"/>
        <v>1.0055266443862163</v>
      </c>
      <c r="K36" s="146">
        <f>(0.01812-0.01793)/0.01812*100-K27</f>
        <v>1.0055266443862163</v>
      </c>
      <c r="L36" s="4">
        <v>0</v>
      </c>
      <c r="M36" s="4" t="s">
        <v>427</v>
      </c>
      <c r="N36" s="4" t="s">
        <v>70</v>
      </c>
      <c r="O36" s="11" t="s">
        <v>514</v>
      </c>
      <c r="P36" s="4" t="s">
        <v>429</v>
      </c>
      <c r="Q36" s="4" t="s">
        <v>71</v>
      </c>
      <c r="R36" s="11" t="s">
        <v>515</v>
      </c>
      <c r="S36" s="4"/>
    </row>
    <row r="37" spans="1:19" s="16" customFormat="1" ht="20" customHeight="1" x14ac:dyDescent="0.2">
      <c r="A37" s="16" t="s">
        <v>341</v>
      </c>
      <c r="B37" s="11" t="s">
        <v>46</v>
      </c>
      <c r="C37" s="11" t="s">
        <v>426</v>
      </c>
      <c r="D37" s="28">
        <f t="shared" si="2"/>
        <v>1.1379806792215748E-3</v>
      </c>
      <c r="E37" s="137">
        <f>6/((6*22/PI())^(1/3))*10</f>
        <v>17.25877224185248</v>
      </c>
      <c r="F37" s="31">
        <f>VLOOKUP(A37, 'Env. stresses'!A:B, 2, FALSE)</f>
        <v>11.169999999999998</v>
      </c>
      <c r="G37" s="31">
        <f>VLOOKUP(A37, 'Env. stresses'!A:C, 3, FALSE)</f>
        <v>0</v>
      </c>
      <c r="H37" s="31">
        <f>VLOOKUP(A37, 'Env. stresses'!A:D, 4, FALSE)</f>
        <v>0</v>
      </c>
      <c r="I37" s="11">
        <v>60</v>
      </c>
      <c r="J37" s="11">
        <f t="shared" si="3"/>
        <v>6.6</v>
      </c>
      <c r="K37" s="11">
        <f>12-5.4</f>
        <v>6.6</v>
      </c>
      <c r="L37" s="11">
        <v>0</v>
      </c>
      <c r="M37" s="4" t="s">
        <v>427</v>
      </c>
      <c r="N37" s="11" t="s">
        <v>60</v>
      </c>
      <c r="O37" s="11" t="s">
        <v>516</v>
      </c>
      <c r="P37" s="4" t="s">
        <v>429</v>
      </c>
      <c r="Q37" s="11" t="s">
        <v>443</v>
      </c>
      <c r="R37" s="11" t="s">
        <v>517</v>
      </c>
      <c r="S37" s="11"/>
    </row>
    <row r="38" spans="1:19" s="16" customFormat="1" ht="20" customHeight="1" x14ac:dyDescent="0.2">
      <c r="A38" s="16" t="s">
        <v>343</v>
      </c>
      <c r="B38" s="11" t="s">
        <v>46</v>
      </c>
      <c r="C38" s="11" t="s">
        <v>426</v>
      </c>
      <c r="D38" s="28">
        <f t="shared" si="2"/>
        <v>2.1217947361564719E-4</v>
      </c>
      <c r="E38" s="137">
        <f>2*(3*3+2*3*2.5)/(3*3*2.5)</f>
        <v>2.1333333333333333</v>
      </c>
      <c r="F38" s="137">
        <f>VLOOKUP(A38, 'Env. stresses'!A:B, 2, FALSE)</f>
        <v>9.625</v>
      </c>
      <c r="G38" s="31">
        <f>VLOOKUP(A38, 'Env. stresses'!A:C, 3, FALSE)</f>
        <v>0</v>
      </c>
      <c r="H38" s="31">
        <f>VLOOKUP(A38, 'Env. stresses'!A:D, 4, FALSE)</f>
        <v>0</v>
      </c>
      <c r="I38" s="11">
        <v>371</v>
      </c>
      <c r="J38" s="11">
        <f t="shared" si="3"/>
        <v>7.57</v>
      </c>
      <c r="K38" s="11">
        <v>7.57</v>
      </c>
      <c r="L38" s="11">
        <v>0</v>
      </c>
      <c r="M38" s="4" t="s">
        <v>427</v>
      </c>
      <c r="N38" s="11" t="s">
        <v>102</v>
      </c>
      <c r="O38" s="11" t="s">
        <v>518</v>
      </c>
      <c r="P38" s="11" t="s">
        <v>65</v>
      </c>
      <c r="Q38" s="11" t="s">
        <v>519</v>
      </c>
      <c r="R38" s="11"/>
      <c r="S38" s="11"/>
    </row>
    <row r="39" spans="1:19" s="16" customFormat="1" ht="20" customHeight="1" x14ac:dyDescent="0.2">
      <c r="A39" s="16" t="s">
        <v>345</v>
      </c>
      <c r="B39" s="11" t="s">
        <v>46</v>
      </c>
      <c r="C39" s="11" t="s">
        <v>442</v>
      </c>
      <c r="D39" s="28">
        <f t="shared" si="2"/>
        <v>9.2521183217098046E-4</v>
      </c>
      <c r="E39" s="137">
        <f>6/((6*22/PI())^(1/3))*10</f>
        <v>17.25877224185248</v>
      </c>
      <c r="F39" s="31">
        <f>VLOOKUP(A39, 'Env. stresses'!A:B, 2, FALSE)</f>
        <v>0</v>
      </c>
      <c r="G39" s="147">
        <f>VLOOKUP(A39, 'Env. stresses'!A:C, 3, FALSE)</f>
        <v>3.0626036518612055E-2</v>
      </c>
      <c r="H39" s="31">
        <f>VLOOKUP(A39, 'Env. stresses'!A:D, 4, FALSE)</f>
        <v>0</v>
      </c>
      <c r="I39" s="11">
        <v>60</v>
      </c>
      <c r="J39" s="11">
        <f t="shared" si="3"/>
        <v>5.4</v>
      </c>
      <c r="K39" s="11">
        <v>5.4</v>
      </c>
      <c r="L39" s="11">
        <v>0</v>
      </c>
      <c r="M39" s="4" t="s">
        <v>427</v>
      </c>
      <c r="N39" s="11" t="s">
        <v>60</v>
      </c>
      <c r="O39" s="11" t="s">
        <v>516</v>
      </c>
      <c r="P39" s="4" t="s">
        <v>429</v>
      </c>
      <c r="Q39" s="11" t="s">
        <v>443</v>
      </c>
      <c r="R39" s="11" t="s">
        <v>517</v>
      </c>
      <c r="S39" s="11"/>
    </row>
    <row r="40" spans="1:19" s="16" customFormat="1" ht="20" customHeight="1" x14ac:dyDescent="0.2">
      <c r="A40" s="16" t="s">
        <v>103</v>
      </c>
      <c r="B40" s="11" t="s">
        <v>46</v>
      </c>
      <c r="C40" s="11" t="s">
        <v>442</v>
      </c>
      <c r="D40" s="28">
        <f t="shared" si="2"/>
        <v>6.1875403718087529E-2</v>
      </c>
      <c r="E40" s="31">
        <f>6/2</f>
        <v>3</v>
      </c>
      <c r="F40" s="31">
        <f>VLOOKUP(A40, 'Env. stresses'!A:B, 2, FALSE)</f>
        <v>0</v>
      </c>
      <c r="G40" s="147">
        <f>VLOOKUP(A40, 'Env. stresses'!A:C, 3, FALSE)</f>
        <v>5.9217626406536147E-2</v>
      </c>
      <c r="H40" s="31">
        <f>VLOOKUP(A40, 'Env. stresses'!A:D, 4, FALSE)</f>
        <v>0</v>
      </c>
      <c r="I40" s="11">
        <v>1</v>
      </c>
      <c r="J40" s="11">
        <f t="shared" si="3"/>
        <v>6</v>
      </c>
      <c r="K40" s="11">
        <v>6</v>
      </c>
      <c r="L40" s="11">
        <v>0</v>
      </c>
      <c r="M40" s="11" t="s">
        <v>427</v>
      </c>
      <c r="N40" s="16" t="s">
        <v>73</v>
      </c>
      <c r="O40" s="16" t="s">
        <v>520</v>
      </c>
      <c r="P40" s="11" t="s">
        <v>65</v>
      </c>
      <c r="Q40" s="11" t="s">
        <v>449</v>
      </c>
      <c r="R40" s="11"/>
      <c r="S40" s="11" t="s">
        <v>521</v>
      </c>
    </row>
    <row r="41" spans="1:19" s="16" customFormat="1" ht="20" customHeight="1" x14ac:dyDescent="0.2">
      <c r="A41" s="16" t="s">
        <v>645</v>
      </c>
      <c r="B41" s="11" t="s">
        <v>126</v>
      </c>
      <c r="C41" s="11" t="s">
        <v>442</v>
      </c>
      <c r="D41" s="28">
        <f t="shared" si="2"/>
        <v>3.3301397402088379E-6</v>
      </c>
      <c r="E41" s="139">
        <f>2*(4*4+2*4*1)/(4*4*1)*10</f>
        <v>30</v>
      </c>
      <c r="F41" s="31">
        <f>VLOOKUP(A41, 'Env. stresses'!A:B, 2, FALSE)</f>
        <v>0</v>
      </c>
      <c r="G41" s="140">
        <f>VLOOKUP(A41, 'Env. stresses'!A:C, 3, FALSE)</f>
        <v>1.1229416563017226E-4</v>
      </c>
      <c r="H41" s="31">
        <f>VLOOKUP(A41, 'Env. stresses'!A:D, 4, FALSE)</f>
        <v>0</v>
      </c>
      <c r="I41" s="11">
        <v>30</v>
      </c>
      <c r="J41" s="13">
        <f t="shared" si="3"/>
        <v>9.9899201948653402E-3</v>
      </c>
      <c r="K41" s="13">
        <f>(PI()*1.42476^3/6/10^12)*42.22*10^6*0.025/(4*4*1*10^-3)*100</f>
        <v>9.9899201948653402E-3</v>
      </c>
      <c r="L41" s="11">
        <v>0</v>
      </c>
      <c r="M41" s="11" t="s">
        <v>427</v>
      </c>
      <c r="N41" s="11" t="s">
        <v>298</v>
      </c>
      <c r="O41" s="16" t="s">
        <v>522</v>
      </c>
      <c r="P41" s="11" t="s">
        <v>452</v>
      </c>
      <c r="Q41" s="11" t="s">
        <v>453</v>
      </c>
      <c r="R41" s="11" t="s">
        <v>523</v>
      </c>
      <c r="S41" s="11"/>
    </row>
    <row r="42" spans="1:19" s="16" customFormat="1" ht="20" customHeight="1" x14ac:dyDescent="0.2">
      <c r="A42" s="16" t="s">
        <v>348</v>
      </c>
      <c r="B42" s="11" t="s">
        <v>126</v>
      </c>
      <c r="C42" s="11" t="s">
        <v>131</v>
      </c>
      <c r="D42" s="28">
        <f t="shared" si="2"/>
        <v>1.8702716727784515E-5</v>
      </c>
      <c r="E42" s="139">
        <f>2*(4*4+2*4*1)/(4*4*1)*10</f>
        <v>30</v>
      </c>
      <c r="F42" s="31">
        <f>VLOOKUP(A42, 'Env. stresses'!A:B, 2, FALSE)</f>
        <v>4.99</v>
      </c>
      <c r="G42" s="140">
        <f>VLOOKUP(A42, 'Env. stresses'!A:C, 3, FALSE)</f>
        <v>1.1229416563017226E-4</v>
      </c>
      <c r="H42" s="31">
        <f>VLOOKUP(A42, 'Env. stresses'!A:D, 4, FALSE)</f>
        <v>0</v>
      </c>
      <c r="I42" s="11">
        <v>10</v>
      </c>
      <c r="J42" s="141">
        <f t="shared" si="3"/>
        <v>1.8700967878751511E-2</v>
      </c>
      <c r="K42" s="141">
        <f>(PI()*1.23153^3/6/10^12)*122.38*10^6*0.025/(4*4*1*10^-3)*100</f>
        <v>1.8700967878751511E-2</v>
      </c>
      <c r="L42" s="11">
        <v>0</v>
      </c>
      <c r="M42" s="11" t="s">
        <v>427</v>
      </c>
      <c r="N42" s="11" t="s">
        <v>298</v>
      </c>
      <c r="O42" s="16" t="s">
        <v>522</v>
      </c>
      <c r="P42" s="11" t="s">
        <v>452</v>
      </c>
      <c r="Q42" s="11" t="s">
        <v>524</v>
      </c>
      <c r="R42" s="11" t="s">
        <v>525</v>
      </c>
      <c r="S42" s="11"/>
    </row>
    <row r="43" spans="1:19" s="16" customFormat="1" ht="20" customHeight="1" x14ac:dyDescent="0.2">
      <c r="A43" s="16" t="s">
        <v>350</v>
      </c>
      <c r="B43" s="11" t="s">
        <v>46</v>
      </c>
      <c r="C43" s="11" t="s">
        <v>426</v>
      </c>
      <c r="D43" s="28">
        <f t="shared" si="2"/>
        <v>7.4381183771403247E-3</v>
      </c>
      <c r="E43" s="137">
        <f>6/((6*22/PI())^(1/3))*10</f>
        <v>17.25877224185248</v>
      </c>
      <c r="F43" s="31">
        <f>VLOOKUP(A43, 'Env. stresses'!A:B, 2, FALSE)</f>
        <v>11.169999999999998</v>
      </c>
      <c r="G43" s="31">
        <f>VLOOKUP(A43, 'Env. stresses'!A:C, 3, FALSE)</f>
        <v>0</v>
      </c>
      <c r="H43" s="31">
        <f>VLOOKUP(A43, 'Env. stresses'!A:D, 4, FALSE)</f>
        <v>0</v>
      </c>
      <c r="I43" s="11">
        <v>60</v>
      </c>
      <c r="J43" s="11">
        <f t="shared" si="3"/>
        <v>36</v>
      </c>
      <c r="K43" s="11">
        <f>53-17</f>
        <v>36</v>
      </c>
      <c r="L43" s="11">
        <v>0</v>
      </c>
      <c r="M43" s="4" t="s">
        <v>427</v>
      </c>
      <c r="N43" s="11" t="s">
        <v>60</v>
      </c>
      <c r="O43" s="11" t="s">
        <v>516</v>
      </c>
      <c r="P43" s="4" t="s">
        <v>429</v>
      </c>
      <c r="Q43" s="11" t="s">
        <v>443</v>
      </c>
      <c r="R43" s="11" t="s">
        <v>526</v>
      </c>
      <c r="S43" s="11"/>
    </row>
    <row r="44" spans="1:19" s="16" customFormat="1" ht="20" customHeight="1" x14ac:dyDescent="0.2">
      <c r="A44" s="16" t="s">
        <v>351</v>
      </c>
      <c r="B44" s="11" t="s">
        <v>46</v>
      </c>
      <c r="C44" s="11" t="s">
        <v>426</v>
      </c>
      <c r="D44" s="28">
        <f t="shared" si="2"/>
        <v>2.8069822032653747E-4</v>
      </c>
      <c r="E44" s="137">
        <f>2*(3*3+2*3*2.5)/(3*3*2.5)</f>
        <v>2.1333333333333333</v>
      </c>
      <c r="F44" s="137">
        <f>VLOOKUP(A44, 'Env. stresses'!A:B, 2, FALSE)</f>
        <v>9.625</v>
      </c>
      <c r="G44" s="31">
        <f>VLOOKUP(A44, 'Env. stresses'!A:C, 3, FALSE)</f>
        <v>0</v>
      </c>
      <c r="H44" s="31">
        <f>VLOOKUP(A44, 'Env. stresses'!A:D, 4, FALSE)</f>
        <v>0</v>
      </c>
      <c r="I44" s="11">
        <v>371</v>
      </c>
      <c r="J44" s="11">
        <f t="shared" si="3"/>
        <v>9.89</v>
      </c>
      <c r="K44" s="11">
        <v>9.89</v>
      </c>
      <c r="L44" s="11">
        <v>0</v>
      </c>
      <c r="M44" s="4" t="s">
        <v>427</v>
      </c>
      <c r="N44" s="11" t="s">
        <v>102</v>
      </c>
      <c r="O44" s="11" t="s">
        <v>518</v>
      </c>
      <c r="P44" s="11" t="s">
        <v>65</v>
      </c>
      <c r="Q44" s="11" t="s">
        <v>519</v>
      </c>
      <c r="R44" s="11"/>
      <c r="S44" s="11"/>
    </row>
    <row r="45" spans="1:19" s="16" customFormat="1" ht="20" customHeight="1" x14ac:dyDescent="0.2">
      <c r="A45" s="16" t="s">
        <v>104</v>
      </c>
      <c r="B45" s="11" t="s">
        <v>46</v>
      </c>
      <c r="C45" s="11" t="s">
        <v>480</v>
      </c>
      <c r="D45" s="28">
        <f t="shared" si="2"/>
        <v>1.349876398524534E-3</v>
      </c>
      <c r="E45" s="31">
        <v>12</v>
      </c>
      <c r="F45" s="31">
        <f>VLOOKUP(A45, 'Env. stresses'!A:B, 2, FALSE)</f>
        <v>14</v>
      </c>
      <c r="G45" s="31">
        <f>VLOOKUP(A45, 'Env. stresses'!A:C, 3, FALSE)</f>
        <v>0</v>
      </c>
      <c r="H45" s="28">
        <f>VLOOKUP(A45, 'Env. stresses'!A:D, 4, FALSE)</f>
        <v>40</v>
      </c>
      <c r="I45" s="11">
        <v>54</v>
      </c>
      <c r="J45" s="11">
        <f t="shared" si="3"/>
        <v>7.03</v>
      </c>
      <c r="K45" s="146">
        <v>5.4</v>
      </c>
      <c r="L45" s="11">
        <v>-1.63</v>
      </c>
      <c r="M45" s="4" t="s">
        <v>433</v>
      </c>
      <c r="N45" s="11" t="s">
        <v>85</v>
      </c>
      <c r="O45" s="11" t="s">
        <v>527</v>
      </c>
      <c r="P45" s="11" t="s">
        <v>528</v>
      </c>
      <c r="Q45" s="11" t="s">
        <v>529</v>
      </c>
      <c r="R45" s="80" t="s">
        <v>483</v>
      </c>
      <c r="S45" s="11"/>
    </row>
    <row r="46" spans="1:19" s="16" customFormat="1" ht="35" customHeight="1" x14ac:dyDescent="0.2">
      <c r="A46" s="16" t="s">
        <v>353</v>
      </c>
      <c r="B46" s="11" t="s">
        <v>138</v>
      </c>
      <c r="C46" s="11" t="s">
        <v>131</v>
      </c>
      <c r="D46" s="28">
        <f t="shared" si="2"/>
        <v>9.7504157056353695E-8</v>
      </c>
      <c r="E46" s="137">
        <f>6/3.25*10</f>
        <v>18.461538461538463</v>
      </c>
      <c r="F46" s="31">
        <f>VLOOKUP(A46, 'Env. stresses'!A:B, 2, FALSE)</f>
        <v>1.65</v>
      </c>
      <c r="G46" s="140">
        <f>VLOOKUP(A46, 'Env. stresses'!A:C, 3, FALSE)</f>
        <v>2.043623695998561E-4</v>
      </c>
      <c r="H46" s="28">
        <f>VLOOKUP(A46, 'Env. stresses'!A:D, 4, FALSE)</f>
        <v>25000</v>
      </c>
      <c r="I46" s="11">
        <v>540</v>
      </c>
      <c r="J46" s="141">
        <f t="shared" si="3"/>
        <v>5.2650858705302747E-3</v>
      </c>
      <c r="K46" s="141">
        <f>0.00007/(55.2*1.34*1/6*PI()*3.25^3/1000)*100</f>
        <v>5.2650858705302747E-3</v>
      </c>
      <c r="L46" s="11">
        <v>0</v>
      </c>
      <c r="M46" s="4" t="s">
        <v>427</v>
      </c>
      <c r="N46" s="149" t="s">
        <v>70</v>
      </c>
      <c r="O46" s="11" t="s">
        <v>530</v>
      </c>
      <c r="P46" s="4" t="s">
        <v>429</v>
      </c>
      <c r="Q46" s="11" t="s">
        <v>531</v>
      </c>
      <c r="R46" s="80" t="s">
        <v>532</v>
      </c>
      <c r="S46" s="11"/>
    </row>
    <row r="47" spans="1:19" s="16" customFormat="1" ht="35" customHeight="1" x14ac:dyDescent="0.2">
      <c r="A47" s="16" t="s">
        <v>188</v>
      </c>
      <c r="B47" s="11" t="s">
        <v>138</v>
      </c>
      <c r="C47" s="11" t="s">
        <v>426</v>
      </c>
      <c r="D47" s="28">
        <f t="shared" si="2"/>
        <v>3.1550838249993155E-5</v>
      </c>
      <c r="E47" s="28">
        <f>2*(3.525*3.525+2*3.525*3.525/3)/(3.525*3.525*3.525/3)*10^4</f>
        <v>28368.794326241135</v>
      </c>
      <c r="F47" s="137">
        <f>VLOOKUP(A47, 'Env. stresses'!A:B, 2, FALSE)</f>
        <v>1.7760000000000002</v>
      </c>
      <c r="G47" s="31">
        <f>VLOOKUP(A47, 'Env. stresses'!A:C, 3, FALSE)</f>
        <v>0</v>
      </c>
      <c r="H47" s="31">
        <f>VLOOKUP(A47, 'Env. stresses'!A:D, 4, FALSE)</f>
        <v>0</v>
      </c>
      <c r="I47" s="11">
        <v>365</v>
      </c>
      <c r="J47" s="11">
        <f t="shared" si="3"/>
        <v>1.145</v>
      </c>
      <c r="K47" s="11">
        <f>(1.58+1.51)/2</f>
        <v>1.5449999999999999</v>
      </c>
      <c r="L47" s="11">
        <f>(0.04+0.76)/2</f>
        <v>0.4</v>
      </c>
      <c r="M47" s="4" t="s">
        <v>433</v>
      </c>
      <c r="N47" s="11" t="s">
        <v>356</v>
      </c>
      <c r="O47" s="11" t="s">
        <v>533</v>
      </c>
      <c r="P47" s="11" t="s">
        <v>140</v>
      </c>
      <c r="Q47" s="11" t="s">
        <v>534</v>
      </c>
      <c r="R47" s="80" t="s">
        <v>535</v>
      </c>
      <c r="S47" s="11"/>
    </row>
    <row r="48" spans="1:19" s="16" customFormat="1" ht="35" customHeight="1" x14ac:dyDescent="0.2">
      <c r="A48" s="16" t="s">
        <v>210</v>
      </c>
      <c r="B48" s="11" t="s">
        <v>138</v>
      </c>
      <c r="C48" s="11" t="s">
        <v>426</v>
      </c>
      <c r="D48" s="28">
        <f t="shared" si="2"/>
        <v>6.929113248940192E-3</v>
      </c>
      <c r="E48" s="143">
        <f>(2*PI()*0.005^2+2*PI()*0.005*1.346)/(PI()*0.005^2*1.346)*10</f>
        <v>4014.8588410104012</v>
      </c>
      <c r="F48" s="31">
        <f>VLOOKUP(A48, 'Env. stresses'!A:B, 2, FALSE)</f>
        <v>65</v>
      </c>
      <c r="G48" s="31">
        <f>VLOOKUP(A48, 'Env. stresses'!A:C, 3, FALSE)</f>
        <v>0</v>
      </c>
      <c r="H48" s="31">
        <f>VLOOKUP(A48, 'Env. stresses'!A:D, 4, FALSE)</f>
        <v>0</v>
      </c>
      <c r="I48" s="11">
        <v>291</v>
      </c>
      <c r="J48" s="145">
        <f>((1248-103.2)/1303+(1206-19.07)/1388)/2*100</f>
        <v>86.686238087233846</v>
      </c>
      <c r="K48" s="11" t="s">
        <v>444</v>
      </c>
      <c r="L48" s="11" t="s">
        <v>444</v>
      </c>
      <c r="M48" s="4" t="s">
        <v>445</v>
      </c>
      <c r="N48" s="11" t="s">
        <v>128</v>
      </c>
      <c r="O48" s="16" t="s">
        <v>536</v>
      </c>
      <c r="P48" s="11" t="s">
        <v>130</v>
      </c>
      <c r="Q48" s="11" t="s">
        <v>537</v>
      </c>
      <c r="R48" s="81" t="s">
        <v>538</v>
      </c>
      <c r="S48" s="11"/>
    </row>
    <row r="49" spans="1:19" s="16" customFormat="1" ht="20" customHeight="1" x14ac:dyDescent="0.2">
      <c r="A49" s="16" t="s">
        <v>194</v>
      </c>
      <c r="B49" s="11" t="s">
        <v>138</v>
      </c>
      <c r="C49" s="11" t="s">
        <v>464</v>
      </c>
      <c r="D49" s="28">
        <f t="shared" si="2"/>
        <v>1.0153069161569525E-3</v>
      </c>
      <c r="E49" s="139">
        <f>2*(4*4+2*4*0.3)/(4*4*0.3)*10</f>
        <v>76.666666666666657</v>
      </c>
      <c r="F49" s="31">
        <f>VLOOKUP(A49, 'Env. stresses'!A:B, 2, FALSE)</f>
        <v>0</v>
      </c>
      <c r="G49" s="140">
        <f>VLOOKUP(A49, 'Env. stresses'!A:C, 3, FALSE)</f>
        <v>3.2340719701489604E-4</v>
      </c>
      <c r="H49" s="28">
        <f>VLOOKUP(A49, 'Env. stresses'!A:D, 4, FALSE)</f>
        <v>748710000</v>
      </c>
      <c r="I49" s="11">
        <v>30</v>
      </c>
      <c r="J49" s="145">
        <f>K49-L49</f>
        <v>3</v>
      </c>
      <c r="K49" s="145">
        <v>3</v>
      </c>
      <c r="L49" s="145">
        <v>0</v>
      </c>
      <c r="M49" s="4" t="s">
        <v>433</v>
      </c>
      <c r="N49" s="11" t="s">
        <v>136</v>
      </c>
      <c r="O49" s="11" t="s">
        <v>539</v>
      </c>
      <c r="P49" s="11" t="s">
        <v>140</v>
      </c>
      <c r="Q49" s="11" t="s">
        <v>453</v>
      </c>
      <c r="R49" s="11" t="s">
        <v>540</v>
      </c>
      <c r="S49" s="11"/>
    </row>
    <row r="50" spans="1:19" s="16" customFormat="1" ht="20" customHeight="1" x14ac:dyDescent="0.2">
      <c r="A50" s="16" t="s">
        <v>195</v>
      </c>
      <c r="B50" s="11" t="s">
        <v>138</v>
      </c>
      <c r="C50" s="11" t="s">
        <v>464</v>
      </c>
      <c r="D50" s="28">
        <f t="shared" si="2"/>
        <v>6.734235772506489E-4</v>
      </c>
      <c r="E50" s="139">
        <f>2*(4*4+2*4*0.3)/(4*4*0.3)*10</f>
        <v>76.666666666666657</v>
      </c>
      <c r="F50" s="31">
        <f>VLOOKUP(A50, 'Env. stresses'!A:B, 2, FALSE)</f>
        <v>0</v>
      </c>
      <c r="G50" s="140">
        <f>VLOOKUP(A50, 'Env. stresses'!A:C, 3, FALSE)</f>
        <v>3.2340719701489604E-4</v>
      </c>
      <c r="H50" s="28">
        <f>VLOOKUP(A50, 'Env. stresses'!A:D, 4, FALSE)</f>
        <v>205320000</v>
      </c>
      <c r="I50" s="11">
        <v>30</v>
      </c>
      <c r="J50" s="145">
        <f>K50-L50</f>
        <v>2</v>
      </c>
      <c r="K50" s="145">
        <v>2</v>
      </c>
      <c r="L50" s="145">
        <v>0</v>
      </c>
      <c r="M50" s="4" t="s">
        <v>433</v>
      </c>
      <c r="N50" s="11" t="s">
        <v>136</v>
      </c>
      <c r="O50" s="11" t="s">
        <v>539</v>
      </c>
      <c r="P50" s="11" t="s">
        <v>140</v>
      </c>
      <c r="Q50" s="11" t="s">
        <v>453</v>
      </c>
      <c r="R50" s="11" t="s">
        <v>540</v>
      </c>
      <c r="S50" s="11"/>
    </row>
    <row r="51" spans="1:19" s="16" customFormat="1" ht="20" customHeight="1" x14ac:dyDescent="0.2">
      <c r="A51" s="16" t="s">
        <v>196</v>
      </c>
      <c r="B51" s="11" t="s">
        <v>138</v>
      </c>
      <c r="C51" s="11" t="s">
        <v>464</v>
      </c>
      <c r="D51" s="28">
        <f t="shared" si="2"/>
        <v>1.5697202511283522E-3</v>
      </c>
      <c r="E51" s="139">
        <f>2*(4*4+2*4*0.3)/(4*4*0.3)*10</f>
        <v>76.666666666666657</v>
      </c>
      <c r="F51" s="31">
        <f>VLOOKUP(A51, 'Env. stresses'!A:B, 2, FALSE)</f>
        <v>0</v>
      </c>
      <c r="G51" s="140">
        <f>VLOOKUP(A51, 'Env. stresses'!A:C, 3, FALSE)</f>
        <v>3.2340719701489604E-4</v>
      </c>
      <c r="H51" s="28">
        <f>VLOOKUP(A51, 'Env. stresses'!A:D, 4, FALSE)</f>
        <v>1354050000</v>
      </c>
      <c r="I51" s="11">
        <v>30</v>
      </c>
      <c r="J51" s="11">
        <f>K51-L51</f>
        <v>4.5999999999999996</v>
      </c>
      <c r="K51" s="145">
        <v>4.5999999999999996</v>
      </c>
      <c r="L51" s="145">
        <v>0</v>
      </c>
      <c r="M51" s="4" t="s">
        <v>433</v>
      </c>
      <c r="N51" s="11" t="s">
        <v>136</v>
      </c>
      <c r="O51" s="11" t="s">
        <v>539</v>
      </c>
      <c r="P51" s="11" t="s">
        <v>140</v>
      </c>
      <c r="Q51" s="11" t="s">
        <v>453</v>
      </c>
      <c r="R51" s="11" t="s">
        <v>540</v>
      </c>
      <c r="S51" s="11"/>
    </row>
    <row r="52" spans="1:19" s="16" customFormat="1" ht="35" customHeight="1" x14ac:dyDescent="0.2">
      <c r="A52" s="16" t="s">
        <v>200</v>
      </c>
      <c r="B52" s="11" t="s">
        <v>138</v>
      </c>
      <c r="C52" s="11" t="s">
        <v>464</v>
      </c>
      <c r="D52" s="28">
        <f t="shared" si="2"/>
        <v>1.2297561047692946E-3</v>
      </c>
      <c r="E52" s="139">
        <f>6/200*10^4</f>
        <v>300</v>
      </c>
      <c r="F52" s="31">
        <f>VLOOKUP(A52, 'Env. stresses'!A:B, 2, FALSE)</f>
        <v>0</v>
      </c>
      <c r="G52" s="148">
        <f>VLOOKUP(A52, 'Env. stresses'!A:C, 3, FALSE)</f>
        <v>4.6509415020449733E-5</v>
      </c>
      <c r="H52" s="28">
        <f>VLOOKUP(A52, 'Env. stresses'!A:D, 4, FALSE)</f>
        <v>1150500000</v>
      </c>
      <c r="I52" s="11">
        <v>40</v>
      </c>
      <c r="J52" s="11">
        <f>K52-L52</f>
        <v>4.8</v>
      </c>
      <c r="K52" s="145">
        <f>(6.6+3)/2</f>
        <v>4.8</v>
      </c>
      <c r="L52" s="145">
        <v>0</v>
      </c>
      <c r="M52" s="11" t="s">
        <v>433</v>
      </c>
      <c r="N52" s="11" t="s">
        <v>147</v>
      </c>
      <c r="O52" s="11" t="s">
        <v>468</v>
      </c>
      <c r="P52" s="11" t="s">
        <v>429</v>
      </c>
      <c r="Q52" s="11" t="s">
        <v>466</v>
      </c>
      <c r="R52" s="81" t="s">
        <v>541</v>
      </c>
      <c r="S52" s="11"/>
    </row>
    <row r="53" spans="1:19" s="16" customFormat="1" ht="35" customHeight="1" x14ac:dyDescent="0.2">
      <c r="A53" s="16" t="s">
        <v>211</v>
      </c>
      <c r="B53" s="11" t="s">
        <v>138</v>
      </c>
      <c r="C53" s="11" t="s">
        <v>464</v>
      </c>
      <c r="D53" s="28">
        <f t="shared" si="2"/>
        <v>1.7921535477648492E-4</v>
      </c>
      <c r="E53" s="139">
        <f>6/2*10</f>
        <v>30</v>
      </c>
      <c r="F53" s="31">
        <f>VLOOKUP(A53, 'Env. stresses'!A:B, 2, FALSE)</f>
        <v>0</v>
      </c>
      <c r="G53" s="31">
        <f>VLOOKUP(A53, 'Env. stresses'!A:C, 3, FALSE)</f>
        <v>0</v>
      </c>
      <c r="H53" s="28">
        <f>VLOOKUP(A53, 'Env. stresses'!A:D, 4, FALSE)</f>
        <v>349000000000</v>
      </c>
      <c r="I53" s="11">
        <v>90</v>
      </c>
      <c r="J53" s="11">
        <f>K53-L53</f>
        <v>1.6000000000000014</v>
      </c>
      <c r="K53" s="145">
        <v>18</v>
      </c>
      <c r="L53" s="145">
        <v>16.399999999999999</v>
      </c>
      <c r="M53" s="11" t="s">
        <v>433</v>
      </c>
      <c r="N53" s="11" t="s">
        <v>363</v>
      </c>
      <c r="O53" s="11" t="s">
        <v>542</v>
      </c>
      <c r="P53" s="11" t="s">
        <v>429</v>
      </c>
      <c r="Q53" s="11" t="s">
        <v>475</v>
      </c>
      <c r="R53" s="81" t="s">
        <v>543</v>
      </c>
      <c r="S53" s="11"/>
    </row>
    <row r="54" spans="1:19" s="16" customFormat="1" ht="35" customHeight="1" x14ac:dyDescent="0.2">
      <c r="A54" s="16" t="s">
        <v>203</v>
      </c>
      <c r="B54" s="11" t="s">
        <v>138</v>
      </c>
      <c r="C54" s="11" t="s">
        <v>480</v>
      </c>
      <c r="D54" s="28">
        <f t="shared" si="2"/>
        <v>8.4716995832996491E-3</v>
      </c>
      <c r="E54" s="143">
        <f>(2*PI()*0.005^2+2*PI()*0.005*1.346)/(PI()*0.005^2*1.346)*10</f>
        <v>4014.8588410104012</v>
      </c>
      <c r="F54" s="31">
        <f>VLOOKUP(A54, 'Env. stresses'!A:B, 2, FALSE)</f>
        <v>65</v>
      </c>
      <c r="G54" s="31">
        <f>VLOOKUP(A54, 'Env. stresses'!A:C, 3, FALSE)</f>
        <v>0</v>
      </c>
      <c r="H54" s="28">
        <f>VLOOKUP(A54, 'Env. stresses'!A:D, 4, FALSE)</f>
        <v>250000</v>
      </c>
      <c r="I54" s="11">
        <v>291</v>
      </c>
      <c r="J54" s="145">
        <f>((1387-93.69)/1303+(1205-42.6)/1388)/2*100</f>
        <v>91.501364618559251</v>
      </c>
      <c r="K54" s="11" t="s">
        <v>444</v>
      </c>
      <c r="L54" s="11" t="s">
        <v>444</v>
      </c>
      <c r="M54" s="11" t="s">
        <v>445</v>
      </c>
      <c r="N54" s="16" t="s">
        <v>128</v>
      </c>
      <c r="O54" s="16" t="s">
        <v>536</v>
      </c>
      <c r="P54" s="11" t="s">
        <v>130</v>
      </c>
      <c r="Q54" s="11" t="s">
        <v>537</v>
      </c>
      <c r="R54" s="81" t="s">
        <v>544</v>
      </c>
      <c r="S54" s="11"/>
    </row>
    <row r="55" spans="1:19" s="16" customFormat="1" ht="20" customHeight="1" x14ac:dyDescent="0.2">
      <c r="A55" s="16" t="s">
        <v>207</v>
      </c>
      <c r="B55" s="11" t="s">
        <v>138</v>
      </c>
      <c r="C55" s="11" t="s">
        <v>480</v>
      </c>
      <c r="D55" s="28">
        <f t="shared" si="2"/>
        <v>5.7759664046708904E-5</v>
      </c>
      <c r="E55" s="137">
        <f>6/3.25*10</f>
        <v>18.461538461538463</v>
      </c>
      <c r="F55" s="31">
        <f>VLOOKUP(A55, 'Env. stresses'!A:B, 2, FALSE)</f>
        <v>1.65</v>
      </c>
      <c r="G55" s="140">
        <f>VLOOKUP(A55, 'Env. stresses'!A:C, 3, FALSE)</f>
        <v>2.043623695998561E-4</v>
      </c>
      <c r="H55" s="28">
        <f>VLOOKUP(A55, 'Env. stresses'!A:D, 4, FALSE)</f>
        <v>25000</v>
      </c>
      <c r="I55" s="11">
        <v>540</v>
      </c>
      <c r="J55" s="146">
        <f t="shared" ref="J55:J69" si="4">K55-L55</f>
        <v>3.0708821657683978</v>
      </c>
      <c r="K55" s="146">
        <f>(0.01983-0.01922)/0.01983*100-K46</f>
        <v>3.0708821657683978</v>
      </c>
      <c r="L55" s="11">
        <v>0</v>
      </c>
      <c r="M55" s="4" t="s">
        <v>427</v>
      </c>
      <c r="N55" s="149" t="s">
        <v>70</v>
      </c>
      <c r="O55" s="11" t="s">
        <v>530</v>
      </c>
      <c r="P55" s="4" t="s">
        <v>429</v>
      </c>
      <c r="Q55" s="11" t="s">
        <v>531</v>
      </c>
      <c r="R55" s="11" t="s">
        <v>545</v>
      </c>
      <c r="S55" s="11"/>
    </row>
    <row r="56" spans="1:19" s="16" customFormat="1" ht="35" customHeight="1" x14ac:dyDescent="0.2">
      <c r="A56" s="16" t="s">
        <v>134</v>
      </c>
      <c r="B56" s="11" t="s">
        <v>190</v>
      </c>
      <c r="C56" s="11" t="s">
        <v>131</v>
      </c>
      <c r="D56" s="28">
        <f t="shared" si="2"/>
        <v>2.0967168048114431E-7</v>
      </c>
      <c r="E56" s="31">
        <f>6/4*10</f>
        <v>15</v>
      </c>
      <c r="F56" s="31">
        <f>VLOOKUP(A56, 'Env. stresses'!A:B, 2, FALSE)</f>
        <v>1.65</v>
      </c>
      <c r="G56" s="140">
        <f>VLOOKUP(A56, 'Env. stresses'!A:C, 3, FALSE)</f>
        <v>2.5152291643059212E-4</v>
      </c>
      <c r="H56" s="28">
        <f>VLOOKUP(A56, 'Env. stresses'!A:D, 4, FALSE)</f>
        <v>25000</v>
      </c>
      <c r="I56" s="11">
        <v>540</v>
      </c>
      <c r="J56" s="13">
        <f t="shared" si="4"/>
        <v>1.1321629801096585E-2</v>
      </c>
      <c r="K56" s="13">
        <f>0.0002/(55.2*0.955*1/6*PI()*4^3/1000)*100</f>
        <v>1.1321629801096585E-2</v>
      </c>
      <c r="L56" s="11">
        <v>0</v>
      </c>
      <c r="M56" s="4" t="s">
        <v>427</v>
      </c>
      <c r="N56" s="149" t="s">
        <v>70</v>
      </c>
      <c r="O56" s="11" t="s">
        <v>546</v>
      </c>
      <c r="P56" s="4" t="s">
        <v>429</v>
      </c>
      <c r="Q56" s="11" t="s">
        <v>531</v>
      </c>
      <c r="R56" s="80" t="s">
        <v>547</v>
      </c>
      <c r="S56" s="11"/>
    </row>
    <row r="57" spans="1:19" s="16" customFormat="1" ht="20" customHeight="1" x14ac:dyDescent="0.2">
      <c r="A57" s="16" t="s">
        <v>133</v>
      </c>
      <c r="B57" s="11" t="s">
        <v>190</v>
      </c>
      <c r="C57" s="11" t="s">
        <v>426</v>
      </c>
      <c r="D57" s="28">
        <f t="shared" si="2"/>
        <v>2.6981742615929878E-5</v>
      </c>
      <c r="E57" s="28">
        <f>6/4.43*10^4</f>
        <v>13544.018058690746</v>
      </c>
      <c r="F57" s="137">
        <f>VLOOKUP(A57, 'Env. stresses'!A:B, 2, FALSE)</f>
        <v>1.7760000000000002</v>
      </c>
      <c r="G57" s="31">
        <f>VLOOKUP(A57, 'Env. stresses'!A:C, 3, FALSE)</f>
        <v>0</v>
      </c>
      <c r="H57" s="31">
        <f>VLOOKUP(A57, 'Env. stresses'!A:D, 4, FALSE)</f>
        <v>0</v>
      </c>
      <c r="I57" s="11">
        <v>365</v>
      </c>
      <c r="J57" s="11">
        <f t="shared" si="4"/>
        <v>0.98</v>
      </c>
      <c r="K57" s="11">
        <f>(3.53+1.21)/2</f>
        <v>2.37</v>
      </c>
      <c r="L57" s="11">
        <f>(1.67+1.11)/2</f>
        <v>1.3900000000000001</v>
      </c>
      <c r="M57" s="4" t="s">
        <v>433</v>
      </c>
      <c r="N57" s="11" t="s">
        <v>356</v>
      </c>
      <c r="O57" s="11" t="s">
        <v>548</v>
      </c>
      <c r="P57" s="4" t="s">
        <v>429</v>
      </c>
      <c r="Q57" s="11" t="s">
        <v>534</v>
      </c>
      <c r="R57" s="4" t="s">
        <v>549</v>
      </c>
      <c r="S57" s="11"/>
    </row>
    <row r="58" spans="1:19" s="16" customFormat="1" ht="20" customHeight="1" x14ac:dyDescent="0.2">
      <c r="A58" s="16" t="s">
        <v>243</v>
      </c>
      <c r="B58" s="11" t="s">
        <v>190</v>
      </c>
      <c r="C58" s="11" t="s">
        <v>464</v>
      </c>
      <c r="D58" s="28">
        <f t="shared" si="2"/>
        <v>1.075230245032481E-3</v>
      </c>
      <c r="E58" s="31">
        <f>6/2.5*10</f>
        <v>24</v>
      </c>
      <c r="F58" s="31">
        <f>VLOOKUP(A58, 'Env. stresses'!A:B, 2, FALSE)</f>
        <v>0</v>
      </c>
      <c r="G58" s="31">
        <f>VLOOKUP(A58, 'Env. stresses'!A:C, 3, FALSE)</f>
        <v>0</v>
      </c>
      <c r="H58" s="28">
        <f>VLOOKUP(A58, 'Env. stresses'!A:D, 4, FALSE)</f>
        <v>1239000000</v>
      </c>
      <c r="I58" s="11">
        <v>140</v>
      </c>
      <c r="J58" s="146">
        <f t="shared" si="4"/>
        <v>13.975</v>
      </c>
      <c r="K58" s="146">
        <v>13.975</v>
      </c>
      <c r="L58" s="145">
        <v>0</v>
      </c>
      <c r="M58" s="11" t="s">
        <v>433</v>
      </c>
      <c r="N58" s="11" t="s">
        <v>202</v>
      </c>
      <c r="O58" s="11" t="s">
        <v>470</v>
      </c>
      <c r="P58" s="11" t="s">
        <v>429</v>
      </c>
      <c r="Q58" s="11" t="s">
        <v>471</v>
      </c>
      <c r="R58" s="11" t="s">
        <v>472</v>
      </c>
      <c r="S58" s="11"/>
    </row>
    <row r="59" spans="1:19" s="16" customFormat="1" ht="20" customHeight="1" x14ac:dyDescent="0.2">
      <c r="A59" s="16" t="s">
        <v>204</v>
      </c>
      <c r="B59" s="11" t="s">
        <v>190</v>
      </c>
      <c r="C59" s="11" t="s">
        <v>464</v>
      </c>
      <c r="D59" s="28">
        <f t="shared" si="2"/>
        <v>2.1087740664225396E-4</v>
      </c>
      <c r="E59" s="139">
        <f>2*(2*2+2*2*0.005)/(2*2*0.005)</f>
        <v>401.99999999999994</v>
      </c>
      <c r="F59" s="31">
        <f>VLOOKUP(A59, 'Env. stresses'!A:B, 2, FALSE)</f>
        <v>0</v>
      </c>
      <c r="G59" s="147">
        <f>VLOOKUP(A59, 'Env. stresses'!A:C, 3, FALSE)</f>
        <v>9.095827416043957E-3</v>
      </c>
      <c r="H59" s="28">
        <f>VLOOKUP(A59, 'Env. stresses'!A:D, 4, FALSE)</f>
        <v>300000000</v>
      </c>
      <c r="I59" s="11">
        <v>90</v>
      </c>
      <c r="J59" s="146">
        <f t="shared" si="4"/>
        <v>1.88</v>
      </c>
      <c r="K59" s="146">
        <v>1.88</v>
      </c>
      <c r="L59" s="145">
        <v>0</v>
      </c>
      <c r="M59" s="11" t="s">
        <v>433</v>
      </c>
      <c r="N59" s="11" t="s">
        <v>369</v>
      </c>
      <c r="O59" s="11" t="s">
        <v>550</v>
      </c>
      <c r="P59" s="11" t="s">
        <v>124</v>
      </c>
      <c r="Q59" s="11" t="s">
        <v>475</v>
      </c>
      <c r="R59" s="81" t="s">
        <v>551</v>
      </c>
      <c r="S59" s="11"/>
    </row>
    <row r="60" spans="1:19" s="16" customFormat="1" ht="20" customHeight="1" x14ac:dyDescent="0.2">
      <c r="A60" s="16" t="s">
        <v>205</v>
      </c>
      <c r="B60" s="11" t="s">
        <v>190</v>
      </c>
      <c r="C60" s="11" t="s">
        <v>464</v>
      </c>
      <c r="D60" s="28">
        <f t="shared" si="2"/>
        <v>3.2927561255211935E-4</v>
      </c>
      <c r="E60" s="139">
        <f>2*(2*2+2*2*0.005)/(2*2*0.005)</f>
        <v>401.99999999999994</v>
      </c>
      <c r="F60" s="31">
        <f>VLOOKUP(A60, 'Env. stresses'!A:B, 2, FALSE)</f>
        <v>0</v>
      </c>
      <c r="G60" s="147">
        <f>VLOOKUP(A60, 'Env. stresses'!A:C, 3, FALSE)</f>
        <v>9.095827416043957E-3</v>
      </c>
      <c r="H60" s="28">
        <f>VLOOKUP(A60, 'Env. stresses'!A:D, 4, FALSE)</f>
        <v>400000000</v>
      </c>
      <c r="I60" s="11">
        <v>90</v>
      </c>
      <c r="J60" s="146">
        <f t="shared" si="4"/>
        <v>2.92</v>
      </c>
      <c r="K60" s="146">
        <v>2.92</v>
      </c>
      <c r="L60" s="145">
        <v>0</v>
      </c>
      <c r="M60" s="11" t="s">
        <v>433</v>
      </c>
      <c r="N60" s="11" t="s">
        <v>369</v>
      </c>
      <c r="O60" s="11" t="s">
        <v>550</v>
      </c>
      <c r="P60" s="11" t="s">
        <v>124</v>
      </c>
      <c r="Q60" s="11" t="s">
        <v>475</v>
      </c>
      <c r="R60" s="81" t="s">
        <v>551</v>
      </c>
      <c r="S60" s="11"/>
    </row>
    <row r="61" spans="1:19" s="16" customFormat="1" ht="20" customHeight="1" x14ac:dyDescent="0.2">
      <c r="A61" s="16" t="s">
        <v>710</v>
      </c>
      <c r="B61" s="11" t="s">
        <v>190</v>
      </c>
      <c r="C61" s="11" t="s">
        <v>464</v>
      </c>
      <c r="D61" s="28">
        <f>-LN(1-J61/100)/I61</f>
        <v>1.4395322326105981E-4</v>
      </c>
      <c r="E61" s="31">
        <f>2*(1*1+2*1*0.001)/(1*1*0.001)</f>
        <v>2004</v>
      </c>
      <c r="F61" s="31">
        <f>VLOOKUP(A61, 'Env. stresses'!A:B, 2, FALSE)</f>
        <v>0</v>
      </c>
      <c r="G61" s="140">
        <f>VLOOKUP(A61, 'Env. stresses'!A:C, 3, FALSE)</f>
        <v>3.1977518259529528E-4</v>
      </c>
      <c r="H61" s="28">
        <f>VLOOKUP(A61, 'Env. stresses'!A:D, 4, FALSE)</f>
        <v>1770000000</v>
      </c>
      <c r="I61" s="11">
        <v>60</v>
      </c>
      <c r="J61" s="11">
        <f>K61-L61</f>
        <v>0.86</v>
      </c>
      <c r="K61" s="11">
        <v>0.86</v>
      </c>
      <c r="L61" s="11">
        <v>0</v>
      </c>
      <c r="M61" s="11" t="s">
        <v>186</v>
      </c>
      <c r="N61" s="11" t="s">
        <v>649</v>
      </c>
      <c r="O61" s="11" t="s">
        <v>650</v>
      </c>
      <c r="P61" s="11" t="s">
        <v>124</v>
      </c>
      <c r="Q61" s="11" t="s">
        <v>567</v>
      </c>
      <c r="R61" s="11"/>
      <c r="S61" s="11" t="s">
        <v>658</v>
      </c>
    </row>
    <row r="62" spans="1:19" s="15" customFormat="1" ht="20" customHeight="1" x14ac:dyDescent="0.2">
      <c r="A62" s="16" t="s">
        <v>214</v>
      </c>
      <c r="B62" s="11" t="s">
        <v>190</v>
      </c>
      <c r="C62" s="11" t="s">
        <v>480</v>
      </c>
      <c r="D62" s="28">
        <f>-LN(1-J62/100)/I62</f>
        <v>5.8821953358239254E-5</v>
      </c>
      <c r="E62" s="31">
        <f>6/4*10</f>
        <v>15</v>
      </c>
      <c r="F62" s="31">
        <f>VLOOKUP(A62, 'Env. stresses'!A:B, 2, FALSE)</f>
        <v>1.65</v>
      </c>
      <c r="G62" s="140">
        <f>VLOOKUP(A62, 'Env. stresses'!A:C, 3, FALSE)</f>
        <v>2.5152291643059212E-4</v>
      </c>
      <c r="H62" s="28">
        <f>VLOOKUP(A62, 'Env. stresses'!A:D, 4, FALSE)</f>
        <v>25000</v>
      </c>
      <c r="I62" s="11">
        <v>540</v>
      </c>
      <c r="J62" s="146">
        <f>K62-L62</f>
        <v>3.1264682747009478</v>
      </c>
      <c r="K62" s="146">
        <f>(0.02199-0.0213)/0.02199*100-K56</f>
        <v>3.1264682747009478</v>
      </c>
      <c r="L62" s="11">
        <v>0</v>
      </c>
      <c r="M62" s="4" t="s">
        <v>427</v>
      </c>
      <c r="N62" s="149" t="s">
        <v>70</v>
      </c>
      <c r="O62" s="11" t="s">
        <v>546</v>
      </c>
      <c r="P62" s="4" t="s">
        <v>429</v>
      </c>
      <c r="Q62" s="11" t="s">
        <v>531</v>
      </c>
      <c r="R62" s="11" t="s">
        <v>552</v>
      </c>
      <c r="S62" s="11"/>
    </row>
    <row r="63" spans="1:19" s="16" customFormat="1" ht="20" customHeight="1" x14ac:dyDescent="0.2">
      <c r="A63" s="16" t="s">
        <v>654</v>
      </c>
      <c r="B63" s="11" t="s">
        <v>190</v>
      </c>
      <c r="C63" s="11" t="s">
        <v>480</v>
      </c>
      <c r="D63" s="28">
        <f>-LN(1-J63/100)/I63</f>
        <v>5.7496573212569566E-5</v>
      </c>
      <c r="E63" s="31">
        <v>36</v>
      </c>
      <c r="F63" s="31">
        <f>VLOOKUP(A63, 'Env. stresses'!A:B, 2, FALSE)</f>
        <v>14</v>
      </c>
      <c r="G63" s="31">
        <f>VLOOKUP(A63, 'Env. stresses'!A:C, 3, FALSE)</f>
        <v>0</v>
      </c>
      <c r="H63" s="28">
        <f>VLOOKUP(A63, 'Env. stresses'!A:D, 4, FALSE)</f>
        <v>32</v>
      </c>
      <c r="I63" s="11">
        <v>54</v>
      </c>
      <c r="J63" s="11">
        <f>K63-L63</f>
        <v>0.31</v>
      </c>
      <c r="K63" s="11">
        <v>0.45</v>
      </c>
      <c r="L63" s="11">
        <v>0.14000000000000001</v>
      </c>
      <c r="M63" s="4" t="s">
        <v>433</v>
      </c>
      <c r="N63" s="11" t="s">
        <v>395</v>
      </c>
      <c r="O63" s="11" t="s">
        <v>578</v>
      </c>
      <c r="P63" s="11" t="s">
        <v>528</v>
      </c>
      <c r="Q63" s="11" t="s">
        <v>529</v>
      </c>
      <c r="R63" s="80" t="s">
        <v>483</v>
      </c>
      <c r="S63" s="11"/>
    </row>
    <row r="64" spans="1:19" s="16" customFormat="1" ht="20" customHeight="1" x14ac:dyDescent="0.2">
      <c r="A64" s="16" t="s">
        <v>132</v>
      </c>
      <c r="B64" s="11" t="s">
        <v>127</v>
      </c>
      <c r="C64" s="11" t="s">
        <v>426</v>
      </c>
      <c r="D64" s="28">
        <f t="shared" si="2"/>
        <v>1.2908872829650816E-9</v>
      </c>
      <c r="E64" s="137">
        <f>2*(5*3+5*0.48+3*0.48)/(5*3*0.48)</f>
        <v>5.2333333333333334</v>
      </c>
      <c r="F64" s="31">
        <f>VLOOKUP(A64, 'Env. stresses'!A:B, 2, FALSE)</f>
        <v>27.5</v>
      </c>
      <c r="G64" s="31">
        <f>VLOOKUP(A64, 'Env. stresses'!A:C, 3, FALSE)</f>
        <v>0</v>
      </c>
      <c r="H64" s="31">
        <f>VLOOKUP(A64, 'Env. stresses'!A:D, 4, FALSE)</f>
        <v>0</v>
      </c>
      <c r="I64" s="11">
        <v>180</v>
      </c>
      <c r="J64" s="12">
        <f t="shared" si="4"/>
        <v>2.3235968389609228E-5</v>
      </c>
      <c r="K64" s="12">
        <f>(PI()*2.2^3/6/10^12*9*10^3+PI()*154^3/6/10^21*5.4*10^5)*2*(5*3+5*0.48+3*0.48)/(5*3*0.48)*100</f>
        <v>2.6799989584597496E-5</v>
      </c>
      <c r="L64" s="12">
        <f>(PI()*1.5^3/6/10^12*2.4*10^3+PI()*178^3/6/10^21*8.7*10^5)*2*(5*3+5*0.48+3*0.48)/(5*3*0.48)*100</f>
        <v>3.5640211949882682E-6</v>
      </c>
      <c r="M64" s="4" t="s">
        <v>433</v>
      </c>
      <c r="N64" s="11" t="s">
        <v>373</v>
      </c>
      <c r="O64" s="11" t="s">
        <v>553</v>
      </c>
      <c r="P64" s="11" t="s">
        <v>554</v>
      </c>
      <c r="Q64" s="11" t="s">
        <v>555</v>
      </c>
      <c r="R64" s="80" t="s">
        <v>556</v>
      </c>
      <c r="S64" s="11"/>
    </row>
    <row r="65" spans="1:19" s="16" customFormat="1" ht="20" customHeight="1" x14ac:dyDescent="0.2">
      <c r="A65" s="16" t="s">
        <v>375</v>
      </c>
      <c r="B65" s="11" t="s">
        <v>127</v>
      </c>
      <c r="C65" s="11" t="s">
        <v>426</v>
      </c>
      <c r="D65" s="28">
        <f t="shared" si="2"/>
        <v>3.3104456913999729E-4</v>
      </c>
      <c r="E65" s="143">
        <f>2/0.7*10</f>
        <v>28.571428571428573</v>
      </c>
      <c r="F65" s="31">
        <f>VLOOKUP(A65, 'Env. stresses'!A:B, 2, FALSE)</f>
        <v>60</v>
      </c>
      <c r="G65" s="31">
        <f>VLOOKUP(A65, 'Env. stresses'!A:C, 3, FALSE)</f>
        <v>0</v>
      </c>
      <c r="H65" s="31">
        <f>VLOOKUP(A65, 'Env. stresses'!A:D, 4, FALSE)</f>
        <v>0</v>
      </c>
      <c r="I65" s="145">
        <f>2000/24</f>
        <v>83.333333333333329</v>
      </c>
      <c r="J65" s="11">
        <f t="shared" si="4"/>
        <v>2.7210000000000001</v>
      </c>
      <c r="K65" s="11">
        <v>2.7229999999999999</v>
      </c>
      <c r="L65" s="11">
        <v>2E-3</v>
      </c>
      <c r="M65" s="4" t="s">
        <v>433</v>
      </c>
      <c r="N65" s="11" t="s">
        <v>327</v>
      </c>
      <c r="O65" s="16" t="s">
        <v>493</v>
      </c>
      <c r="P65" s="11" t="s">
        <v>124</v>
      </c>
      <c r="Q65" s="11" t="s">
        <v>494</v>
      </c>
      <c r="R65" s="81" t="s">
        <v>495</v>
      </c>
      <c r="S65" s="11"/>
    </row>
    <row r="66" spans="1:19" s="16" customFormat="1" ht="20" customHeight="1" x14ac:dyDescent="0.2">
      <c r="A66" s="16" t="s">
        <v>135</v>
      </c>
      <c r="B66" s="11" t="s">
        <v>127</v>
      </c>
      <c r="C66" s="11" t="s">
        <v>426</v>
      </c>
      <c r="D66" s="28">
        <f t="shared" si="2"/>
        <v>1.1426795451997308E-4</v>
      </c>
      <c r="E66" s="28">
        <f>6/4.613*10^4</f>
        <v>13006.720138738348</v>
      </c>
      <c r="F66" s="137">
        <f>VLOOKUP(A66, 'Env. stresses'!A:B, 2, FALSE)</f>
        <v>1.7760000000000002</v>
      </c>
      <c r="G66" s="31">
        <f>VLOOKUP(A66, 'Env. stresses'!A:C, 3, FALSE)</f>
        <v>0</v>
      </c>
      <c r="H66" s="31">
        <f>VLOOKUP(A66, 'Env. stresses'!A:D, 4, FALSE)</f>
        <v>0</v>
      </c>
      <c r="I66" s="11">
        <v>365</v>
      </c>
      <c r="J66" s="11">
        <f t="shared" si="4"/>
        <v>4.0849999999999991</v>
      </c>
      <c r="K66" s="11">
        <f>(3.19+11.94)/2</f>
        <v>7.5649999999999995</v>
      </c>
      <c r="L66" s="11">
        <f>(0.42+6.54)/2</f>
        <v>3.48</v>
      </c>
      <c r="M66" s="4" t="s">
        <v>433</v>
      </c>
      <c r="N66" s="11" t="s">
        <v>356</v>
      </c>
      <c r="O66" s="11" t="s">
        <v>557</v>
      </c>
      <c r="P66" s="4" t="s">
        <v>429</v>
      </c>
      <c r="Q66" s="11" t="s">
        <v>534</v>
      </c>
      <c r="R66" s="4" t="s">
        <v>558</v>
      </c>
      <c r="S66" s="11"/>
    </row>
    <row r="67" spans="1:19" s="16" customFormat="1" ht="20" customHeight="1" x14ac:dyDescent="0.2">
      <c r="A67" s="16" t="s">
        <v>201</v>
      </c>
      <c r="B67" s="11" t="s">
        <v>127</v>
      </c>
      <c r="C67" s="11" t="s">
        <v>464</v>
      </c>
      <c r="D67" s="28">
        <f t="shared" si="2"/>
        <v>1.1095634676004838E-3</v>
      </c>
      <c r="E67" s="31">
        <f>6/2.5*10</f>
        <v>24</v>
      </c>
      <c r="F67" s="31">
        <f>VLOOKUP(A67, 'Env. stresses'!A:B, 2, FALSE)</f>
        <v>0</v>
      </c>
      <c r="G67" s="31">
        <f>VLOOKUP(A67, 'Env. stresses'!A:C, 3, FALSE)</f>
        <v>0</v>
      </c>
      <c r="H67" s="28">
        <f>VLOOKUP(A67, 'Env. stresses'!A:D, 4, FALSE)</f>
        <v>1239000000</v>
      </c>
      <c r="I67" s="11">
        <v>140</v>
      </c>
      <c r="J67" s="146">
        <f t="shared" si="4"/>
        <v>14.387499999999999</v>
      </c>
      <c r="K67" s="146">
        <v>14.387499999999999</v>
      </c>
      <c r="L67" s="145">
        <v>0</v>
      </c>
      <c r="M67" s="11" t="s">
        <v>433</v>
      </c>
      <c r="N67" s="11" t="s">
        <v>202</v>
      </c>
      <c r="O67" s="11" t="s">
        <v>470</v>
      </c>
      <c r="P67" s="11" t="s">
        <v>429</v>
      </c>
      <c r="Q67" s="11" t="s">
        <v>471</v>
      </c>
      <c r="R67" s="11" t="s">
        <v>472</v>
      </c>
      <c r="S67" s="11"/>
    </row>
    <row r="68" spans="1:19" s="16" customFormat="1" ht="20" customHeight="1" x14ac:dyDescent="0.2">
      <c r="A68" s="16" t="s">
        <v>206</v>
      </c>
      <c r="B68" s="11" t="s">
        <v>127</v>
      </c>
      <c r="C68" s="11" t="s">
        <v>464</v>
      </c>
      <c r="D68" s="28">
        <f t="shared" si="2"/>
        <v>2.2402916564483329E-3</v>
      </c>
      <c r="E68" s="143">
        <f>6/338*10^4</f>
        <v>177.51479289940829</v>
      </c>
      <c r="F68" s="31">
        <f>VLOOKUP(A68, 'Env. stresses'!A:B, 2, FALSE)</f>
        <v>0</v>
      </c>
      <c r="G68" s="148">
        <f>VLOOKUP(A68, 'Env. stresses'!A:C, 3, FALSE)</f>
        <v>3.2194933303115791E-5</v>
      </c>
      <c r="H68" s="28">
        <f>VLOOKUP(A68, 'Env. stresses'!A:D, 4, FALSE)</f>
        <v>5500000000</v>
      </c>
      <c r="I68" s="11">
        <v>30</v>
      </c>
      <c r="J68" s="11">
        <f t="shared" si="4"/>
        <v>6.5</v>
      </c>
      <c r="K68" s="11">
        <v>6.5</v>
      </c>
      <c r="L68" s="11">
        <v>0</v>
      </c>
      <c r="M68" s="11" t="s">
        <v>427</v>
      </c>
      <c r="N68" s="11" t="s">
        <v>559</v>
      </c>
      <c r="O68" s="11" t="s">
        <v>560</v>
      </c>
      <c r="P68" s="11" t="s">
        <v>429</v>
      </c>
      <c r="Q68" s="11" t="s">
        <v>561</v>
      </c>
      <c r="R68" s="11" t="s">
        <v>562</v>
      </c>
      <c r="S68" s="11"/>
    </row>
    <row r="69" spans="1:19" s="16" customFormat="1" ht="20" customHeight="1" x14ac:dyDescent="0.2">
      <c r="A69" s="16" t="s">
        <v>215</v>
      </c>
      <c r="B69" s="11" t="s">
        <v>127</v>
      </c>
      <c r="C69" s="11" t="s">
        <v>464</v>
      </c>
      <c r="D69" s="28">
        <f t="shared" si="2"/>
        <v>6.9272865569920477E-4</v>
      </c>
      <c r="E69" s="143">
        <f>2*(1.5*1+1.5*0.0008+1*0.0008)/(1.5*1*0.0008)</f>
        <v>2503.333333333333</v>
      </c>
      <c r="F69" s="31">
        <f>VLOOKUP(A69, 'Env. stresses'!A:B, 2, FALSE)</f>
        <v>0</v>
      </c>
      <c r="G69" s="140">
        <f>VLOOKUP(A69, 'Env. stresses'!A:C, 3, FALSE)</f>
        <v>1.3323965941470634E-3</v>
      </c>
      <c r="H69" s="28">
        <f>VLOOKUP(A69, 'Env. stresses'!A:D, 4, FALSE)</f>
        <v>1720440000</v>
      </c>
      <c r="I69" s="11">
        <v>56</v>
      </c>
      <c r="J69" s="11">
        <f t="shared" si="4"/>
        <v>3.8050000000000002</v>
      </c>
      <c r="K69" s="11">
        <f>(5.95+3.62)/2</f>
        <v>4.7850000000000001</v>
      </c>
      <c r="L69" s="11">
        <v>0.98</v>
      </c>
      <c r="M69" s="11" t="s">
        <v>433</v>
      </c>
      <c r="N69" s="11" t="s">
        <v>381</v>
      </c>
      <c r="O69" s="11" t="s">
        <v>563</v>
      </c>
      <c r="P69" s="11" t="s">
        <v>452</v>
      </c>
      <c r="Q69" s="11" t="s">
        <v>564</v>
      </c>
      <c r="R69" s="11" t="s">
        <v>565</v>
      </c>
      <c r="S69" s="11"/>
    </row>
    <row r="70" spans="1:19" s="16" customFormat="1" ht="20" customHeight="1" x14ac:dyDescent="0.2">
      <c r="A70" s="16" t="s">
        <v>216</v>
      </c>
      <c r="B70" s="11" t="s">
        <v>127</v>
      </c>
      <c r="C70" s="11" t="s">
        <v>464</v>
      </c>
      <c r="D70" s="28">
        <f t="shared" si="2"/>
        <v>1.1201458282241665E-3</v>
      </c>
      <c r="E70" s="143">
        <f>2*(3*3+2*3*0.005)/(3*3*0.005)</f>
        <v>401.33333333333331</v>
      </c>
      <c r="F70" s="31">
        <f>VLOOKUP(A70, 'Env. stresses'!A:B, 2, FALSE)</f>
        <v>0</v>
      </c>
      <c r="G70" s="140">
        <f>VLOOKUP(A70, 'Env. stresses'!A:C, 3, FALSE)</f>
        <v>2.0465611686098898E-2</v>
      </c>
      <c r="H70" s="28">
        <f>VLOOKUP(A70, 'Env. stresses'!A:D, 4, FALSE)</f>
        <v>8000000000</v>
      </c>
      <c r="I70" s="11">
        <v>60</v>
      </c>
      <c r="J70" s="11">
        <v>6.5</v>
      </c>
      <c r="K70" s="11" t="s">
        <v>444</v>
      </c>
      <c r="L70" s="11" t="s">
        <v>444</v>
      </c>
      <c r="M70" s="11" t="s">
        <v>445</v>
      </c>
      <c r="N70" s="11" t="s">
        <v>385</v>
      </c>
      <c r="O70" s="11" t="s">
        <v>566</v>
      </c>
      <c r="P70" s="11" t="s">
        <v>124</v>
      </c>
      <c r="Q70" s="11" t="s">
        <v>567</v>
      </c>
      <c r="R70" s="11" t="s">
        <v>551</v>
      </c>
      <c r="S70" s="11"/>
    </row>
    <row r="71" spans="1:19" s="16" customFormat="1" ht="20" customHeight="1" x14ac:dyDescent="0.2">
      <c r="A71" s="16" t="s">
        <v>217</v>
      </c>
      <c r="B71" s="11" t="s">
        <v>127</v>
      </c>
      <c r="C71" s="11" t="s">
        <v>464</v>
      </c>
      <c r="D71" s="28">
        <f t="shared" si="2"/>
        <v>1.5169899731194759E-3</v>
      </c>
      <c r="E71" s="143">
        <f>2*(3*3+2*3*0.005)/(3*3*0.005)</f>
        <v>401.33333333333331</v>
      </c>
      <c r="F71" s="31">
        <f>VLOOKUP(A71, 'Env. stresses'!A:B, 2, FALSE)</f>
        <v>0</v>
      </c>
      <c r="G71" s="140">
        <f>VLOOKUP(A71, 'Env. stresses'!A:C, 3, FALSE)</f>
        <v>2.0465611686098898E-2</v>
      </c>
      <c r="H71" s="28">
        <f>VLOOKUP(A71, 'Env. stresses'!A:D, 4, FALSE)</f>
        <v>8300000000</v>
      </c>
      <c r="I71" s="11">
        <v>60</v>
      </c>
      <c r="J71" s="11">
        <v>8.6999999999999993</v>
      </c>
      <c r="K71" s="11" t="s">
        <v>444</v>
      </c>
      <c r="L71" s="11" t="s">
        <v>444</v>
      </c>
      <c r="M71" s="11" t="s">
        <v>445</v>
      </c>
      <c r="N71" s="11" t="s">
        <v>385</v>
      </c>
      <c r="O71" s="11" t="s">
        <v>566</v>
      </c>
      <c r="P71" s="11" t="s">
        <v>124</v>
      </c>
      <c r="Q71" s="11" t="s">
        <v>567</v>
      </c>
      <c r="R71" s="11" t="s">
        <v>551</v>
      </c>
      <c r="S71" s="11"/>
    </row>
    <row r="72" spans="1:19" s="16" customFormat="1" ht="20" customHeight="1" x14ac:dyDescent="0.2">
      <c r="A72" s="16" t="s">
        <v>218</v>
      </c>
      <c r="B72" s="11" t="s">
        <v>127</v>
      </c>
      <c r="C72" s="11" t="s">
        <v>464</v>
      </c>
      <c r="D72" s="28">
        <f t="shared" si="2"/>
        <v>2.2224711089330914E-3</v>
      </c>
      <c r="E72" s="143">
        <f>2*(3*3+2*3*0.002)/(3*3*0.002)</f>
        <v>1001.3333333333333</v>
      </c>
      <c r="F72" s="31">
        <f>VLOOKUP(A72, 'Env. stresses'!A:B, 2, FALSE)</f>
        <v>0</v>
      </c>
      <c r="G72" s="31">
        <f>VLOOKUP(A72, 'Env. stresses'!A:C, 3, FALSE)</f>
        <v>0</v>
      </c>
      <c r="H72" s="28">
        <f>VLOOKUP(A72, 'Env. stresses'!A:D, 4, FALSE)</f>
        <v>2725800000</v>
      </c>
      <c r="I72" s="11">
        <v>30</v>
      </c>
      <c r="J72" s="11">
        <f t="shared" ref="J72:J90" si="5">K72-L72</f>
        <v>6.45</v>
      </c>
      <c r="K72" s="11">
        <f>(6.68+6.48)/2</f>
        <v>6.58</v>
      </c>
      <c r="L72" s="11">
        <v>0.13</v>
      </c>
      <c r="M72" s="11" t="s">
        <v>433</v>
      </c>
      <c r="N72" s="11" t="s">
        <v>568</v>
      </c>
      <c r="O72" s="11" t="s">
        <v>569</v>
      </c>
      <c r="P72" s="11" t="s">
        <v>124</v>
      </c>
      <c r="Q72" s="11" t="s">
        <v>453</v>
      </c>
      <c r="R72" s="11" t="s">
        <v>570</v>
      </c>
      <c r="S72" s="11"/>
    </row>
    <row r="73" spans="1:19" s="16" customFormat="1" ht="20" customHeight="1" x14ac:dyDescent="0.2">
      <c r="A73" s="16" t="s">
        <v>389</v>
      </c>
      <c r="B73" s="11" t="s">
        <v>127</v>
      </c>
      <c r="C73" s="11" t="s">
        <v>464</v>
      </c>
      <c r="D73" s="28">
        <f t="shared" si="2"/>
        <v>2.7920636094294271E-3</v>
      </c>
      <c r="E73" s="143">
        <f>2*(15*15+2*15*0.005)/(15*15*0.005)</f>
        <v>400.26666666666665</v>
      </c>
      <c r="F73" s="31">
        <f>VLOOKUP(A73, 'Env. stresses'!A:B, 2, FALSE)</f>
        <v>0</v>
      </c>
      <c r="G73" s="31">
        <f>VLOOKUP(A73, 'Env. stresses'!A:C, 3, FALSE)</f>
        <v>0</v>
      </c>
      <c r="H73" s="28">
        <f>VLOOKUP(A73, 'Env. stresses'!A:D, 4, FALSE)</f>
        <v>9735000000</v>
      </c>
      <c r="I73" s="11">
        <v>28</v>
      </c>
      <c r="J73" s="11">
        <f t="shared" si="5"/>
        <v>7.52</v>
      </c>
      <c r="K73" s="11">
        <v>7.52</v>
      </c>
      <c r="L73" s="11">
        <v>0</v>
      </c>
      <c r="M73" s="11" t="s">
        <v>433</v>
      </c>
      <c r="N73" s="11" t="s">
        <v>145</v>
      </c>
      <c r="O73" s="11" t="s">
        <v>477</v>
      </c>
      <c r="P73" s="11" t="s">
        <v>124</v>
      </c>
      <c r="Q73" s="11" t="s">
        <v>478</v>
      </c>
      <c r="R73" s="11" t="s">
        <v>571</v>
      </c>
      <c r="S73" s="11"/>
    </row>
    <row r="74" spans="1:19" s="16" customFormat="1" ht="20" customHeight="1" x14ac:dyDescent="0.2">
      <c r="A74" s="16" t="s">
        <v>189</v>
      </c>
      <c r="B74" s="11" t="s">
        <v>137</v>
      </c>
      <c r="C74" s="11" t="s">
        <v>426</v>
      </c>
      <c r="D74" s="28">
        <f t="shared" si="2"/>
        <v>1.2631815226529572E-5</v>
      </c>
      <c r="E74" s="28">
        <f>6/4.04*10^4</f>
        <v>14851.485148514852</v>
      </c>
      <c r="F74" s="137">
        <f>VLOOKUP(A74, 'Env. stresses'!A:B, 2, FALSE)</f>
        <v>1.7760000000000002</v>
      </c>
      <c r="G74" s="31">
        <f>VLOOKUP(A74, 'Env. stresses'!A:C, 3, FALSE)</f>
        <v>0</v>
      </c>
      <c r="H74" s="31">
        <f>VLOOKUP(A74, 'Env. stresses'!A:D, 4, FALSE)</f>
        <v>0</v>
      </c>
      <c r="I74" s="11">
        <v>365</v>
      </c>
      <c r="J74" s="11">
        <f t="shared" si="5"/>
        <v>0.45999999999999996</v>
      </c>
      <c r="K74" s="11">
        <f>(0.69+0.79)/2</f>
        <v>0.74</v>
      </c>
      <c r="L74" s="11">
        <f>(0.3+0.26)/2</f>
        <v>0.28000000000000003</v>
      </c>
      <c r="M74" s="4" t="s">
        <v>433</v>
      </c>
      <c r="N74" s="11" t="s">
        <v>356</v>
      </c>
      <c r="O74" s="11" t="s">
        <v>572</v>
      </c>
      <c r="P74" s="4" t="s">
        <v>429</v>
      </c>
      <c r="Q74" s="11" t="s">
        <v>534</v>
      </c>
      <c r="R74" s="4" t="s">
        <v>573</v>
      </c>
      <c r="S74" s="11"/>
    </row>
    <row r="75" spans="1:19" s="16" customFormat="1" ht="20" customHeight="1" x14ac:dyDescent="0.2">
      <c r="A75" s="16" t="s">
        <v>574</v>
      </c>
      <c r="B75" s="11" t="s">
        <v>137</v>
      </c>
      <c r="C75" s="11" t="s">
        <v>464</v>
      </c>
      <c r="D75" s="28">
        <f t="shared" si="2"/>
        <v>5.8117795714925933E-3</v>
      </c>
      <c r="E75" s="139">
        <f>2*(4*4+2*4*0.02)/(4*4*0.02)*10</f>
        <v>1010</v>
      </c>
      <c r="F75" s="31">
        <f>VLOOKUP(A75, 'Env. stresses'!A:B, 2, FALSE)</f>
        <v>0</v>
      </c>
      <c r="G75" s="140">
        <f>VLOOKUP(A75, 'Env. stresses'!A:C, 3, FALSE)</f>
        <v>1.6170359850744802E-4</v>
      </c>
      <c r="H75" s="28">
        <f>VLOOKUP(A75, 'Env. stresses'!A:D, 4, FALSE)</f>
        <v>2548800000</v>
      </c>
      <c r="I75" s="11">
        <v>30</v>
      </c>
      <c r="J75" s="11">
        <f t="shared" si="5"/>
        <v>16</v>
      </c>
      <c r="K75" s="11">
        <v>16</v>
      </c>
      <c r="L75" s="145">
        <v>0</v>
      </c>
      <c r="M75" s="4" t="s">
        <v>433</v>
      </c>
      <c r="N75" s="11" t="s">
        <v>136</v>
      </c>
      <c r="O75" s="11" t="s">
        <v>575</v>
      </c>
      <c r="P75" s="11" t="s">
        <v>124</v>
      </c>
      <c r="Q75" s="11" t="s">
        <v>453</v>
      </c>
      <c r="R75" s="11" t="s">
        <v>576</v>
      </c>
      <c r="S75" s="11"/>
    </row>
    <row r="76" spans="1:19" s="16" customFormat="1" ht="20" customHeight="1" x14ac:dyDescent="0.2">
      <c r="A76" s="16" t="s">
        <v>192</v>
      </c>
      <c r="B76" s="11" t="s">
        <v>137</v>
      </c>
      <c r="C76" s="11" t="s">
        <v>464</v>
      </c>
      <c r="D76" s="28">
        <f t="shared" si="2"/>
        <v>1.7097764795850194E-3</v>
      </c>
      <c r="E76" s="139">
        <f>2*(4*4+2*4*0.02)/(4*4*0.02)*10</f>
        <v>1010</v>
      </c>
      <c r="F76" s="31">
        <f>VLOOKUP(A76, 'Env. stresses'!A:B, 2, FALSE)</f>
        <v>0</v>
      </c>
      <c r="G76" s="140">
        <f>VLOOKUP(A76, 'Env. stresses'!A:C, 3, FALSE)</f>
        <v>1.6170359850744802E-4</v>
      </c>
      <c r="H76" s="28">
        <f>VLOOKUP(A76, 'Env. stresses'!A:D, 4, FALSE)</f>
        <v>893850000</v>
      </c>
      <c r="I76" s="11">
        <v>30</v>
      </c>
      <c r="J76" s="145">
        <f t="shared" si="5"/>
        <v>5</v>
      </c>
      <c r="K76" s="145">
        <v>5</v>
      </c>
      <c r="L76" s="145">
        <v>0</v>
      </c>
      <c r="M76" s="4" t="s">
        <v>433</v>
      </c>
      <c r="N76" s="11" t="s">
        <v>136</v>
      </c>
      <c r="O76" s="11" t="s">
        <v>575</v>
      </c>
      <c r="P76" s="11" t="s">
        <v>124</v>
      </c>
      <c r="Q76" s="11" t="s">
        <v>453</v>
      </c>
      <c r="R76" s="11" t="s">
        <v>576</v>
      </c>
      <c r="S76" s="11"/>
    </row>
    <row r="77" spans="1:19" s="16" customFormat="1" ht="20" customHeight="1" x14ac:dyDescent="0.2">
      <c r="A77" s="16" t="s">
        <v>193</v>
      </c>
      <c r="B77" s="11" t="s">
        <v>137</v>
      </c>
      <c r="C77" s="11" t="s">
        <v>464</v>
      </c>
      <c r="D77" s="28">
        <f t="shared" si="2"/>
        <v>2.0625134572695844E-3</v>
      </c>
      <c r="E77" s="139">
        <f>2*(4*4+2*4*0.02)/(4*4*0.02)*10</f>
        <v>1010</v>
      </c>
      <c r="F77" s="31">
        <f>VLOOKUP(A77, 'Env. stresses'!A:B, 2, FALSE)</f>
        <v>0</v>
      </c>
      <c r="G77" s="140">
        <f>VLOOKUP(A77, 'Env. stresses'!A:C, 3, FALSE)</f>
        <v>1.6170359850744802E-4</v>
      </c>
      <c r="H77" s="28">
        <f>VLOOKUP(A77, 'Env. stresses'!A:D, 4, FALSE)</f>
        <v>1097400000</v>
      </c>
      <c r="I77" s="11">
        <v>30</v>
      </c>
      <c r="J77" s="145">
        <f t="shared" si="5"/>
        <v>6</v>
      </c>
      <c r="K77" s="145">
        <v>6</v>
      </c>
      <c r="L77" s="145">
        <v>0</v>
      </c>
      <c r="M77" s="4" t="s">
        <v>433</v>
      </c>
      <c r="N77" s="11" t="s">
        <v>136</v>
      </c>
      <c r="O77" s="11" t="s">
        <v>575</v>
      </c>
      <c r="P77" s="11" t="s">
        <v>124</v>
      </c>
      <c r="Q77" s="11" t="s">
        <v>453</v>
      </c>
      <c r="R77" s="11" t="s">
        <v>576</v>
      </c>
      <c r="S77" s="11"/>
    </row>
    <row r="78" spans="1:19" s="16" customFormat="1" ht="20" customHeight="1" x14ac:dyDescent="0.2">
      <c r="A78" s="16" t="s">
        <v>197</v>
      </c>
      <c r="B78" s="11" t="s">
        <v>137</v>
      </c>
      <c r="C78" s="11" t="s">
        <v>464</v>
      </c>
      <c r="D78" s="28">
        <f t="shared" si="2"/>
        <v>9.945217502961149E-4</v>
      </c>
      <c r="E78" s="139">
        <f>6/75*10^4</f>
        <v>800</v>
      </c>
      <c r="F78" s="31">
        <f>VLOOKUP(A78, 'Env. stresses'!A:B, 2, FALSE)</f>
        <v>0</v>
      </c>
      <c r="G78" s="148">
        <f>VLOOKUP(A78, 'Env. stresses'!A:C, 3, FALSE)</f>
        <v>1.7441030632668648E-5</v>
      </c>
      <c r="H78" s="28">
        <f>VLOOKUP(A78, 'Env. stresses'!A:D, 4, FALSE)</f>
        <v>1239000000</v>
      </c>
      <c r="I78" s="11">
        <v>40</v>
      </c>
      <c r="J78" s="145">
        <f t="shared" si="5"/>
        <v>3.9</v>
      </c>
      <c r="K78" s="145">
        <v>3.9</v>
      </c>
      <c r="L78" s="145">
        <v>0</v>
      </c>
      <c r="M78" s="11" t="s">
        <v>433</v>
      </c>
      <c r="N78" s="11" t="s">
        <v>147</v>
      </c>
      <c r="O78" s="11" t="s">
        <v>577</v>
      </c>
      <c r="P78" s="11" t="s">
        <v>429</v>
      </c>
      <c r="Q78" s="11" t="s">
        <v>466</v>
      </c>
      <c r="R78" s="81" t="s">
        <v>709</v>
      </c>
      <c r="S78" s="11"/>
    </row>
    <row r="79" spans="1:19" s="16" customFormat="1" ht="20" customHeight="1" x14ac:dyDescent="0.2">
      <c r="A79" s="16" t="s">
        <v>754</v>
      </c>
      <c r="B79" s="11" t="s">
        <v>137</v>
      </c>
      <c r="C79" s="11" t="s">
        <v>464</v>
      </c>
      <c r="D79" s="28">
        <f t="shared" si="2"/>
        <v>7.9242716858136399E-4</v>
      </c>
      <c r="E79" s="139">
        <f>6/75*10^4</f>
        <v>800</v>
      </c>
      <c r="F79" s="31">
        <f>VLOOKUP(A79, 'Env. stresses'!A:B, 2, FALSE)</f>
        <v>0</v>
      </c>
      <c r="G79" s="148">
        <f>VLOOKUP(A79, 'Env. stresses'!A:C, 3, FALSE)</f>
        <v>1.9844017075391887E-5</v>
      </c>
      <c r="H79" s="28">
        <f>VLOOKUP(A79, 'Env. stresses'!A:D, 4, FALSE)</f>
        <v>267270000</v>
      </c>
      <c r="I79" s="11">
        <v>40</v>
      </c>
      <c r="J79" s="11">
        <f t="shared" si="5"/>
        <v>3.12</v>
      </c>
      <c r="K79" s="11">
        <v>5.01</v>
      </c>
      <c r="L79" s="11">
        <v>1.89</v>
      </c>
      <c r="M79" s="11" t="s">
        <v>185</v>
      </c>
      <c r="N79" s="11" t="s">
        <v>756</v>
      </c>
      <c r="O79" s="11" t="s">
        <v>757</v>
      </c>
      <c r="P79" s="11" t="s">
        <v>429</v>
      </c>
      <c r="Q79" s="11" t="s">
        <v>466</v>
      </c>
      <c r="R79" s="81" t="s">
        <v>760</v>
      </c>
      <c r="S79" s="11"/>
    </row>
    <row r="80" spans="1:19" s="16" customFormat="1" ht="20" customHeight="1" x14ac:dyDescent="0.2">
      <c r="A80" s="16" t="s">
        <v>755</v>
      </c>
      <c r="B80" s="11" t="s">
        <v>137</v>
      </c>
      <c r="C80" s="11" t="s">
        <v>480</v>
      </c>
      <c r="D80" s="28">
        <f t="shared" si="2"/>
        <v>1.0213297570574279E-4</v>
      </c>
      <c r="E80" s="31">
        <v>33</v>
      </c>
      <c r="F80" s="31">
        <f>VLOOKUP(A80, 'Env. stresses'!A:B, 2, FALSE)</f>
        <v>14</v>
      </c>
      <c r="G80" s="31">
        <f>VLOOKUP(A80, 'Env. stresses'!A:C, 3, FALSE)</f>
        <v>0</v>
      </c>
      <c r="H80" s="28">
        <f>VLOOKUP(A80, 'Env. stresses'!A:D, 4, FALSE)</f>
        <v>72</v>
      </c>
      <c r="I80" s="11">
        <v>54</v>
      </c>
      <c r="J80" s="11">
        <f t="shared" si="5"/>
        <v>0.55000000000000004</v>
      </c>
      <c r="K80" s="146">
        <v>0.3</v>
      </c>
      <c r="L80" s="11">
        <v>-0.25</v>
      </c>
      <c r="M80" s="4" t="s">
        <v>433</v>
      </c>
      <c r="N80" s="11" t="s">
        <v>395</v>
      </c>
      <c r="O80" s="11" t="s">
        <v>673</v>
      </c>
      <c r="P80" s="11" t="s">
        <v>429</v>
      </c>
      <c r="Q80" s="11" t="s">
        <v>529</v>
      </c>
      <c r="R80" s="80" t="s">
        <v>483</v>
      </c>
      <c r="S80" s="11"/>
    </row>
    <row r="81" spans="1:19" s="16" customFormat="1" ht="35" customHeight="1" x14ac:dyDescent="0.2">
      <c r="A81" s="16" t="s">
        <v>397</v>
      </c>
      <c r="B81" s="11" t="s">
        <v>579</v>
      </c>
      <c r="C81" s="11" t="s">
        <v>131</v>
      </c>
      <c r="D81" s="28">
        <f t="shared" si="2"/>
        <v>2.5029831407258864E-7</v>
      </c>
      <c r="E81" s="31">
        <f>6/4*10</f>
        <v>15</v>
      </c>
      <c r="F81" s="31">
        <f>VLOOKUP(A81, 'Env. stresses'!A:B, 2, FALSE)</f>
        <v>1.65</v>
      </c>
      <c r="G81" s="140">
        <f>VLOOKUP(A81, 'Env. stresses'!A:C, 3, FALSE)</f>
        <v>2.5152291643059212E-4</v>
      </c>
      <c r="H81" s="28">
        <f>VLOOKUP(A81, 'Env. stresses'!A:D, 4, FALSE)</f>
        <v>25000</v>
      </c>
      <c r="I81" s="11">
        <v>540</v>
      </c>
      <c r="J81" s="13">
        <f t="shared" si="5"/>
        <v>1.3515195575059046E-2</v>
      </c>
      <c r="K81" s="13">
        <f>0.00039/(55.2*1.56*1/6*PI()*4^3/1000)*100</f>
        <v>1.3515195575059046E-2</v>
      </c>
      <c r="L81" s="11">
        <v>0</v>
      </c>
      <c r="M81" s="4" t="s">
        <v>427</v>
      </c>
      <c r="N81" s="149" t="s">
        <v>70</v>
      </c>
      <c r="O81" s="11" t="s">
        <v>546</v>
      </c>
      <c r="P81" s="11" t="s">
        <v>429</v>
      </c>
      <c r="Q81" s="11" t="s">
        <v>531</v>
      </c>
      <c r="R81" s="80" t="s">
        <v>580</v>
      </c>
      <c r="S81" s="11"/>
    </row>
    <row r="82" spans="1:19" s="16" customFormat="1" ht="20" customHeight="1" x14ac:dyDescent="0.2">
      <c r="A82" s="16" t="s">
        <v>400</v>
      </c>
      <c r="B82" s="11" t="s">
        <v>579</v>
      </c>
      <c r="C82" s="11" t="s">
        <v>426</v>
      </c>
      <c r="D82" s="28">
        <f>-LN(1-J82/100)/I82</f>
        <v>0.50111921097877987</v>
      </c>
      <c r="E82" s="31">
        <f>2*(4*4+2*4*0.004)/(4*4*0.004)</f>
        <v>501</v>
      </c>
      <c r="F82" s="137">
        <f>VLOOKUP(A82, 'Env. stresses'!A:B, 2, FALSE)</f>
        <v>49.735919716217296</v>
      </c>
      <c r="G82" s="31">
        <f>VLOOKUP(A82, 'Env. stresses'!A:C, 3, FALSE)</f>
        <v>0</v>
      </c>
      <c r="H82" s="31">
        <f>VLOOKUP(A82, 'Env. stresses'!A:D, 4, FALSE)</f>
        <v>0</v>
      </c>
      <c r="I82" s="13">
        <f>120/60/24</f>
        <v>8.3333333333333329E-2</v>
      </c>
      <c r="J82" s="11">
        <f>K82-L82</f>
        <v>4.09</v>
      </c>
      <c r="K82" s="11">
        <v>4.09</v>
      </c>
      <c r="L82" s="11">
        <v>0</v>
      </c>
      <c r="M82" s="11" t="s">
        <v>427</v>
      </c>
      <c r="N82" s="11" t="s">
        <v>404</v>
      </c>
      <c r="O82" s="11" t="s">
        <v>583</v>
      </c>
      <c r="P82" s="11" t="s">
        <v>124</v>
      </c>
      <c r="Q82" s="11" t="s">
        <v>584</v>
      </c>
      <c r="R82" s="11"/>
      <c r="S82" s="11" t="s">
        <v>661</v>
      </c>
    </row>
    <row r="83" spans="1:19" s="16" customFormat="1" ht="20" customHeight="1" x14ac:dyDescent="0.2">
      <c r="A83" s="16" t="s">
        <v>655</v>
      </c>
      <c r="B83" s="11" t="s">
        <v>579</v>
      </c>
      <c r="C83" s="11" t="s">
        <v>464</v>
      </c>
      <c r="D83" s="28">
        <f>-LN(1-J83/100)/I83</f>
        <v>4.3749428869984675E-3</v>
      </c>
      <c r="E83" s="137">
        <f>6/338*10^4</f>
        <v>177.51479289940829</v>
      </c>
      <c r="F83" s="31">
        <f>VLOOKUP(A83, 'Env. stresses'!A:B, 2, FALSE)</f>
        <v>0</v>
      </c>
      <c r="G83" s="148">
        <f>VLOOKUP(A83, 'Env. stresses'!A:C, 3, FALSE)</f>
        <v>3.2194933303115791E-5</v>
      </c>
      <c r="H83" s="28">
        <f>VLOOKUP(A83, 'Env. stresses'!A:D, 4, FALSE)</f>
        <v>2500000000</v>
      </c>
      <c r="I83" s="11">
        <v>30</v>
      </c>
      <c r="J83" s="11">
        <f>K83-L83</f>
        <v>12.3</v>
      </c>
      <c r="K83" s="11">
        <v>12.3</v>
      </c>
      <c r="L83" s="11">
        <v>0</v>
      </c>
      <c r="M83" s="11" t="s">
        <v>427</v>
      </c>
      <c r="N83" s="11" t="s">
        <v>559</v>
      </c>
      <c r="O83" s="11" t="s">
        <v>560</v>
      </c>
      <c r="P83" s="11" t="s">
        <v>429</v>
      </c>
      <c r="Q83" s="11" t="s">
        <v>561</v>
      </c>
      <c r="R83" s="11" t="s">
        <v>582</v>
      </c>
      <c r="S83" s="11"/>
    </row>
    <row r="84" spans="1:19" s="16" customFormat="1" ht="20" customHeight="1" x14ac:dyDescent="0.2">
      <c r="A84" s="16" t="s">
        <v>657</v>
      </c>
      <c r="B84" s="11" t="s">
        <v>579</v>
      </c>
      <c r="C84" s="11" t="s">
        <v>464</v>
      </c>
      <c r="D84" s="28">
        <f>-LN(1-J84/100)/I84</f>
        <v>5.6763218913880349E-5</v>
      </c>
      <c r="E84" s="31">
        <f>2*(1*1+2*1*0.02)/(1*1*0.02)</f>
        <v>104</v>
      </c>
      <c r="F84" s="31">
        <f>VLOOKUP(A84, 'Env. stresses'!A:B, 2, FALSE)</f>
        <v>0</v>
      </c>
      <c r="G84" s="140">
        <f>VLOOKUP(A84, 'Env. stresses'!A:C, 3, FALSE)</f>
        <v>6.3955036519059056E-4</v>
      </c>
      <c r="H84" s="28">
        <f>VLOOKUP(A84, 'Env. stresses'!A:D, 4, FALSE)</f>
        <v>1770000000</v>
      </c>
      <c r="I84" s="11">
        <v>60</v>
      </c>
      <c r="J84" s="11">
        <f>K84-L84</f>
        <v>0.34</v>
      </c>
      <c r="K84" s="11">
        <v>0.34</v>
      </c>
      <c r="L84" s="11">
        <v>0</v>
      </c>
      <c r="M84" s="11" t="s">
        <v>186</v>
      </c>
      <c r="N84" s="11" t="s">
        <v>649</v>
      </c>
      <c r="O84" s="11" t="s">
        <v>659</v>
      </c>
      <c r="P84" s="11" t="s">
        <v>124</v>
      </c>
      <c r="Q84" s="11" t="s">
        <v>567</v>
      </c>
      <c r="R84" s="11"/>
      <c r="S84" s="11" t="s">
        <v>658</v>
      </c>
    </row>
    <row r="85" spans="1:19" s="16" customFormat="1" ht="20" customHeight="1" x14ac:dyDescent="0.2">
      <c r="A85" s="16" t="s">
        <v>656</v>
      </c>
      <c r="B85" s="11" t="s">
        <v>579</v>
      </c>
      <c r="C85" s="11" t="s">
        <v>480</v>
      </c>
      <c r="D85" s="28">
        <f>-LN(1-J85/100)/I85</f>
        <v>6.055881348972314E-5</v>
      </c>
      <c r="E85" s="31">
        <f>6/4*10</f>
        <v>15</v>
      </c>
      <c r="F85" s="31">
        <f>VLOOKUP(A85, 'Env. stresses'!A:B, 2, FALSE)</f>
        <v>1.65</v>
      </c>
      <c r="G85" s="140">
        <f>VLOOKUP(A85, 'Env. stresses'!A:C, 3, FALSE)</f>
        <v>2.5152291643059212E-4</v>
      </c>
      <c r="H85" s="28">
        <f>VLOOKUP(A85, 'Env. stresses'!A:D, 4, FALSE)</f>
        <v>25000</v>
      </c>
      <c r="I85" s="11">
        <v>540</v>
      </c>
      <c r="J85" s="146">
        <f>K85-L85</f>
        <v>3.2172837984276454</v>
      </c>
      <c r="K85" s="146">
        <f>(0.05169-0.05002)/0.05169*100-K81</f>
        <v>3.2172837984276454</v>
      </c>
      <c r="L85" s="11">
        <v>0</v>
      </c>
      <c r="M85" s="4" t="s">
        <v>427</v>
      </c>
      <c r="N85" s="149" t="s">
        <v>70</v>
      </c>
      <c r="O85" s="11" t="s">
        <v>546</v>
      </c>
      <c r="P85" s="11" t="s">
        <v>429</v>
      </c>
      <c r="Q85" s="11" t="s">
        <v>531</v>
      </c>
      <c r="R85" s="11" t="s">
        <v>581</v>
      </c>
      <c r="S85" s="11"/>
    </row>
    <row r="86" spans="1:19" s="16" customFormat="1" ht="20" customHeight="1" x14ac:dyDescent="0.2">
      <c r="A86" s="16" t="s">
        <v>406</v>
      </c>
      <c r="B86" s="11" t="s">
        <v>212</v>
      </c>
      <c r="C86" s="11" t="s">
        <v>464</v>
      </c>
      <c r="D86" s="28">
        <f t="shared" si="2"/>
        <v>2.1684780891170065E-3</v>
      </c>
      <c r="E86" s="137">
        <f>2*(3*2+3*0.04+2*0.04)/(3*2*0.04)</f>
        <v>51.666666666666671</v>
      </c>
      <c r="F86" s="31">
        <f>VLOOKUP(A86, 'Env. stresses'!A:B, 2, FALSE)</f>
        <v>0</v>
      </c>
      <c r="G86" s="31">
        <f>VLOOKUP(A86, 'Env. stresses'!A:C, 3, FALSE)</f>
        <v>0</v>
      </c>
      <c r="H86" s="28">
        <f>VLOOKUP(A86, 'Env. stresses'!A:D, 4, FALSE)</f>
        <v>6309573.4448019378</v>
      </c>
      <c r="I86" s="11">
        <v>60</v>
      </c>
      <c r="J86" s="11">
        <f t="shared" si="5"/>
        <v>12.200000000000003</v>
      </c>
      <c r="K86" s="11">
        <v>73.5</v>
      </c>
      <c r="L86" s="11">
        <v>61.3</v>
      </c>
      <c r="M86" s="11" t="s">
        <v>433</v>
      </c>
      <c r="N86" s="11" t="s">
        <v>585</v>
      </c>
      <c r="O86" s="11" t="s">
        <v>586</v>
      </c>
      <c r="P86" s="11" t="s">
        <v>452</v>
      </c>
      <c r="Q86" s="11" t="s">
        <v>567</v>
      </c>
      <c r="R86" s="11" t="s">
        <v>587</v>
      </c>
      <c r="S86" s="11"/>
    </row>
    <row r="87" spans="1:19" s="16" customFormat="1" ht="20" customHeight="1" x14ac:dyDescent="0.2">
      <c r="A87" s="16" t="s">
        <v>588</v>
      </c>
      <c r="B87" s="11" t="s">
        <v>212</v>
      </c>
      <c r="C87" s="11" t="s">
        <v>464</v>
      </c>
      <c r="D87" s="28">
        <f t="shared" si="2"/>
        <v>9.7975093666852068E-4</v>
      </c>
      <c r="E87" s="143">
        <f>2*(2.5*2+2.5*0.0035+2*0.0035)/(2.5*2*0.0035)</f>
        <v>573.22857142857129</v>
      </c>
      <c r="F87" s="31">
        <f>VLOOKUP(A87, 'Env. stresses'!A:B, 2, FALSE)</f>
        <v>0</v>
      </c>
      <c r="G87" s="140">
        <f>VLOOKUP(A87, 'Env. stresses'!A:C, 3, FALSE)</f>
        <v>3.9478417604357436E-3</v>
      </c>
      <c r="H87" s="28">
        <f>VLOOKUP(A87, 'Env. stresses'!A:D, 4, FALSE)</f>
        <v>10047545.726038359</v>
      </c>
      <c r="I87" s="11">
        <v>35</v>
      </c>
      <c r="J87" s="11">
        <f t="shared" si="5"/>
        <v>3.371</v>
      </c>
      <c r="K87" s="11">
        <f>(4.02+2.82)/2</f>
        <v>3.42</v>
      </c>
      <c r="L87" s="11">
        <v>4.9000000000000002E-2</v>
      </c>
      <c r="M87" s="11" t="s">
        <v>433</v>
      </c>
      <c r="N87" s="11" t="s">
        <v>410</v>
      </c>
      <c r="O87" s="11" t="s">
        <v>589</v>
      </c>
      <c r="P87" s="11" t="s">
        <v>124</v>
      </c>
      <c r="Q87" s="11" t="s">
        <v>590</v>
      </c>
      <c r="R87" s="11" t="s">
        <v>591</v>
      </c>
      <c r="S87" s="11"/>
    </row>
    <row r="88" spans="1:19" s="16" customFormat="1" ht="20" customHeight="1" x14ac:dyDescent="0.2">
      <c r="A88" s="16" t="s">
        <v>413</v>
      </c>
      <c r="B88" s="11" t="s">
        <v>212</v>
      </c>
      <c r="C88" s="11" t="s">
        <v>464</v>
      </c>
      <c r="D88" s="28">
        <f t="shared" si="2"/>
        <v>2.6436212206071405E-4</v>
      </c>
      <c r="E88" s="143">
        <f>2*(2.5*2+2.5*0.0035+2*0.0035)/(2.5*2*0.0035)</f>
        <v>573.22857142857129</v>
      </c>
      <c r="F88" s="31">
        <f>VLOOKUP(A88, 'Env. stresses'!A:B, 2, FALSE)</f>
        <v>0</v>
      </c>
      <c r="G88" s="140">
        <f>VLOOKUP(A88, 'Env. stresses'!A:C, 3, FALSE)</f>
        <v>3.9478417604357436E-3</v>
      </c>
      <c r="H88" s="28">
        <f>VLOOKUP(A88, 'Env. stresses'!A:D, 4, FALSE)</f>
        <v>200474.89345090941</v>
      </c>
      <c r="I88" s="11">
        <v>35</v>
      </c>
      <c r="J88" s="11">
        <f t="shared" si="5"/>
        <v>0.92099999999999993</v>
      </c>
      <c r="K88" s="11">
        <f>(1.41+0.53)/2</f>
        <v>0.97</v>
      </c>
      <c r="L88" s="11">
        <v>4.9000000000000002E-2</v>
      </c>
      <c r="M88" s="11" t="s">
        <v>433</v>
      </c>
      <c r="N88" s="11" t="s">
        <v>410</v>
      </c>
      <c r="O88" s="11" t="s">
        <v>589</v>
      </c>
      <c r="P88" s="11" t="s">
        <v>124</v>
      </c>
      <c r="Q88" s="11" t="s">
        <v>590</v>
      </c>
      <c r="R88" s="11" t="s">
        <v>592</v>
      </c>
      <c r="S88" s="11"/>
    </row>
    <row r="89" spans="1:19" s="16" customFormat="1" ht="20" customHeight="1" x14ac:dyDescent="0.2">
      <c r="A89" s="16" t="s">
        <v>414</v>
      </c>
      <c r="B89" s="11" t="s">
        <v>212</v>
      </c>
      <c r="C89" s="11" t="s">
        <v>464</v>
      </c>
      <c r="D89" s="28">
        <f t="shared" si="2"/>
        <v>9.5919479178152296E-4</v>
      </c>
      <c r="E89" s="31">
        <f>2*(1*1+2*1*0.005)/(1*1*0.005)</f>
        <v>404</v>
      </c>
      <c r="F89" s="31">
        <f>VLOOKUP(A89, 'Env. stresses'!A:B, 2, FALSE)</f>
        <v>0</v>
      </c>
      <c r="G89" s="140">
        <f>VLOOKUP(A89, 'Env. stresses'!A:C, 3, FALSE)</f>
        <v>4.5479137080219785E-3</v>
      </c>
      <c r="H89" s="28">
        <f>VLOOKUP(A89, 'Env. stresses'!A:D, 4, FALSE)</f>
        <v>96465000</v>
      </c>
      <c r="I89" s="11">
        <v>28</v>
      </c>
      <c r="J89" s="11">
        <f t="shared" si="5"/>
        <v>2.65</v>
      </c>
      <c r="K89" s="11">
        <v>2.65</v>
      </c>
      <c r="L89" s="145">
        <v>0</v>
      </c>
      <c r="M89" s="11" t="s">
        <v>433</v>
      </c>
      <c r="N89" s="11" t="s">
        <v>593</v>
      </c>
      <c r="O89" s="11" t="s">
        <v>594</v>
      </c>
      <c r="P89" s="11" t="s">
        <v>124</v>
      </c>
      <c r="Q89" s="11" t="s">
        <v>595</v>
      </c>
      <c r="R89" s="11" t="s">
        <v>596</v>
      </c>
      <c r="S89" s="11"/>
    </row>
    <row r="90" spans="1:19" s="16" customFormat="1" ht="20" customHeight="1" x14ac:dyDescent="0.2">
      <c r="A90" s="16" t="s">
        <v>597</v>
      </c>
      <c r="B90" s="11" t="s">
        <v>129</v>
      </c>
      <c r="C90" s="11" t="s">
        <v>426</v>
      </c>
      <c r="D90" s="28">
        <f t="shared" si="2"/>
        <v>2.2976655308032174E-5</v>
      </c>
      <c r="E90" s="143">
        <f>2/0.7*10</f>
        <v>28.571428571428573</v>
      </c>
      <c r="F90" s="31">
        <f>VLOOKUP(A90, 'Env. stresses'!A:B, 2, FALSE)</f>
        <v>60</v>
      </c>
      <c r="G90" s="31">
        <f>VLOOKUP(A90, 'Env. stresses'!A:C, 3, FALSE)</f>
        <v>0</v>
      </c>
      <c r="H90" s="31">
        <f>VLOOKUP(A90, 'Env. stresses'!A:D, 4, FALSE)</f>
        <v>0</v>
      </c>
      <c r="I90" s="145">
        <f>2000/24</f>
        <v>83.333333333333329</v>
      </c>
      <c r="J90" s="13">
        <f t="shared" si="5"/>
        <v>0.19128893662728164</v>
      </c>
      <c r="K90" s="13">
        <f>2.235*10^-9/(4.655*10^-8)*100-46.1/10</f>
        <v>0.19128893662728164</v>
      </c>
      <c r="L90" s="11">
        <v>0</v>
      </c>
      <c r="M90" s="11" t="s">
        <v>427</v>
      </c>
      <c r="N90" s="11" t="s">
        <v>418</v>
      </c>
      <c r="O90" s="16" t="s">
        <v>493</v>
      </c>
      <c r="P90" s="11" t="s">
        <v>124</v>
      </c>
      <c r="Q90" s="11" t="s">
        <v>494</v>
      </c>
      <c r="R90" s="81" t="s">
        <v>598</v>
      </c>
      <c r="S90" s="11"/>
    </row>
    <row r="91" spans="1:19" s="16" customFormat="1" ht="35" customHeight="1" x14ac:dyDescent="0.2">
      <c r="A91" s="16" t="s">
        <v>419</v>
      </c>
      <c r="B91" s="11" t="s">
        <v>129</v>
      </c>
      <c r="C91" s="11" t="s">
        <v>426</v>
      </c>
      <c r="D91" s="28">
        <f t="shared" si="2"/>
        <v>4.1610959076369344E-3</v>
      </c>
      <c r="E91" s="143">
        <f>(2*PI()*0.005^2+2*PI()*0.005*1.453)/(PI()*0.005^2*1.453)*10</f>
        <v>4013.7646249139716</v>
      </c>
      <c r="F91" s="31">
        <f>VLOOKUP(A91, 'Env. stresses'!A:B, 2, FALSE)</f>
        <v>65</v>
      </c>
      <c r="G91" s="31">
        <f>VLOOKUP(A91, 'Env. stresses'!A:C, 3, FALSE)</f>
        <v>0</v>
      </c>
      <c r="H91" s="31">
        <f>VLOOKUP(A91, 'Env. stresses'!A:D, 4, FALSE)</f>
        <v>0</v>
      </c>
      <c r="I91" s="11">
        <v>291</v>
      </c>
      <c r="J91" s="145">
        <f>(1229-208.9)/1453*100</f>
        <v>70.206469373709567</v>
      </c>
      <c r="K91" s="13" t="s">
        <v>444</v>
      </c>
      <c r="L91" s="11" t="s">
        <v>444</v>
      </c>
      <c r="M91" s="11" t="s">
        <v>445</v>
      </c>
      <c r="N91" s="11" t="s">
        <v>128</v>
      </c>
      <c r="O91" s="16" t="s">
        <v>599</v>
      </c>
      <c r="P91" s="11" t="s">
        <v>130</v>
      </c>
      <c r="Q91" s="11" t="s">
        <v>537</v>
      </c>
      <c r="R91" s="81" t="s">
        <v>600</v>
      </c>
      <c r="S91" s="11"/>
    </row>
    <row r="92" spans="1:19" s="16" customFormat="1" ht="35" customHeight="1" x14ac:dyDescent="0.2">
      <c r="A92" s="16" t="s">
        <v>421</v>
      </c>
      <c r="B92" s="11" t="s">
        <v>129</v>
      </c>
      <c r="C92" s="11" t="s">
        <v>480</v>
      </c>
      <c r="D92" s="28">
        <f t="shared" si="2"/>
        <v>4.2414086566729889E-3</v>
      </c>
      <c r="E92" s="143">
        <f>(2*PI()*0.005^2+2*PI()*0.005*1.453)/(PI()*0.005^2*1.453)*10</f>
        <v>4013.7646249139716</v>
      </c>
      <c r="F92" s="31">
        <f>'Env. stresses'!B93</f>
        <v>65</v>
      </c>
      <c r="G92" s="31">
        <f>'Env. stresses'!C93</f>
        <v>0</v>
      </c>
      <c r="H92" s="28">
        <f>'Env. stresses'!D93</f>
        <v>250000</v>
      </c>
      <c r="I92" s="11">
        <v>291</v>
      </c>
      <c r="J92" s="145">
        <f>(1191-160.9)/1453*100</f>
        <v>70.894700619408113</v>
      </c>
      <c r="K92" s="11" t="s">
        <v>444</v>
      </c>
      <c r="L92" s="11" t="s">
        <v>444</v>
      </c>
      <c r="M92" s="11" t="s">
        <v>445</v>
      </c>
      <c r="N92" s="16" t="s">
        <v>128</v>
      </c>
      <c r="O92" s="16" t="s">
        <v>599</v>
      </c>
      <c r="P92" s="11" t="s">
        <v>130</v>
      </c>
      <c r="Q92" s="11" t="s">
        <v>537</v>
      </c>
      <c r="R92" s="81" t="s">
        <v>601</v>
      </c>
      <c r="S92" s="11"/>
    </row>
    <row r="93" spans="1:19" s="16" customFormat="1" ht="20" customHeight="1" x14ac:dyDescent="0.2">
      <c r="A93" s="16" t="s">
        <v>422</v>
      </c>
      <c r="B93" s="11" t="s">
        <v>602</v>
      </c>
      <c r="C93" s="11" t="s">
        <v>426</v>
      </c>
      <c r="D93" s="28">
        <f t="shared" si="2"/>
        <v>4.4964135443216123E-5</v>
      </c>
      <c r="E93" s="143">
        <f>2/0.7*10</f>
        <v>28.571428571428573</v>
      </c>
      <c r="F93" s="31">
        <f>'Env. stresses'!B94</f>
        <v>60</v>
      </c>
      <c r="G93" s="31">
        <f>'Env. stresses'!C94</f>
        <v>0</v>
      </c>
      <c r="H93" s="31">
        <f>'Env. stresses'!D94</f>
        <v>0</v>
      </c>
      <c r="I93" s="145">
        <f>2000/24</f>
        <v>83.333333333333329</v>
      </c>
      <c r="J93" s="11">
        <f>K93-L93</f>
        <v>0.374</v>
      </c>
      <c r="K93" s="11">
        <v>0.40600000000000003</v>
      </c>
      <c r="L93" s="11">
        <v>3.2000000000000001E-2</v>
      </c>
      <c r="M93" s="11" t="s">
        <v>433</v>
      </c>
      <c r="N93" s="16" t="s">
        <v>327</v>
      </c>
      <c r="O93" s="16" t="s">
        <v>493</v>
      </c>
      <c r="P93" s="11" t="s">
        <v>124</v>
      </c>
      <c r="Q93" s="11" t="s">
        <v>494</v>
      </c>
      <c r="R93" s="81" t="s">
        <v>603</v>
      </c>
      <c r="S93" s="11"/>
    </row>
    <row r="94" spans="1:19" s="16" customFormat="1" ht="20" customHeight="1" x14ac:dyDescent="0.2">
      <c r="A94" s="16" t="s">
        <v>423</v>
      </c>
      <c r="B94" s="11" t="s">
        <v>602</v>
      </c>
      <c r="C94" s="11" t="s">
        <v>426</v>
      </c>
      <c r="D94" s="28">
        <f t="shared" ref="D94" si="6">-LN(1-J94/100)/I94</f>
        <v>1.4182948646990817E-5</v>
      </c>
      <c r="E94" s="143">
        <f>2/0.7*10</f>
        <v>28.571428571428573</v>
      </c>
      <c r="F94" s="31">
        <f>'Env. stresses'!B95</f>
        <v>60</v>
      </c>
      <c r="G94" s="31">
        <f>'Env. stresses'!C95</f>
        <v>0</v>
      </c>
      <c r="H94" s="31">
        <f>'Env. stresses'!D95</f>
        <v>0</v>
      </c>
      <c r="I94" s="145">
        <f>2000/24</f>
        <v>83.333333333333329</v>
      </c>
      <c r="J94" s="13">
        <f>K94-L94</f>
        <v>0.11812142038946161</v>
      </c>
      <c r="K94" s="13">
        <f>1.465*10^-7/(8.73*10^-6)*100-15.6/10</f>
        <v>0.11812142038946161</v>
      </c>
      <c r="L94" s="11">
        <v>0</v>
      </c>
      <c r="M94" s="11" t="s">
        <v>427</v>
      </c>
      <c r="N94" s="16" t="s">
        <v>418</v>
      </c>
      <c r="O94" s="16" t="s">
        <v>493</v>
      </c>
      <c r="P94" s="11" t="s">
        <v>124</v>
      </c>
      <c r="Q94" s="11" t="s">
        <v>494</v>
      </c>
      <c r="R94" s="81" t="s">
        <v>604</v>
      </c>
      <c r="S94" s="11"/>
    </row>
    <row r="95" spans="1:19" ht="20" customHeight="1" x14ac:dyDescent="0.2">
      <c r="E95" s="6"/>
      <c r="F95" s="6"/>
      <c r="J95" s="12"/>
      <c r="K95" s="5"/>
      <c r="L95" s="5"/>
      <c r="M95" s="5"/>
    </row>
    <row r="96" spans="1:19" ht="40" customHeight="1" x14ac:dyDescent="0.2">
      <c r="A96" s="234" t="s">
        <v>814</v>
      </c>
      <c r="B96" s="234"/>
      <c r="C96" s="234"/>
      <c r="D96" s="234"/>
      <c r="E96" s="234"/>
      <c r="F96" s="234"/>
      <c r="G96" s="234"/>
      <c r="H96" s="234"/>
      <c r="I96" s="234"/>
      <c r="J96" s="234"/>
      <c r="K96" s="234"/>
      <c r="L96" s="234"/>
      <c r="M96" s="234"/>
      <c r="N96" s="234"/>
      <c r="O96" s="234"/>
      <c r="P96" s="234"/>
      <c r="Q96" s="234"/>
    </row>
    <row r="97" spans="1:18" ht="40" customHeight="1" x14ac:dyDescent="0.2">
      <c r="A97" s="216" t="s">
        <v>989</v>
      </c>
      <c r="B97" s="216"/>
      <c r="C97" s="216"/>
      <c r="D97" s="216"/>
      <c r="E97" s="216"/>
      <c r="F97" s="216"/>
      <c r="G97" s="216"/>
      <c r="H97" s="216"/>
      <c r="I97" s="216"/>
      <c r="J97" s="216"/>
      <c r="K97" s="216"/>
      <c r="L97" s="216"/>
      <c r="M97" s="216"/>
      <c r="N97" s="216"/>
      <c r="O97" s="216"/>
      <c r="P97" s="216"/>
      <c r="Q97" s="216"/>
      <c r="R97" s="80"/>
    </row>
    <row r="98" spans="1:18" ht="20" customHeight="1" x14ac:dyDescent="0.2">
      <c r="A98" s="14"/>
      <c r="O98" s="80"/>
      <c r="P98" s="150"/>
      <c r="Q98" s="150"/>
      <c r="R98" s="80"/>
    </row>
  </sheetData>
  <sortState xmlns:xlrd2="http://schemas.microsoft.com/office/spreadsheetml/2017/richdata2" ref="A82:S85">
    <sortCondition ref="A82:A85"/>
  </sortState>
  <mergeCells count="2">
    <mergeCell ref="A96:Q96"/>
    <mergeCell ref="A97:Q97"/>
  </mergeCells>
  <phoneticPr fontId="7" type="noConversion"/>
  <pageMargins left="0.7" right="0.7" top="0.75" bottom="0.75" header="0.3" footer="0.3"/>
  <pageSetup orientation="portrait" horizontalDpi="0" verticalDpi="0"/>
  <ignoredErrors>
    <ignoredError sqref="E38 E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63"/>
  <sheetViews>
    <sheetView workbookViewId="0"/>
  </sheetViews>
  <sheetFormatPr baseColWidth="10" defaultColWidth="15.83203125" defaultRowHeight="20" customHeight="1" x14ac:dyDescent="0.2"/>
  <sheetData>
    <row r="1" spans="1:16" ht="20" customHeight="1" x14ac:dyDescent="0.2">
      <c r="A1" s="162" t="s">
        <v>990</v>
      </c>
      <c r="B1" s="162"/>
      <c r="C1" s="162"/>
      <c r="D1" s="162"/>
      <c r="E1" s="162"/>
      <c r="F1" s="162"/>
      <c r="G1" s="162"/>
      <c r="H1" s="162"/>
      <c r="I1" s="162"/>
      <c r="J1" s="162"/>
      <c r="K1" s="162"/>
      <c r="L1" s="162"/>
      <c r="M1" s="162"/>
      <c r="N1" s="162"/>
      <c r="O1" s="162"/>
      <c r="P1" s="162"/>
    </row>
    <row r="2" spans="1:16" s="3" customFormat="1" ht="20" customHeight="1" x14ac:dyDescent="0.2">
      <c r="A2" s="51" t="s">
        <v>7</v>
      </c>
      <c r="B2" s="50" t="s">
        <v>6</v>
      </c>
      <c r="C2" s="51" t="s">
        <v>9</v>
      </c>
      <c r="D2" s="50" t="s">
        <v>8</v>
      </c>
      <c r="E2" s="51" t="s">
        <v>219</v>
      </c>
      <c r="F2" s="50" t="s">
        <v>10</v>
      </c>
      <c r="G2" s="236" t="s">
        <v>120</v>
      </c>
      <c r="H2" s="236"/>
      <c r="I2" s="54" t="s">
        <v>7</v>
      </c>
      <c r="J2" s="54" t="s">
        <v>6</v>
      </c>
      <c r="K2" s="55" t="s">
        <v>9</v>
      </c>
      <c r="L2" s="54" t="s">
        <v>8</v>
      </c>
      <c r="M2" s="55" t="s">
        <v>11</v>
      </c>
      <c r="N2" s="54" t="s">
        <v>10</v>
      </c>
      <c r="O2" s="237" t="s">
        <v>125</v>
      </c>
      <c r="P2" s="237"/>
    </row>
    <row r="3" spans="1:16" s="3" customFormat="1" ht="20" customHeight="1" x14ac:dyDescent="0.2">
      <c r="A3" s="45">
        <f>'Drop-down lists'!C7</f>
        <v>4.6565907501850404E-6</v>
      </c>
      <c r="B3" s="45">
        <f>'Drop-down lists'!D7</f>
        <v>2.2591669322139198</v>
      </c>
      <c r="C3" s="45">
        <f>'Drop-down lists'!E7</f>
        <v>5.3412730896969978E-4</v>
      </c>
      <c r="D3" s="45">
        <f>'Drop-down lists'!F7</f>
        <v>4.9999999999999827E-13</v>
      </c>
      <c r="E3" s="45">
        <f>'Drop-down lists'!G7</f>
        <v>8.6756319826511703</v>
      </c>
      <c r="F3" s="45">
        <f>'Drop-down lists'!H7</f>
        <v>1.4363331500021483</v>
      </c>
      <c r="G3" s="236"/>
      <c r="H3" s="236"/>
      <c r="I3" s="65">
        <f>'Drop-down lists'!C8</f>
        <v>7.2296289068305691E-3</v>
      </c>
      <c r="J3" s="65">
        <f>'Drop-down lists'!D8</f>
        <v>3.9038558090829327</v>
      </c>
      <c r="K3" s="65">
        <f>'Drop-down lists'!E8</f>
        <v>3.2687796728633455E-10</v>
      </c>
      <c r="L3" s="65">
        <f>'Drop-down lists'!F8</f>
        <v>0.5497565488813938</v>
      </c>
      <c r="M3" s="65">
        <f>'Drop-down lists'!G8</f>
        <v>55.746382030426993</v>
      </c>
      <c r="N3" s="65">
        <f>'Drop-down lists'!H8</f>
        <v>4.9468547671349521</v>
      </c>
      <c r="O3" s="237"/>
      <c r="P3" s="237"/>
    </row>
    <row r="4" spans="1:16" s="3" customFormat="1" ht="20" customHeight="1" x14ac:dyDescent="0.2">
      <c r="A4" s="51" t="s">
        <v>13</v>
      </c>
      <c r="B4" s="50" t="s">
        <v>12</v>
      </c>
      <c r="C4" s="51" t="s">
        <v>221</v>
      </c>
      <c r="D4" s="50" t="s">
        <v>14</v>
      </c>
      <c r="E4" s="50" t="s">
        <v>16</v>
      </c>
      <c r="F4" s="50" t="s">
        <v>17</v>
      </c>
      <c r="G4" s="236"/>
      <c r="H4" s="236"/>
      <c r="I4" s="54" t="s">
        <v>13</v>
      </c>
      <c r="J4" s="54" t="s">
        <v>12</v>
      </c>
      <c r="K4" s="55" t="s">
        <v>15</v>
      </c>
      <c r="L4" s="54" t="s">
        <v>14</v>
      </c>
      <c r="M4" s="55" t="s">
        <v>16</v>
      </c>
      <c r="N4" s="54" t="s">
        <v>17</v>
      </c>
      <c r="O4" s="237"/>
      <c r="P4" s="237"/>
    </row>
    <row r="5" spans="1:16" s="3" customFormat="1" ht="20" customHeight="1" x14ac:dyDescent="0.2">
      <c r="A5" s="45">
        <f>'Drop-down lists'!C20</f>
        <v>5.498191491131529E-3</v>
      </c>
      <c r="B5" s="45">
        <f>'Drop-down lists'!D20</f>
        <v>1.3720790802151868E-2</v>
      </c>
      <c r="C5" s="45">
        <f>'Drop-down lists'!E20</f>
        <v>1.7245229542043029E-2</v>
      </c>
      <c r="D5" s="45">
        <f>'Drop-down lists'!F20</f>
        <v>0.70549281899550453</v>
      </c>
      <c r="E5" s="45">
        <f>'Drop-down lists'!G20</f>
        <v>1.6158543822027385E-5</v>
      </c>
      <c r="F5" s="45">
        <f>'Drop-down lists'!H20</f>
        <v>0.4421091864971286</v>
      </c>
      <c r="G5" s="236"/>
      <c r="H5" s="236"/>
      <c r="I5" s="65">
        <f>'Drop-down lists'!C21</f>
        <v>2.7325414959528186E-4</v>
      </c>
      <c r="J5" s="65">
        <f>'Drop-down lists'!D21</f>
        <v>0.24329239036966804</v>
      </c>
      <c r="K5" s="65">
        <f>'Drop-down lists'!E21</f>
        <v>1.4446952203994605E-2</v>
      </c>
      <c r="L5" s="65">
        <f>'Drop-down lists'!F21</f>
        <v>1.0090731771779824</v>
      </c>
      <c r="M5" s="65">
        <f>'Drop-down lists'!G21</f>
        <v>6.2330521521325821E-5</v>
      </c>
      <c r="N5" s="65">
        <f>'Drop-down lists'!H21</f>
        <v>0.49603678909463539</v>
      </c>
      <c r="O5" s="237"/>
      <c r="P5" s="237"/>
    </row>
    <row r="6" spans="1:16" ht="20" customHeight="1" x14ac:dyDescent="0.2">
      <c r="A6" s="52" t="s">
        <v>53</v>
      </c>
      <c r="B6" s="52" t="s">
        <v>244</v>
      </c>
      <c r="C6" s="52" t="s">
        <v>166</v>
      </c>
      <c r="D6" s="52" t="s">
        <v>167</v>
      </c>
      <c r="E6" s="52" t="s">
        <v>168</v>
      </c>
      <c r="F6" s="52" t="s">
        <v>115</v>
      </c>
      <c r="G6" s="52" t="s">
        <v>19</v>
      </c>
      <c r="H6" s="52" t="s">
        <v>20</v>
      </c>
      <c r="I6" s="18" t="s">
        <v>209</v>
      </c>
      <c r="J6" s="18" t="s">
        <v>244</v>
      </c>
      <c r="K6" s="18" t="s">
        <v>166</v>
      </c>
      <c r="L6" s="18" t="s">
        <v>167</v>
      </c>
      <c r="M6" s="18" t="s">
        <v>168</v>
      </c>
      <c r="N6" s="18" t="s">
        <v>115</v>
      </c>
      <c r="O6" s="18" t="s">
        <v>19</v>
      </c>
      <c r="P6" s="18" t="s">
        <v>20</v>
      </c>
    </row>
    <row r="7" spans="1:16" ht="20" customHeight="1" x14ac:dyDescent="0.2">
      <c r="A7" s="53" t="s">
        <v>59</v>
      </c>
      <c r="B7" s="53" t="str">
        <f>VLOOKUP(A7, Calibration!A:C, 3, FALSE)</f>
        <v>UV</v>
      </c>
      <c r="C7" s="59">
        <f>$A$3*E7^$B$3*($C$3*F7^$D$3+$E$3*G7^$F$3)</f>
        <v>1.7308963801581665E-6</v>
      </c>
      <c r="D7" s="59">
        <f>VLOOKUP(A7, Calibration!A:D, 4, FALSE)</f>
        <v>5.0226359178605949E-5</v>
      </c>
      <c r="E7" s="33">
        <f>VLOOKUP(A7, Calibration!A:E, 5, FALSE)</f>
        <v>18.123118250828707</v>
      </c>
      <c r="F7" s="33">
        <f>VLOOKUP(A7, Calibration!A:F, 6, FALSE)</f>
        <v>11.169999999999998</v>
      </c>
      <c r="G7" s="33">
        <f>VLOOKUP(A7, Calibration!A:G, 7, FALSE)</f>
        <v>0</v>
      </c>
      <c r="H7" s="33">
        <f>VLOOKUP(A7, Calibration!A:H, 8, FALSE)</f>
        <v>0</v>
      </c>
      <c r="I7" s="19" t="s">
        <v>220</v>
      </c>
      <c r="J7" s="20" t="str">
        <f>VLOOKUP(I7, Calibration!A:C, 3, FALSE)</f>
        <v>UV</v>
      </c>
      <c r="K7" s="65">
        <f>$I$3*M7^$J$3*($K$3*N7^$L$3+$M$3*O7^$N$3)</f>
        <v>1.6645952644175717E-8</v>
      </c>
      <c r="L7" s="65">
        <f>VLOOKUP(I7, Calibration!A:D, 4, FALSE)</f>
        <v>2.4263500511462424E-9</v>
      </c>
      <c r="M7" s="34">
        <f>VLOOKUP(I7, Calibration!A:E, 5, FALSE)</f>
        <v>6.0666666666666664</v>
      </c>
      <c r="N7" s="34">
        <f>VLOOKUP(I7, Calibration!A:F, 6, FALSE)</f>
        <v>27.5</v>
      </c>
      <c r="O7" s="34">
        <f>VLOOKUP(I7, Calibration!A:G, 7, FALSE)</f>
        <v>0</v>
      </c>
      <c r="P7" s="34">
        <f>VLOOKUP(I7, Calibration!A:H, 8, FALSE)</f>
        <v>0</v>
      </c>
    </row>
    <row r="8" spans="1:16" ht="20" customHeight="1" x14ac:dyDescent="0.2">
      <c r="A8" s="53" t="s">
        <v>62</v>
      </c>
      <c r="B8" s="53" t="str">
        <f>VLOOKUP(A8, Calibration!A:C, 3, FALSE)</f>
        <v>UV</v>
      </c>
      <c r="C8" s="59">
        <f t="shared" ref="C8:C15" si="0">$A$3*E8^$B$3*($C$3*F8^$D$3+$E$3*G8^$F$3)</f>
        <v>1.1756982437140479E-7</v>
      </c>
      <c r="D8" s="59">
        <f>VLOOKUP(A8, Calibration!A:D, 4, FALSE)</f>
        <v>2.2023185715519423E-8</v>
      </c>
      <c r="E8" s="33">
        <f>VLOOKUP(A8, Calibration!A:E, 5, FALSE)</f>
        <v>5.511111111111112</v>
      </c>
      <c r="F8" s="33">
        <f>VLOOKUP(A8, Calibration!A:F, 6, FALSE)</f>
        <v>27.5</v>
      </c>
      <c r="G8" s="33">
        <f>VLOOKUP(A8, Calibration!A:G, 7, FALSE)</f>
        <v>0</v>
      </c>
      <c r="H8" s="33">
        <f>VLOOKUP(A8, Calibration!A:H, 8, FALSE)</f>
        <v>0</v>
      </c>
      <c r="I8" s="19" t="s">
        <v>89</v>
      </c>
      <c r="J8" s="20" t="str">
        <f>VLOOKUP(I8, Calibration!A:C, 3, FALSE)</f>
        <v>UV</v>
      </c>
      <c r="K8" s="65">
        <f t="shared" ref="K8:K12" si="1">$I$3*M8^$J$3*($K$3*N8^$L$3+$M$3*O8^$N$3)</f>
        <v>3.8509663648349132E-5</v>
      </c>
      <c r="L8" s="65">
        <f>VLOOKUP(I8, Calibration!A:D, 4, FALSE)</f>
        <v>3.7515375346674404E-6</v>
      </c>
      <c r="M8" s="34">
        <f>VLOOKUP(I8, Calibration!A:E, 5, FALSE)</f>
        <v>44</v>
      </c>
      <c r="N8" s="34">
        <f>VLOOKUP(I8, Calibration!A:F, 6, FALSE)</f>
        <v>28.08</v>
      </c>
      <c r="O8" s="34">
        <f>VLOOKUP(I8, Calibration!A:G, 7, FALSE)</f>
        <v>0</v>
      </c>
      <c r="P8" s="34">
        <f>VLOOKUP(I8, Calibration!A:H, 8, FALSE)</f>
        <v>0</v>
      </c>
    </row>
    <row r="9" spans="1:16" ht="20" customHeight="1" x14ac:dyDescent="0.2">
      <c r="A9" s="53" t="s">
        <v>63</v>
      </c>
      <c r="B9" s="53" t="str">
        <f>VLOOKUP(A9, Calibration!A:C, 3, FALSE)</f>
        <v>UV</v>
      </c>
      <c r="C9" s="59">
        <f t="shared" si="0"/>
        <v>2.6091825671146174E-6</v>
      </c>
      <c r="D9" s="59">
        <f>VLOOKUP(A9, Calibration!A:D, 4, FALSE)</f>
        <v>4.8977514487482431E-7</v>
      </c>
      <c r="E9" s="33">
        <f>VLOOKUP(A9, Calibration!A:E, 5, FALSE)</f>
        <v>21.733333333333334</v>
      </c>
      <c r="F9" s="33">
        <f>VLOOKUP(A9, Calibration!A:F, 6, FALSE)</f>
        <v>27.5</v>
      </c>
      <c r="G9" s="33">
        <f>VLOOKUP(A9, Calibration!A:G, 7, FALSE)</f>
        <v>0</v>
      </c>
      <c r="H9" s="33">
        <f>VLOOKUP(A9, Calibration!A:H, 8, FALSE)</f>
        <v>0</v>
      </c>
      <c r="I9" s="19" t="s">
        <v>90</v>
      </c>
      <c r="J9" s="20" t="str">
        <f>VLOOKUP(I9, Calibration!A:C, 3, FALSE)</f>
        <v>UV</v>
      </c>
      <c r="K9" s="65">
        <f t="shared" si="1"/>
        <v>1.0834287898008933E-5</v>
      </c>
      <c r="L9" s="65">
        <f>VLOOKUP(I9, Calibration!A:D, 4, FALSE)</f>
        <v>7.2541064291061505E-4</v>
      </c>
      <c r="M9" s="34">
        <f>VLOOKUP(I9, Calibration!A:E, 5, FALSE)</f>
        <v>28.571428571428573</v>
      </c>
      <c r="N9" s="34">
        <f>VLOOKUP(I9, Calibration!A:F, 6, FALSE)</f>
        <v>60</v>
      </c>
      <c r="O9" s="34">
        <f>VLOOKUP(I9, Calibration!A:G, 7, FALSE)</f>
        <v>0</v>
      </c>
      <c r="P9" s="34">
        <f>VLOOKUP(I9, Calibration!A:H, 8, FALSE)</f>
        <v>0</v>
      </c>
    </row>
    <row r="10" spans="1:16" ht="20" customHeight="1" x14ac:dyDescent="0.2">
      <c r="A10" s="53" t="s">
        <v>66</v>
      </c>
      <c r="B10" s="53" t="str">
        <f>VLOOKUP(A10, Calibration!A:C, 3, FALSE)</f>
        <v>MS</v>
      </c>
      <c r="C10" s="59">
        <f t="shared" si="0"/>
        <v>1.6348682453580125E-4</v>
      </c>
      <c r="D10" s="59">
        <f>VLOOKUP(A10, Calibration!A:D, 4, FALSE)</f>
        <v>5.0075150338312075E-5</v>
      </c>
      <c r="E10" s="33">
        <f>VLOOKUP(A10, Calibration!A:E, 5, FALSE)</f>
        <v>18.123118250828707</v>
      </c>
      <c r="F10" s="33">
        <f>VLOOKUP(A10, Calibration!A:F, 6, FALSE)</f>
        <v>0</v>
      </c>
      <c r="G10" s="33">
        <f>VLOOKUP(A10, Calibration!A:G, 7, FALSE)</f>
        <v>2.7774403644125034E-2</v>
      </c>
      <c r="H10" s="33">
        <f>VLOOKUP(A10, Calibration!A:H, 8, FALSE)</f>
        <v>0</v>
      </c>
      <c r="I10" s="19" t="s">
        <v>91</v>
      </c>
      <c r="J10" s="20" t="str">
        <f>VLOOKUP(I10, Calibration!A:C, 3, FALSE)</f>
        <v>MS</v>
      </c>
      <c r="K10" s="65">
        <f t="shared" si="1"/>
        <v>3.2322702687562956E-3</v>
      </c>
      <c r="L10" s="65">
        <f>VLOOKUP(I10, Calibration!A:D, 4, FALSE)</f>
        <v>7.0246149369644663E-3</v>
      </c>
      <c r="M10" s="34">
        <f>VLOOKUP(I10, Calibration!A:E, 5, FALSE)</f>
        <v>42</v>
      </c>
      <c r="N10" s="34">
        <f>VLOOKUP(I10, Calibration!A:F, 6, FALSE)</f>
        <v>0</v>
      </c>
      <c r="O10" s="34">
        <f>VLOOKUP(I10, Calibration!A:G, 7, FALSE)</f>
        <v>1.9739208802178717E-2</v>
      </c>
      <c r="P10" s="34">
        <f>VLOOKUP(I10, Calibration!A:H, 8, FALSE)</f>
        <v>0</v>
      </c>
    </row>
    <row r="11" spans="1:16" ht="20" customHeight="1" x14ac:dyDescent="0.2">
      <c r="A11" s="32" t="s">
        <v>184</v>
      </c>
      <c r="B11" s="53" t="str">
        <f>VLOOKUP(A11, Calibration!A:C, 3, FALSE)</f>
        <v>MS</v>
      </c>
      <c r="C11" s="59">
        <f t="shared" si="0"/>
        <v>7.3781123834610121E-3</v>
      </c>
      <c r="D11" s="59">
        <f>VLOOKUP(A11, Calibration!A:D, 4, FALSE)</f>
        <v>4.6846025995511555E-2</v>
      </c>
      <c r="E11" s="33">
        <f>VLOOKUP(A11, Calibration!A:E, 5, FALSE)</f>
        <v>21.733333333333334</v>
      </c>
      <c r="F11" s="33">
        <f>VLOOKUP(A11, Calibration!A:F, 6, FALSE)</f>
        <v>0</v>
      </c>
      <c r="G11" s="33">
        <f>VLOOKUP(A11, Calibration!A:G, 7, FALSE)</f>
        <v>0.29608813203268075</v>
      </c>
      <c r="H11" s="33">
        <f>VLOOKUP(A11, Calibration!A:H, 8, FALSE)</f>
        <v>0</v>
      </c>
      <c r="I11" s="19" t="s">
        <v>93</v>
      </c>
      <c r="J11" s="20" t="str">
        <f>VLOOKUP(I11, Calibration!A:C, 3, FALSE)</f>
        <v>MS</v>
      </c>
      <c r="K11" s="65">
        <f t="shared" si="1"/>
        <v>3.3693998630175069E-4</v>
      </c>
      <c r="L11" s="65">
        <f>VLOOKUP(I11, Calibration!A:D, 4, FALSE)</f>
        <v>2.2744084493751788E-4</v>
      </c>
      <c r="M11" s="34">
        <f>VLOOKUP(I11, Calibration!A:E, 5, FALSE)</f>
        <v>670.66666666666663</v>
      </c>
      <c r="N11" s="34">
        <f>VLOOKUP(I11, Calibration!A:F, 6, FALSE)</f>
        <v>0</v>
      </c>
      <c r="O11" s="34">
        <f>VLOOKUP(I11, Calibration!A:G, 7, FALSE)</f>
        <v>1.4036770703771534E-3</v>
      </c>
      <c r="P11" s="34">
        <f>VLOOKUP(I11, Calibration!A:H, 8, FALSE)</f>
        <v>0</v>
      </c>
    </row>
    <row r="12" spans="1:16" ht="20" customHeight="1" x14ac:dyDescent="0.2">
      <c r="A12" s="53" t="s">
        <v>149</v>
      </c>
      <c r="B12" s="53" t="str">
        <f>VLOOKUP(A12, Calibration!A:C, 3, FALSE)</f>
        <v>MS</v>
      </c>
      <c r="C12" s="59">
        <f t="shared" si="0"/>
        <v>2.470054564984371E-4</v>
      </c>
      <c r="D12" s="59">
        <f>VLOOKUP(A12, Calibration!A:D, 4, FALSE)</f>
        <v>4.000080002137398E-5</v>
      </c>
      <c r="E12" s="33">
        <f>VLOOKUP(A12, Calibration!A:E, 5, FALSE)</f>
        <v>42</v>
      </c>
      <c r="F12" s="33">
        <f>VLOOKUP(A12, Calibration!A:F, 6, FALSE)</f>
        <v>0</v>
      </c>
      <c r="G12" s="33">
        <f>VLOOKUP(A12, Calibration!A:G, 7, FALSE)</f>
        <v>9.8696044010893585E-3</v>
      </c>
      <c r="H12" s="33">
        <f>VLOOKUP(A12, Calibration!A:H, 8, FALSE)</f>
        <v>0</v>
      </c>
      <c r="I12" s="19" t="s">
        <v>208</v>
      </c>
      <c r="J12" s="20" t="str">
        <f>VLOOKUP(I12, Calibration!A:C, 3, FALSE)</f>
        <v>UV+MS</v>
      </c>
      <c r="K12" s="65">
        <f t="shared" si="1"/>
        <v>2.0452566582441382E-7</v>
      </c>
      <c r="L12" s="65">
        <f>VLOOKUP(I12, Calibration!A:D, 4, FALSE)</f>
        <v>7.9718039328363236E-7</v>
      </c>
      <c r="M12" s="34">
        <f>VLOOKUP(I12, Calibration!A:E, 5, FALSE)</f>
        <v>17.142857142857142</v>
      </c>
      <c r="N12" s="34">
        <f>VLOOKUP(I12, Calibration!A:F, 6, FALSE)</f>
        <v>1.65</v>
      </c>
      <c r="O12" s="34">
        <f>VLOOKUP(I12, Calibration!A:G, 7, FALSE)</f>
        <v>2.2008255187676813E-4</v>
      </c>
      <c r="P12" s="34">
        <f>VLOOKUP(I12, Calibration!A:H, 8, FALSE)</f>
        <v>25000</v>
      </c>
    </row>
    <row r="13" spans="1:16" ht="20" customHeight="1" x14ac:dyDescent="0.2">
      <c r="A13" s="53" t="s">
        <v>72</v>
      </c>
      <c r="B13" s="53" t="str">
        <f>VLOOKUP(A13, Calibration!A:C, 3, FALSE)</f>
        <v>MS</v>
      </c>
      <c r="C13" s="59">
        <f t="shared" si="0"/>
        <v>5.910485414093465E-7</v>
      </c>
      <c r="D13" s="59">
        <f>VLOOKUP(A13, Calibration!A:D, 4, FALSE)</f>
        <v>1.7114082987469137E-6</v>
      </c>
      <c r="E13" s="33">
        <f>VLOOKUP(A13, Calibration!A:E, 5, FALSE)</f>
        <v>50</v>
      </c>
      <c r="F13" s="33">
        <f>VLOOKUP(A13, Calibration!A:F, 6, FALSE)</f>
        <v>0</v>
      </c>
      <c r="G13" s="33">
        <f>VLOOKUP(A13, Calibration!A:G, 7, FALSE)</f>
        <v>1.1229416563017226E-4</v>
      </c>
      <c r="H13" s="33">
        <f>VLOOKUP(A13, Calibration!A:H, 8, FALSE)</f>
        <v>0</v>
      </c>
      <c r="I13" s="19" t="s">
        <v>95</v>
      </c>
      <c r="J13" s="20" t="str">
        <f>VLOOKUP(I13, Calibration!A:C, 3, FALSE)</f>
        <v>UV</v>
      </c>
      <c r="K13" s="65">
        <f>$I$5*M13^$J$5*($K$5*N13^$L$5+$M$5*P13^$N$5)</f>
        <v>8.6382421149221211E-5</v>
      </c>
      <c r="L13" s="65">
        <f>VLOOKUP(I13, Calibration!A:D, 4, FALSE)</f>
        <v>8.4721185352082252E-5</v>
      </c>
      <c r="M13" s="34">
        <f>VLOOKUP(I13, Calibration!A:E, 5, FALSE)</f>
        <v>29753.049687592975</v>
      </c>
      <c r="N13" s="34">
        <f>VLOOKUP(I13, Calibration!A:F, 6, FALSE)</f>
        <v>1.7760000000000002</v>
      </c>
      <c r="O13" s="34">
        <f>VLOOKUP(I13, Calibration!A:G, 7, FALSE)</f>
        <v>0</v>
      </c>
      <c r="P13" s="34">
        <f>VLOOKUP(I13, Calibration!A:H, 8, FALSE)</f>
        <v>0</v>
      </c>
    </row>
    <row r="14" spans="1:16" ht="20" customHeight="1" x14ac:dyDescent="0.2">
      <c r="A14" s="53" t="s">
        <v>245</v>
      </c>
      <c r="B14" s="53" t="str">
        <f>VLOOKUP(A14, Calibration!A:C, 3, FALSE)</f>
        <v>UV+MS</v>
      </c>
      <c r="C14" s="59">
        <f t="shared" si="0"/>
        <v>1.7729426134871367E-5</v>
      </c>
      <c r="D14" s="59">
        <f>VLOOKUP(A14, Calibration!A:D, 4, FALSE)</f>
        <v>4.8487269233360927E-6</v>
      </c>
      <c r="E14" s="33">
        <f>VLOOKUP(A14, Calibration!A:E, 5, FALSE)</f>
        <v>50</v>
      </c>
      <c r="F14" s="33">
        <f>VLOOKUP(A14, Calibration!A:F, 6, FALSE)</f>
        <v>4.99</v>
      </c>
      <c r="G14" s="33">
        <f>VLOOKUP(A14, Calibration!A:G, 7, FALSE)</f>
        <v>1.1229416563017226E-4</v>
      </c>
      <c r="H14" s="33">
        <f>VLOOKUP(A14, Calibration!A:H, 8, FALSE)</f>
        <v>0</v>
      </c>
      <c r="I14" s="19" t="s">
        <v>97</v>
      </c>
      <c r="J14" s="20" t="str">
        <f>VLOOKUP(I14, Calibration!A:C, 3, FALSE)</f>
        <v>UV</v>
      </c>
      <c r="K14" s="65">
        <f t="shared" ref="K14:K21" si="2">$I$5*M14^$J$5*($K$5*N14^$L$5+$M$5*P14^$N$5)</f>
        <v>3.4600417217554261E-4</v>
      </c>
      <c r="L14" s="65">
        <f>VLOOKUP(I14, Calibration!A:D, 4, FALSE)</f>
        <v>2.3280000000000002E-4</v>
      </c>
      <c r="M14" s="34">
        <f>VLOOKUP(I14, Calibration!A:E, 5, FALSE)</f>
        <v>103.62414965986396</v>
      </c>
      <c r="N14" s="34">
        <f>VLOOKUP(I14, Calibration!A:F, 6, FALSE)</f>
        <v>27.5</v>
      </c>
      <c r="O14" s="34">
        <f>VLOOKUP(I14, Calibration!A:G, 7, FALSE)</f>
        <v>0</v>
      </c>
      <c r="P14" s="34">
        <f>VLOOKUP(I14, Calibration!A:H, 8, FALSE)</f>
        <v>0</v>
      </c>
    </row>
    <row r="15" spans="1:16" ht="20" customHeight="1" x14ac:dyDescent="0.2">
      <c r="A15" s="53" t="s">
        <v>246</v>
      </c>
      <c r="B15" s="53" t="str">
        <f>VLOOKUP(A15, Calibration!A:C, 3, FALSE)</f>
        <v>UV+MS</v>
      </c>
      <c r="C15" s="59">
        <f t="shared" si="0"/>
        <v>1.2530038066601351E-6</v>
      </c>
      <c r="D15" s="59">
        <f>VLOOKUP(A15, Calibration!A:D, 4, FALSE)</f>
        <v>4.9241579297501446E-6</v>
      </c>
      <c r="E15" s="33">
        <f>VLOOKUP(A15, Calibration!A:E, 5, FALSE)</f>
        <v>15</v>
      </c>
      <c r="F15" s="33">
        <f>VLOOKUP(A15, Calibration!A:F, 6, FALSE)</f>
        <v>1.65</v>
      </c>
      <c r="G15" s="33">
        <f>VLOOKUP(A15, Calibration!A:G, 7, FALSE)</f>
        <v>2.5152291643059212E-4</v>
      </c>
      <c r="H15" s="33">
        <f>VLOOKUP(A15, Calibration!A:H, 8, FALSE)</f>
        <v>25000</v>
      </c>
      <c r="I15" s="19" t="s">
        <v>99</v>
      </c>
      <c r="J15" s="20" t="str">
        <f>VLOOKUP(I15, Calibration!A:C, 3, FALSE)</f>
        <v>UV</v>
      </c>
      <c r="K15" s="65">
        <f t="shared" si="2"/>
        <v>4.6804696565942445E-4</v>
      </c>
      <c r="L15" s="65">
        <f>VLOOKUP(I15, Calibration!A:D, 4, FALSE)</f>
        <v>6.96E-4</v>
      </c>
      <c r="M15" s="34">
        <f>VLOOKUP(I15, Calibration!A:E, 5, FALSE)</f>
        <v>358.72619047619048</v>
      </c>
      <c r="N15" s="34">
        <f>VLOOKUP(I15, Calibration!A:F, 6, FALSE)</f>
        <v>27.5</v>
      </c>
      <c r="O15" s="34">
        <f>VLOOKUP(I15, Calibration!A:G, 7, FALSE)</f>
        <v>0</v>
      </c>
      <c r="P15" s="34">
        <f>VLOOKUP(I15, Calibration!A:H, 8, FALSE)</f>
        <v>0</v>
      </c>
    </row>
    <row r="16" spans="1:16" s="78" customFormat="1" ht="20" customHeight="1" x14ac:dyDescent="0.2">
      <c r="A16" s="32" t="s">
        <v>74</v>
      </c>
      <c r="B16" s="53" t="str">
        <f>VLOOKUP(A16, Calibration!A:C, 3, FALSE)</f>
        <v>UV</v>
      </c>
      <c r="C16" s="59">
        <f t="shared" ref="C16:C25" si="3">$A$5*E16^$B$5*($C$5*F16^$D$5+$E$5*H16^$F$5)</f>
        <v>5.4143556429381474E-4</v>
      </c>
      <c r="D16" s="59">
        <f>VLOOKUP(A16, Calibration!A:D, 4, FALSE)</f>
        <v>4.3906625566003297E-4</v>
      </c>
      <c r="E16" s="33">
        <f>VLOOKUP(A16, Calibration!A:E, 5, FALSE)</f>
        <v>18.123118250828707</v>
      </c>
      <c r="F16" s="33">
        <f>VLOOKUP(A16, Calibration!A:F, 6, FALSE)</f>
        <v>11.169999999999998</v>
      </c>
      <c r="G16" s="33">
        <f>VLOOKUP(A16, Calibration!A:G, 7, FALSE)</f>
        <v>0</v>
      </c>
      <c r="H16" s="33">
        <f>VLOOKUP(A16, Calibration!A:H, 8, FALSE)</f>
        <v>0</v>
      </c>
      <c r="I16" s="19" t="s">
        <v>100</v>
      </c>
      <c r="J16" s="20" t="str">
        <f>VLOOKUP(I16, Calibration!A:C, 3, FALSE)</f>
        <v>MC</v>
      </c>
      <c r="K16" s="65">
        <f t="shared" si="2"/>
        <v>9.7170822777872378E-4</v>
      </c>
      <c r="L16" s="65">
        <f>VLOOKUP(I16, Calibration!A:D, 4, FALSE)</f>
        <v>1.0841063901853355E-3</v>
      </c>
      <c r="M16" s="34">
        <f>VLOOKUP(I16, Calibration!A:E, 5, FALSE)</f>
        <v>670.66666666666663</v>
      </c>
      <c r="N16" s="34">
        <f>VLOOKUP(I16, Calibration!A:F, 6, FALSE)</f>
        <v>0</v>
      </c>
      <c r="O16" s="34">
        <f>VLOOKUP(I16, Calibration!A:G, 7, FALSE)</f>
        <v>1.4036770703771534E-3</v>
      </c>
      <c r="P16" s="34">
        <f>VLOOKUP(I16, Calibration!A:H, 8, FALSE)</f>
        <v>159300000</v>
      </c>
    </row>
    <row r="17" spans="1:16" ht="20" customHeight="1" x14ac:dyDescent="0.2">
      <c r="A17" s="32" t="s">
        <v>75</v>
      </c>
      <c r="B17" s="53" t="str">
        <f>VLOOKUP(A17, Calibration!A:C, 3, FALSE)</f>
        <v>UV</v>
      </c>
      <c r="C17" s="59">
        <f t="shared" si="3"/>
        <v>1.6282748143641354E-4</v>
      </c>
      <c r="D17" s="59">
        <f>VLOOKUP(A17, Calibration!A:D, 4, FALSE)</f>
        <v>2.7999685567191095E-4</v>
      </c>
      <c r="E17" s="33">
        <f>VLOOKUP(A17, Calibration!A:E, 5, FALSE)</f>
        <v>19486.846378694379</v>
      </c>
      <c r="F17" s="33">
        <f>VLOOKUP(A17, Calibration!A:F, 6, FALSE)</f>
        <v>1.7760000000000002</v>
      </c>
      <c r="G17" s="33">
        <f>VLOOKUP(A17, Calibration!A:G, 7, FALSE)</f>
        <v>0</v>
      </c>
      <c r="H17" s="33">
        <f>VLOOKUP(A17, Calibration!A:H, 8, FALSE)</f>
        <v>0</v>
      </c>
      <c r="I17" s="19" t="s">
        <v>148</v>
      </c>
      <c r="J17" s="20" t="str">
        <f>VLOOKUP(I17, Calibration!A:C, 3, FALSE)</f>
        <v>MC</v>
      </c>
      <c r="K17" s="65">
        <f t="shared" si="2"/>
        <v>1.2726833777699398E-3</v>
      </c>
      <c r="L17" s="65">
        <f>VLOOKUP(I17, Calibration!A:D, 4, FALSE)</f>
        <v>1.3607331506751722E-3</v>
      </c>
      <c r="M17" s="34">
        <f>VLOOKUP(I17, Calibration!A:E, 5, FALSE)</f>
        <v>50</v>
      </c>
      <c r="N17" s="34">
        <f>VLOOKUP(I17, Calibration!A:F, 6, FALSE)</f>
        <v>0</v>
      </c>
      <c r="O17" s="34">
        <f>VLOOKUP(I17, Calibration!A:G, 7, FALSE)</f>
        <v>1.6170359850744802E-4</v>
      </c>
      <c r="P17" s="34">
        <f>VLOOKUP(I17, Calibration!A:H, 8, FALSE)</f>
        <v>980580000.00000012</v>
      </c>
    </row>
    <row r="18" spans="1:16" ht="20" customHeight="1" x14ac:dyDescent="0.2">
      <c r="A18" s="32" t="s">
        <v>76</v>
      </c>
      <c r="B18" s="53" t="str">
        <f>VLOOKUP(A18, Calibration!A:C, 3, FALSE)</f>
        <v>MC</v>
      </c>
      <c r="C18" s="59">
        <f t="shared" si="3"/>
        <v>9.7259779853706293E-4</v>
      </c>
      <c r="D18" s="59">
        <f>VLOOKUP(A18, Calibration!A:D, 4, FALSE)</f>
        <v>1.3350194181778823E-3</v>
      </c>
      <c r="E18" s="33">
        <f>VLOOKUP(A18, Calibration!A:E, 5, FALSE)</f>
        <v>25</v>
      </c>
      <c r="F18" s="33">
        <f>VLOOKUP(A18, Calibration!A:F, 6, FALSE)</f>
        <v>0</v>
      </c>
      <c r="G18" s="33">
        <f>VLOOKUP(A18, Calibration!A:G, 7, FALSE)</f>
        <v>0</v>
      </c>
      <c r="H18" s="33">
        <f>VLOOKUP(A18, Calibration!A:H, 8, FALSE)</f>
        <v>1239000000</v>
      </c>
      <c r="I18" s="19" t="s">
        <v>141</v>
      </c>
      <c r="J18" s="20" t="str">
        <f>VLOOKUP(I18, Calibration!A:C, 3, FALSE)</f>
        <v>MC</v>
      </c>
      <c r="K18" s="65">
        <f t="shared" si="2"/>
        <v>1.0347373425427775E-3</v>
      </c>
      <c r="L18" s="65">
        <f>VLOOKUP(I18, Calibration!A:D, 4, FALSE)</f>
        <v>7.4152029824399121E-4</v>
      </c>
      <c r="M18" s="34">
        <f>VLOOKUP(I18, Calibration!A:E, 5, FALSE)</f>
        <v>50</v>
      </c>
      <c r="N18" s="34">
        <f>VLOOKUP(I18, Calibration!A:F, 6, FALSE)</f>
        <v>0</v>
      </c>
      <c r="O18" s="34">
        <f>VLOOKUP(I18, Calibration!A:G, 7, FALSE)</f>
        <v>1.6170359850744802E-4</v>
      </c>
      <c r="P18" s="34">
        <f>VLOOKUP(I18, Calibration!A:H, 8, FALSE)</f>
        <v>646050000</v>
      </c>
    </row>
    <row r="19" spans="1:16" ht="20" customHeight="1" x14ac:dyDescent="0.2">
      <c r="A19" s="32" t="s">
        <v>78</v>
      </c>
      <c r="B19" s="53" t="str">
        <f>VLOOKUP(A19, Calibration!A:C, 3, FALSE)</f>
        <v>MC</v>
      </c>
      <c r="C19" s="59">
        <f t="shared" si="3"/>
        <v>1.0965275318481954E-3</v>
      </c>
      <c r="D19" s="59">
        <f>VLOOKUP(A19, Calibration!A:D, 4, FALSE)</f>
        <v>9.1659960928978674E-4</v>
      </c>
      <c r="E19" s="33">
        <f>VLOOKUP(A19, Calibration!A:E, 5, FALSE)</f>
        <v>300</v>
      </c>
      <c r="F19" s="33">
        <f>VLOOKUP(A19, Calibration!A:F, 6, FALSE)</f>
        <v>0</v>
      </c>
      <c r="G19" s="33">
        <f>VLOOKUP(A19, Calibration!A:G, 7, FALSE)</f>
        <v>4.6509415020449733E-5</v>
      </c>
      <c r="H19" s="33">
        <f>VLOOKUP(A19, Calibration!A:H, 8, FALSE)</f>
        <v>1504500000</v>
      </c>
      <c r="I19" s="19" t="s">
        <v>142</v>
      </c>
      <c r="J19" s="20" t="str">
        <f>VLOOKUP(I19, Calibration!A:C, 3, FALSE)</f>
        <v>MC</v>
      </c>
      <c r="K19" s="65">
        <f t="shared" si="2"/>
        <v>1.6888721550957909E-3</v>
      </c>
      <c r="L19" s="65">
        <f>VLOOKUP(I19, Calibration!A:D, 4, FALSE)</f>
        <v>2.7793869646350338E-3</v>
      </c>
      <c r="M19" s="34">
        <f>VLOOKUP(I19, Calibration!A:E, 5, FALSE)</f>
        <v>50</v>
      </c>
      <c r="N19" s="34">
        <f>VLOOKUP(I19, Calibration!A:F, 6, FALSE)</f>
        <v>0</v>
      </c>
      <c r="O19" s="34">
        <f>VLOOKUP(I19, Calibration!A:G, 7, FALSE)</f>
        <v>1.6170359850744802E-4</v>
      </c>
      <c r="P19" s="34">
        <f>VLOOKUP(I19, Calibration!A:H, 8, FALSE)</f>
        <v>1734600000</v>
      </c>
    </row>
    <row r="20" spans="1:16" ht="20" customHeight="1" x14ac:dyDescent="0.2">
      <c r="A20" s="32" t="s">
        <v>82</v>
      </c>
      <c r="B20" s="53" t="str">
        <f>VLOOKUP(A20, Calibration!A:C, 3, FALSE)</f>
        <v>MC</v>
      </c>
      <c r="C20" s="59">
        <f>$A$5*E20^$B$5*($C$5*F20^$D$5+$E$5*H20^$F$5)</f>
        <v>9.7205318927326976E-4</v>
      </c>
      <c r="D20" s="59">
        <f>VLOOKUP(A20, Calibration!A:D, 4, FALSE)</f>
        <v>1.0173428080876999E-3</v>
      </c>
      <c r="E20" s="33">
        <f>VLOOKUP(A20, Calibration!A:E, 5, FALSE)</f>
        <v>24</v>
      </c>
      <c r="F20" s="33">
        <f>VLOOKUP(A20, Calibration!A:F, 6, FALSE)</f>
        <v>0</v>
      </c>
      <c r="G20" s="33">
        <f>VLOOKUP(A20, Calibration!A:G, 7, FALSE)</f>
        <v>0</v>
      </c>
      <c r="H20" s="33">
        <f>VLOOKUP(A20, Calibration!A:H, 8, FALSE)</f>
        <v>1239000000</v>
      </c>
      <c r="I20" s="19" t="s">
        <v>143</v>
      </c>
      <c r="J20" s="20" t="str">
        <f>VLOOKUP(I20, Calibration!A:C, 3, FALSE)</f>
        <v>MC</v>
      </c>
      <c r="K20" s="65">
        <f t="shared" si="2"/>
        <v>2.41939613557787E-3</v>
      </c>
      <c r="L20" s="65">
        <f>VLOOKUP(I20, Calibration!A:D, 4, FALSE)</f>
        <v>1.7069710188323622E-3</v>
      </c>
      <c r="M20" s="34">
        <f>VLOOKUP(I20, Calibration!A:E, 5, FALSE)</f>
        <v>300</v>
      </c>
      <c r="N20" s="34">
        <f>VLOOKUP(I20, Calibration!A:F, 6, FALSE)</f>
        <v>0</v>
      </c>
      <c r="O20" s="34">
        <f>VLOOKUP(I20, Calibration!A:G, 7, FALSE)</f>
        <v>4.6509415020449733E-5</v>
      </c>
      <c r="P20" s="34">
        <f>VLOOKUP(I20, Calibration!A:H, 8, FALSE)</f>
        <v>1486800000</v>
      </c>
    </row>
    <row r="21" spans="1:16" ht="20" customHeight="1" x14ac:dyDescent="0.2">
      <c r="A21" s="32" t="s">
        <v>83</v>
      </c>
      <c r="B21" s="53" t="str">
        <f>VLOOKUP(A21, Calibration!A:C, 3, FALSE)</f>
        <v>MC</v>
      </c>
      <c r="C21" s="59">
        <f t="shared" si="3"/>
        <v>4.1464487624462708E-4</v>
      </c>
      <c r="D21" s="59">
        <f>VLOOKUP(A21, Calibration!A:D, 4, FALSE)</f>
        <v>1.7379991030144627E-3</v>
      </c>
      <c r="E21" s="33">
        <f>VLOOKUP(A21, Calibration!A:E, 5, FALSE)</f>
        <v>44</v>
      </c>
      <c r="F21" s="33">
        <f>VLOOKUP(A21, Calibration!A:F, 6, FALSE)</f>
        <v>0</v>
      </c>
      <c r="G21" s="33">
        <f>VLOOKUP(A21, Calibration!A:G, 7, FALSE)</f>
        <v>7.0183853518857671E-4</v>
      </c>
      <c r="H21" s="33">
        <f>VLOOKUP(A21, Calibration!A:H, 8, FALSE)</f>
        <v>177000000</v>
      </c>
      <c r="I21" s="19" t="s">
        <v>199</v>
      </c>
      <c r="J21" s="20" t="str">
        <f>VLOOKUP(I21, Calibration!A:C, 3, FALSE)</f>
        <v>UV+MC</v>
      </c>
      <c r="K21" s="65">
        <f t="shared" si="2"/>
        <v>1.822777595313345E-5</v>
      </c>
      <c r="L21" s="65">
        <f>VLOOKUP(I21, Calibration!A:D, 4, FALSE)</f>
        <v>1.871511500468019E-5</v>
      </c>
      <c r="M21" s="34">
        <f>VLOOKUP(I21, Calibration!A:E, 5, FALSE)</f>
        <v>17.142857142857142</v>
      </c>
      <c r="N21" s="34">
        <f>VLOOKUP(I21, Calibration!A:F, 6, FALSE)</f>
        <v>1.65</v>
      </c>
      <c r="O21" s="34">
        <f>VLOOKUP(I21, Calibration!A:G, 7, FALSE)</f>
        <v>2.2008255187676813E-4</v>
      </c>
      <c r="P21" s="34">
        <f>VLOOKUP(I21, Calibration!A:H, 8, FALSE)</f>
        <v>25000</v>
      </c>
    </row>
    <row r="22" spans="1:16" ht="20" customHeight="1" x14ac:dyDescent="0.2">
      <c r="A22" s="32" t="s">
        <v>84</v>
      </c>
      <c r="B22" s="53" t="str">
        <f>VLOOKUP(A22, Calibration!A:C, 3, FALSE)</f>
        <v>MC</v>
      </c>
      <c r="C22" s="59">
        <f t="shared" si="3"/>
        <v>2.6119816866020675E-3</v>
      </c>
      <c r="D22" s="59">
        <f>VLOOKUP(A22, Calibration!A:D, 4, FALSE)</f>
        <v>1.1320388122590915E-3</v>
      </c>
      <c r="E22" s="33">
        <f>VLOOKUP(A22, Calibration!A:E, 5, FALSE)</f>
        <v>400.26666666666665</v>
      </c>
      <c r="F22" s="33">
        <f>VLOOKUP(A22, Calibration!A:F, 6, FALSE)</f>
        <v>0</v>
      </c>
      <c r="G22" s="33">
        <f>VLOOKUP(A22, Calibration!A:G, 7, FALSE)</f>
        <v>0</v>
      </c>
      <c r="H22" s="33">
        <f>VLOOKUP(A22, Calibration!A:H, 8, FALSE)</f>
        <v>10620000000</v>
      </c>
      <c r="I22" s="19"/>
      <c r="J22" s="20"/>
      <c r="K22" s="65"/>
      <c r="L22" s="65"/>
      <c r="M22" s="34"/>
      <c r="N22" s="34"/>
      <c r="O22" s="34"/>
      <c r="P22" s="34"/>
    </row>
    <row r="23" spans="1:16" ht="20" customHeight="1" x14ac:dyDescent="0.2">
      <c r="A23" s="32" t="s">
        <v>87</v>
      </c>
      <c r="B23" s="53" t="str">
        <f>VLOOKUP(A23, Calibration!A:C, 3, FALSE)</f>
        <v>MC</v>
      </c>
      <c r="C23" s="59">
        <f t="shared" si="3"/>
        <v>8.0019414340879146E-5</v>
      </c>
      <c r="D23" s="59">
        <f>VLOOKUP(A23, Calibration!A:D, 4, FALSE)</f>
        <v>3.7755426442963807E-5</v>
      </c>
      <c r="E23" s="33">
        <f>VLOOKUP(A23, Calibration!A:E, 5, FALSE)</f>
        <v>402.66666666666669</v>
      </c>
      <c r="F23" s="33">
        <f>VLOOKUP(A23, Calibration!A:F, 6, FALSE)</f>
        <v>0</v>
      </c>
      <c r="G23" s="33">
        <f>VLOOKUP(A23, Calibration!A:G, 7, FALSE)</f>
        <v>1.9985948912205954E-3</v>
      </c>
      <c r="H23" s="33">
        <f>VLOOKUP(A23, Calibration!A:H, 8, FALSE)</f>
        <v>4000000</v>
      </c>
      <c r="I23" s="69"/>
      <c r="J23" s="69"/>
      <c r="K23" s="71"/>
      <c r="L23" s="71"/>
      <c r="M23" s="69"/>
      <c r="N23" s="69"/>
      <c r="O23" s="69"/>
      <c r="P23" s="69"/>
    </row>
    <row r="24" spans="1:16" ht="20" customHeight="1" x14ac:dyDescent="0.2">
      <c r="A24" s="32" t="s">
        <v>247</v>
      </c>
      <c r="B24" s="53" t="str">
        <f>VLOOKUP(A24, Calibration!A:C, 3, FALSE)</f>
        <v>UV+MC</v>
      </c>
      <c r="C24" s="59">
        <f t="shared" si="3"/>
        <v>6.4334225232114605E-4</v>
      </c>
      <c r="D24" s="59">
        <f>VLOOKUP(A24, Calibration!A:D, 4, FALSE)</f>
        <v>7.6175080293620445E-4</v>
      </c>
      <c r="E24" s="33">
        <f>VLOOKUP(A24, Calibration!A:E, 5, FALSE)</f>
        <v>44</v>
      </c>
      <c r="F24" s="33">
        <f>VLOOKUP(A24, Calibration!A:F, 6, FALSE)</f>
        <v>14</v>
      </c>
      <c r="G24" s="33">
        <f>VLOOKUP(A24, Calibration!A:G, 7, FALSE)</f>
        <v>0</v>
      </c>
      <c r="H24" s="33">
        <f>VLOOKUP(A24, Calibration!A:H, 8, FALSE)</f>
        <v>72</v>
      </c>
      <c r="I24" s="69"/>
      <c r="J24" s="69"/>
      <c r="K24" s="71"/>
      <c r="L24" s="71"/>
      <c r="M24" s="69"/>
      <c r="N24" s="69"/>
      <c r="O24" s="69"/>
      <c r="P24" s="69"/>
    </row>
    <row r="25" spans="1:16" ht="20" customHeight="1" x14ac:dyDescent="0.2">
      <c r="A25" s="32" t="s">
        <v>248</v>
      </c>
      <c r="B25" s="53" t="str">
        <f>VLOOKUP(A25, Calibration!A:C, 3, FALSE)</f>
        <v>UV+MC</v>
      </c>
      <c r="C25" s="59">
        <f t="shared" si="3"/>
        <v>1.4821877792064561E-4</v>
      </c>
      <c r="D25" s="59">
        <f>VLOOKUP(A25, Calibration!A:D, 4, FALSE)</f>
        <v>8.7213456542719069E-5</v>
      </c>
      <c r="E25" s="33">
        <f>VLOOKUP(A25, Calibration!A:E, 5, FALSE)</f>
        <v>15</v>
      </c>
      <c r="F25" s="33">
        <f>VLOOKUP(A25, Calibration!A:F, 6, FALSE)</f>
        <v>1.65</v>
      </c>
      <c r="G25" s="33">
        <f>VLOOKUP(A25, Calibration!A:G, 7, FALSE)</f>
        <v>2.5152291643059212E-4</v>
      </c>
      <c r="H25" s="33">
        <f>VLOOKUP(A25, Calibration!A:H, 8, FALSE)</f>
        <v>25000</v>
      </c>
      <c r="I25" s="69"/>
      <c r="J25" s="69"/>
      <c r="K25" s="71"/>
      <c r="L25" s="71"/>
      <c r="M25" s="69"/>
      <c r="N25" s="69"/>
      <c r="O25" s="69"/>
      <c r="P25" s="69"/>
    </row>
    <row r="26" spans="1:16" ht="20" customHeight="1" x14ac:dyDescent="0.2">
      <c r="A26" s="64" t="s">
        <v>7</v>
      </c>
      <c r="B26" s="64" t="s">
        <v>6</v>
      </c>
      <c r="C26" s="70" t="s">
        <v>9</v>
      </c>
      <c r="D26" s="64" t="s">
        <v>8</v>
      </c>
      <c r="E26" s="70" t="s">
        <v>11</v>
      </c>
      <c r="F26" s="64" t="s">
        <v>10</v>
      </c>
      <c r="G26" s="235" t="s">
        <v>138</v>
      </c>
      <c r="H26" s="235"/>
      <c r="I26" s="26" t="s">
        <v>7</v>
      </c>
      <c r="J26" s="26" t="s">
        <v>6</v>
      </c>
      <c r="K26" s="26" t="s">
        <v>9</v>
      </c>
      <c r="L26" s="26" t="s">
        <v>8</v>
      </c>
      <c r="M26" s="26" t="s">
        <v>11</v>
      </c>
      <c r="N26" s="26" t="s">
        <v>10</v>
      </c>
      <c r="O26" s="238" t="s">
        <v>137</v>
      </c>
      <c r="P26" s="238"/>
    </row>
    <row r="27" spans="1:16" ht="20" customHeight="1" x14ac:dyDescent="0.2">
      <c r="A27" s="49" t="str">
        <f>'Drop-down lists'!C9</f>
        <v>N/A</v>
      </c>
      <c r="B27" s="49" t="str">
        <f>'Drop-down lists'!D9</f>
        <v>N/A</v>
      </c>
      <c r="C27" s="49" t="str">
        <f>'Drop-down lists'!E9</f>
        <v>N/A</v>
      </c>
      <c r="D27" s="49" t="str">
        <f>'Drop-down lists'!F9</f>
        <v>N/A</v>
      </c>
      <c r="E27" s="49" t="str">
        <f>'Drop-down lists'!G9</f>
        <v>N/A</v>
      </c>
      <c r="F27" s="49" t="str">
        <f>'Drop-down lists'!H9</f>
        <v>N/A</v>
      </c>
      <c r="G27" s="235"/>
      <c r="H27" s="235"/>
      <c r="I27" s="42" t="str">
        <f>'Drop-down lists'!C6</f>
        <v>N/A</v>
      </c>
      <c r="J27" s="42" t="str">
        <f>'Drop-down lists'!D6</f>
        <v>N/A</v>
      </c>
      <c r="K27" s="42" t="str">
        <f>'Drop-down lists'!E6</f>
        <v>N/A</v>
      </c>
      <c r="L27" s="42" t="str">
        <f>'Drop-down lists'!F6</f>
        <v>N/A</v>
      </c>
      <c r="M27" s="42" t="str">
        <f>'Drop-down lists'!G6</f>
        <v>N/A</v>
      </c>
      <c r="N27" s="42" t="str">
        <f>'Drop-down lists'!H6</f>
        <v>N/A</v>
      </c>
      <c r="O27" s="238"/>
      <c r="P27" s="238"/>
    </row>
    <row r="28" spans="1:16" ht="20" customHeight="1" x14ac:dyDescent="0.2">
      <c r="A28" s="64" t="s">
        <v>13</v>
      </c>
      <c r="B28" s="64" t="s">
        <v>12</v>
      </c>
      <c r="C28" s="70" t="s">
        <v>15</v>
      </c>
      <c r="D28" s="64" t="s">
        <v>14</v>
      </c>
      <c r="E28" s="70" t="s">
        <v>16</v>
      </c>
      <c r="F28" s="64" t="s">
        <v>17</v>
      </c>
      <c r="G28" s="235"/>
      <c r="H28" s="235"/>
      <c r="I28" s="26" t="s">
        <v>13</v>
      </c>
      <c r="J28" s="26" t="s">
        <v>12</v>
      </c>
      <c r="K28" s="26" t="s">
        <v>15</v>
      </c>
      <c r="L28" s="26" t="s">
        <v>14</v>
      </c>
      <c r="M28" s="26" t="s">
        <v>16</v>
      </c>
      <c r="N28" s="26" t="s">
        <v>17</v>
      </c>
      <c r="O28" s="238"/>
      <c r="P28" s="238"/>
    </row>
    <row r="29" spans="1:16" ht="20" customHeight="1" x14ac:dyDescent="0.2">
      <c r="A29" s="49">
        <f>'Drop-down lists'!C22</f>
        <v>2.432762664179211E-4</v>
      </c>
      <c r="B29" s="49">
        <f>'Drop-down lists'!D22</f>
        <v>0.79097577099168459</v>
      </c>
      <c r="C29" s="49">
        <f>'Drop-down lists'!E22</f>
        <v>1.3261955767881682E-5</v>
      </c>
      <c r="D29" s="49">
        <f>'Drop-down lists'!F22</f>
        <v>1.8763022076137708</v>
      </c>
      <c r="E29" s="49">
        <f>'Drop-down lists'!G22</f>
        <v>1.5217890973559184E-2</v>
      </c>
      <c r="F29" s="49">
        <f>'Drop-down lists'!H22</f>
        <v>7.8461949501476475E-2</v>
      </c>
      <c r="G29" s="235"/>
      <c r="H29" s="235"/>
      <c r="I29" s="42">
        <f>'Drop-down lists'!C19</f>
        <v>4.7218302973121193E-9</v>
      </c>
      <c r="J29" s="42">
        <f>'Drop-down lists'!D19</f>
        <v>1.3476470812839827</v>
      </c>
      <c r="K29" s="42">
        <f>'Drop-down lists'!E19</f>
        <v>3.6784226416775896E-4</v>
      </c>
      <c r="L29" s="42">
        <f>'Drop-down lists'!F19</f>
        <v>4.9897636856199528</v>
      </c>
      <c r="M29" s="42">
        <f>'Drop-down lists'!G19</f>
        <v>5.3315116606357247E-5</v>
      </c>
      <c r="N29" s="42">
        <f>'Drop-down lists'!H19</f>
        <v>0.65085027677318608</v>
      </c>
      <c r="O29" s="238"/>
      <c r="P29" s="238"/>
    </row>
    <row r="30" spans="1:16" ht="20" customHeight="1" x14ac:dyDescent="0.2">
      <c r="A30" s="61" t="s">
        <v>53</v>
      </c>
      <c r="B30" s="61" t="s">
        <v>244</v>
      </c>
      <c r="C30" s="61" t="s">
        <v>166</v>
      </c>
      <c r="D30" s="61" t="s">
        <v>167</v>
      </c>
      <c r="E30" s="61" t="s">
        <v>168</v>
      </c>
      <c r="F30" s="61" t="s">
        <v>115</v>
      </c>
      <c r="G30" s="61" t="s">
        <v>19</v>
      </c>
      <c r="H30" s="61" t="s">
        <v>20</v>
      </c>
      <c r="I30" s="26" t="s">
        <v>53</v>
      </c>
      <c r="J30" s="26" t="s">
        <v>244</v>
      </c>
      <c r="K30" s="26" t="s">
        <v>166</v>
      </c>
      <c r="L30" s="26" t="s">
        <v>167</v>
      </c>
      <c r="M30" s="26" t="s">
        <v>168</v>
      </c>
      <c r="N30" s="26" t="s">
        <v>115</v>
      </c>
      <c r="O30" s="26" t="s">
        <v>19</v>
      </c>
      <c r="P30" s="26" t="s">
        <v>20</v>
      </c>
    </row>
    <row r="31" spans="1:16" ht="20" customHeight="1" x14ac:dyDescent="0.2">
      <c r="A31" s="47" t="s">
        <v>188</v>
      </c>
      <c r="B31" s="47" t="str">
        <f>VLOOKUP(A31, Calibration!A:C, 3, FALSE)</f>
        <v>UV</v>
      </c>
      <c r="C31" s="62">
        <f>$A$29*E31^$B$29*($C$29*F31^$D$29+$E$29*H31^$F$29)</f>
        <v>3.1537476757809954E-5</v>
      </c>
      <c r="D31" s="62">
        <f>VLOOKUP(A31, Calibration!A:D, 4, FALSE)</f>
        <v>3.1550838249993155E-5</v>
      </c>
      <c r="E31" s="35">
        <f>VLOOKUP(A31, Calibration!A:E, 5, FALSE)</f>
        <v>28368.794326241135</v>
      </c>
      <c r="F31" s="35">
        <f>VLOOKUP(A31, Calibration!A:F, 6, FALSE)</f>
        <v>1.7760000000000002</v>
      </c>
      <c r="G31" s="35">
        <f>VLOOKUP(A31, Calibration!A:G, 7, FALSE)</f>
        <v>0</v>
      </c>
      <c r="H31" s="35">
        <f>VLOOKUP(A31, Calibration!A:H, 8, FALSE)</f>
        <v>0</v>
      </c>
      <c r="I31" s="72" t="s">
        <v>189</v>
      </c>
      <c r="J31" s="79" t="str">
        <f>VLOOKUP(I31, Calibration!A:C, 3, FALSE)</f>
        <v>UV</v>
      </c>
      <c r="K31" s="42">
        <f>$I$29*M31^$J$29*($K$29*N31^$L$29+$M$29*P31^$N$29)</f>
        <v>1.2779296362875984E-5</v>
      </c>
      <c r="L31" s="44">
        <f>VLOOKUP(I31, Calibration!A:D, 4, FALSE)</f>
        <v>1.2631815226529572E-5</v>
      </c>
      <c r="M31" s="60">
        <f>VLOOKUP(I31, Calibration!A:E, 5, FALSE)</f>
        <v>14851.485148514852</v>
      </c>
      <c r="N31" s="60">
        <f>VLOOKUP(I31, Calibration!A:F, 6, FALSE)</f>
        <v>1.7760000000000002</v>
      </c>
      <c r="O31" s="60">
        <f>VLOOKUP(I31, Calibration!A:G, 7, FALSE)</f>
        <v>0</v>
      </c>
      <c r="P31" s="60">
        <f>VLOOKUP(I31, Calibration!A:H, 8, FALSE)</f>
        <v>0</v>
      </c>
    </row>
    <row r="32" spans="1:16" ht="20" customHeight="1" x14ac:dyDescent="0.2">
      <c r="A32" s="47" t="s">
        <v>210</v>
      </c>
      <c r="B32" s="47" t="str">
        <f>VLOOKUP(A32, Calibration!A:C, 3, FALSE)</f>
        <v>UV</v>
      </c>
      <c r="C32" s="62">
        <f t="shared" ref="C32:C39" si="4">$A$29*E32^$B$29*($C$29*F32^$D$29+$E$29*H32^$F$29)</f>
        <v>5.7636357819570438E-3</v>
      </c>
      <c r="D32" s="62">
        <f>VLOOKUP(A32, Calibration!A:D, 4, FALSE)</f>
        <v>6.929113248940192E-3</v>
      </c>
      <c r="E32" s="35">
        <f>VLOOKUP(A32, Calibration!A:E, 5, FALSE)</f>
        <v>4014.8588410104012</v>
      </c>
      <c r="F32" s="35">
        <f>VLOOKUP(A32, Calibration!A:F, 6, FALSE)</f>
        <v>65</v>
      </c>
      <c r="G32" s="35">
        <f>VLOOKUP(A32, Calibration!A:G, 7, FALSE)</f>
        <v>0</v>
      </c>
      <c r="H32" s="35">
        <f>VLOOKUP(A32, Calibration!A:H, 8, FALSE)</f>
        <v>0</v>
      </c>
      <c r="I32" s="72" t="s">
        <v>191</v>
      </c>
      <c r="J32" s="79" t="str">
        <f>VLOOKUP(I32, Calibration!A:C, 3, FALSE)</f>
        <v>MC</v>
      </c>
      <c r="K32" s="42">
        <f t="shared" ref="K32:K37" si="5">$I$29*M32^$J$29*($K$29*N32^$L$29+$M$29*P32^$N$29)</f>
        <v>3.7311430527680262E-3</v>
      </c>
      <c r="L32" s="44">
        <f>VLOOKUP(I32, Calibration!A:D, 4, FALSE)</f>
        <v>5.8117795714925933E-3</v>
      </c>
      <c r="M32" s="60">
        <f>VLOOKUP(I32, Calibration!A:E, 5, FALSE)</f>
        <v>1010</v>
      </c>
      <c r="N32" s="60">
        <f>VLOOKUP(I32, Calibration!A:F, 6, FALSE)</f>
        <v>0</v>
      </c>
      <c r="O32" s="60">
        <f>VLOOKUP(I32, Calibration!A:G, 7, FALSE)</f>
        <v>1.6170359850744802E-4</v>
      </c>
      <c r="P32" s="60">
        <f>VLOOKUP(I32, Calibration!A:H, 8, FALSE)</f>
        <v>2548800000</v>
      </c>
    </row>
    <row r="33" spans="1:16" ht="20" customHeight="1" x14ac:dyDescent="0.2">
      <c r="A33" s="47" t="s">
        <v>194</v>
      </c>
      <c r="B33" s="47" t="str">
        <f>VLOOKUP(A33, Calibration!A:C, 3, FALSE)</f>
        <v>MC</v>
      </c>
      <c r="C33" s="62">
        <f t="shared" si="4"/>
        <v>5.6941421163212021E-4</v>
      </c>
      <c r="D33" s="62">
        <f>VLOOKUP(A33, Calibration!A:D, 4, FALSE)</f>
        <v>1.0153069161569525E-3</v>
      </c>
      <c r="E33" s="35">
        <f>VLOOKUP(A33, Calibration!A:E, 5, FALSE)</f>
        <v>76.666666666666657</v>
      </c>
      <c r="F33" s="35">
        <f>VLOOKUP(A33, Calibration!A:F, 6, FALSE)</f>
        <v>0</v>
      </c>
      <c r="G33" s="35">
        <f>VLOOKUP(A33, Calibration!A:G, 7, FALSE)</f>
        <v>3.2340719701489604E-4</v>
      </c>
      <c r="H33" s="35">
        <f>VLOOKUP(A33, Calibration!A:H, 8, FALSE)</f>
        <v>748710000</v>
      </c>
      <c r="I33" s="72" t="s">
        <v>192</v>
      </c>
      <c r="J33" s="79" t="str">
        <f>VLOOKUP(I33, Calibration!A:C, 3, FALSE)</f>
        <v>MC</v>
      </c>
      <c r="K33" s="42">
        <f t="shared" si="5"/>
        <v>1.8865083848068676E-3</v>
      </c>
      <c r="L33" s="44">
        <f>VLOOKUP(I33, Calibration!A:D, 4, FALSE)</f>
        <v>1.7097764795850194E-3</v>
      </c>
      <c r="M33" s="60">
        <f>VLOOKUP(I33, Calibration!A:E, 5, FALSE)</f>
        <v>1010</v>
      </c>
      <c r="N33" s="60">
        <f>VLOOKUP(I33, Calibration!A:F, 6, FALSE)</f>
        <v>0</v>
      </c>
      <c r="O33" s="60">
        <f>VLOOKUP(I33, Calibration!A:G, 7, FALSE)</f>
        <v>1.6170359850744802E-4</v>
      </c>
      <c r="P33" s="60">
        <f>VLOOKUP(I33, Calibration!A:H, 8, FALSE)</f>
        <v>893850000</v>
      </c>
    </row>
    <row r="34" spans="1:16" ht="20" customHeight="1" x14ac:dyDescent="0.2">
      <c r="A34" s="47" t="s">
        <v>195</v>
      </c>
      <c r="B34" s="47" t="str">
        <f>VLOOKUP(A34, Calibration!A:C, 3, FALSE)</f>
        <v>MC</v>
      </c>
      <c r="C34" s="62">
        <f t="shared" si="4"/>
        <v>5.1444851204170085E-4</v>
      </c>
      <c r="D34" s="62">
        <f>VLOOKUP(A34, Calibration!A:D, 4, FALSE)</f>
        <v>6.734235772506489E-4</v>
      </c>
      <c r="E34" s="35">
        <f>VLOOKUP(A34, Calibration!A:E, 5, FALSE)</f>
        <v>76.666666666666657</v>
      </c>
      <c r="F34" s="35">
        <f>VLOOKUP(A34, Calibration!A:F, 6, FALSE)</f>
        <v>0</v>
      </c>
      <c r="G34" s="35">
        <f>VLOOKUP(A34, Calibration!A:G, 7, FALSE)</f>
        <v>3.2340719701489604E-4</v>
      </c>
      <c r="H34" s="35">
        <f>VLOOKUP(A34, Calibration!A:H, 8, FALSE)</f>
        <v>205320000</v>
      </c>
      <c r="I34" s="72" t="s">
        <v>193</v>
      </c>
      <c r="J34" s="79" t="str">
        <f>VLOOKUP(I34, Calibration!A:C, 3, FALSE)</f>
        <v>MC</v>
      </c>
      <c r="K34" s="42">
        <f t="shared" si="5"/>
        <v>2.1560046944215988E-3</v>
      </c>
      <c r="L34" s="44">
        <f>VLOOKUP(I34, Calibration!A:D, 4, FALSE)</f>
        <v>2.0625134572695844E-3</v>
      </c>
      <c r="M34" s="60">
        <f>VLOOKUP(I34, Calibration!A:E, 5, FALSE)</f>
        <v>1010</v>
      </c>
      <c r="N34" s="60">
        <f>VLOOKUP(I34, Calibration!A:F, 6, FALSE)</f>
        <v>0</v>
      </c>
      <c r="O34" s="60">
        <f>VLOOKUP(I34, Calibration!A:G, 7, FALSE)</f>
        <v>1.6170359850744802E-4</v>
      </c>
      <c r="P34" s="60">
        <f>VLOOKUP(I34, Calibration!A:H, 8, FALSE)</f>
        <v>1097400000</v>
      </c>
    </row>
    <row r="35" spans="1:16" ht="20" customHeight="1" x14ac:dyDescent="0.2">
      <c r="A35" s="47" t="s">
        <v>196</v>
      </c>
      <c r="B35" s="47" t="str">
        <f>VLOOKUP(A35, Calibration!A:C, 3, FALSE)</f>
        <v>MC</v>
      </c>
      <c r="C35" s="62">
        <f t="shared" si="4"/>
        <v>5.9651066777960003E-4</v>
      </c>
      <c r="D35" s="62">
        <f>VLOOKUP(A35, Calibration!A:D, 4, FALSE)</f>
        <v>1.5697202511283522E-3</v>
      </c>
      <c r="E35" s="35">
        <f>VLOOKUP(A35, Calibration!A:E, 5, FALSE)</f>
        <v>76.666666666666657</v>
      </c>
      <c r="F35" s="35">
        <f>VLOOKUP(A35, Calibration!A:F, 6, FALSE)</f>
        <v>0</v>
      </c>
      <c r="G35" s="35">
        <f>VLOOKUP(A35, Calibration!A:G, 7, FALSE)</f>
        <v>3.2340719701489604E-4</v>
      </c>
      <c r="H35" s="35">
        <f>VLOOKUP(A35, Calibration!A:H, 8, FALSE)</f>
        <v>1354050000</v>
      </c>
      <c r="I35" s="72" t="s">
        <v>197</v>
      </c>
      <c r="J35" s="79" t="str">
        <f>VLOOKUP(I35, Calibration!A:C, 3, FALSE)</f>
        <v>MC</v>
      </c>
      <c r="K35" s="42">
        <f t="shared" si="5"/>
        <v>1.7042349286370384E-3</v>
      </c>
      <c r="L35" s="44">
        <f>VLOOKUP(I35, Calibration!A:D, 4, FALSE)</f>
        <v>9.945217502961149E-4</v>
      </c>
      <c r="M35" s="60">
        <f>VLOOKUP(I35, Calibration!A:E, 5, FALSE)</f>
        <v>800</v>
      </c>
      <c r="N35" s="60">
        <f>VLOOKUP(I35, Calibration!A:F, 6, FALSE)</f>
        <v>0</v>
      </c>
      <c r="O35" s="60">
        <f>VLOOKUP(I35, Calibration!A:G, 7, FALSE)</f>
        <v>1.7441030632668648E-5</v>
      </c>
      <c r="P35" s="60">
        <f>VLOOKUP(I35, Calibration!A:H, 8, FALSE)</f>
        <v>1239000000</v>
      </c>
    </row>
    <row r="36" spans="1:16" ht="20" customHeight="1" x14ac:dyDescent="0.2">
      <c r="A36" s="47" t="s">
        <v>200</v>
      </c>
      <c r="B36" s="47" t="str">
        <f>VLOOKUP(A36, Calibration!A:C, 3, FALSE)</f>
        <v>MC</v>
      </c>
      <c r="C36" s="62">
        <f t="shared" si="4"/>
        <v>1.7327341437574099E-3</v>
      </c>
      <c r="D36" s="62">
        <f>VLOOKUP(A36, Calibration!A:D, 4, FALSE)</f>
        <v>1.2297561047692946E-3</v>
      </c>
      <c r="E36" s="35">
        <f>VLOOKUP(A36, Calibration!A:E, 5, FALSE)</f>
        <v>300</v>
      </c>
      <c r="F36" s="35">
        <f>VLOOKUP(A36, Calibration!A:F, 6, FALSE)</f>
        <v>0</v>
      </c>
      <c r="G36" s="35">
        <f>VLOOKUP(A36, Calibration!A:G, 7, FALSE)</f>
        <v>4.6509415020449733E-5</v>
      </c>
      <c r="H36" s="35">
        <f>VLOOKUP(A36, Calibration!A:H, 8, FALSE)</f>
        <v>1150500000</v>
      </c>
      <c r="I36" s="72" t="s">
        <v>198</v>
      </c>
      <c r="J36" s="79" t="str">
        <f>VLOOKUP(I36, Calibration!A:C, 3, FALSE)</f>
        <v>MC</v>
      </c>
      <c r="K36" s="42">
        <f t="shared" si="5"/>
        <v>6.2803574775055428E-4</v>
      </c>
      <c r="L36" s="44">
        <f>VLOOKUP(I36, Calibration!A:D, 4, FALSE)</f>
        <v>7.9242716858136399E-4</v>
      </c>
      <c r="M36" s="60">
        <f>VLOOKUP(I36, Calibration!A:E, 5, FALSE)</f>
        <v>800</v>
      </c>
      <c r="N36" s="60">
        <f>VLOOKUP(I36, Calibration!A:F, 6, FALSE)</f>
        <v>0</v>
      </c>
      <c r="O36" s="60">
        <f>VLOOKUP(I36, Calibration!A:G, 7, FALSE)</f>
        <v>1.9844017075391887E-5</v>
      </c>
      <c r="P36" s="60">
        <f>VLOOKUP(I36, Calibration!A:H, 8, FALSE)</f>
        <v>267270000</v>
      </c>
    </row>
    <row r="37" spans="1:16" ht="20" customHeight="1" x14ac:dyDescent="0.2">
      <c r="A37" s="47" t="s">
        <v>211</v>
      </c>
      <c r="B37" s="47" t="str">
        <f>VLOOKUP(A37, Calibration!A:C, 3, FALSE)</f>
        <v>MC</v>
      </c>
      <c r="C37" s="62">
        <f t="shared" si="4"/>
        <v>4.3902971871997179E-4</v>
      </c>
      <c r="D37" s="62">
        <f>VLOOKUP(A37, Calibration!A:D, 4, FALSE)</f>
        <v>1.7921535477648492E-4</v>
      </c>
      <c r="E37" s="35">
        <f>VLOOKUP(A37, Calibration!A:E, 5, FALSE)</f>
        <v>30</v>
      </c>
      <c r="F37" s="35">
        <f>VLOOKUP(A37, Calibration!A:F, 6, FALSE)</f>
        <v>0</v>
      </c>
      <c r="G37" s="35">
        <f>VLOOKUP(A37, Calibration!A:G, 7, FALSE)</f>
        <v>0</v>
      </c>
      <c r="H37" s="35">
        <f>VLOOKUP(A37, Calibration!A:H, 8, FALSE)</f>
        <v>349000000000</v>
      </c>
      <c r="I37" s="72" t="s">
        <v>762</v>
      </c>
      <c r="J37" s="79" t="str">
        <f>VLOOKUP(I37, Calibration!A:C, 3, FALSE)</f>
        <v>UV+MC</v>
      </c>
      <c r="K37" s="42">
        <f t="shared" si="5"/>
        <v>1.0118191087134534E-4</v>
      </c>
      <c r="L37" s="44">
        <f>VLOOKUP(I37, Calibration!A:D, 4, FALSE)</f>
        <v>1.0213297570574279E-4</v>
      </c>
      <c r="M37" s="60">
        <f>VLOOKUP(I37, Calibration!A:E, 5, FALSE)</f>
        <v>33</v>
      </c>
      <c r="N37" s="60">
        <f>VLOOKUP(I37, Calibration!A:F, 6, FALSE)</f>
        <v>14</v>
      </c>
      <c r="O37" s="60">
        <f>VLOOKUP(I37, Calibration!A:G, 7, FALSE)</f>
        <v>0</v>
      </c>
      <c r="P37" s="60">
        <f>VLOOKUP(I37, Calibration!A:H, 8, FALSE)</f>
        <v>72</v>
      </c>
    </row>
    <row r="38" spans="1:16" ht="20" customHeight="1" x14ac:dyDescent="0.2">
      <c r="A38" s="47" t="s">
        <v>203</v>
      </c>
      <c r="B38" s="47" t="str">
        <f>VLOOKUP(A38, Calibration!A:C, 3, FALSE)</f>
        <v>UV+MC</v>
      </c>
      <c r="C38" s="62">
        <f t="shared" si="4"/>
        <v>1.2720331135578321E-2</v>
      </c>
      <c r="D38" s="62">
        <f>VLOOKUP(A38, Calibration!A:D, 4, FALSE)</f>
        <v>8.4716995832996491E-3</v>
      </c>
      <c r="E38" s="35">
        <f>VLOOKUP(A38, Calibration!A:E, 5, FALSE)</f>
        <v>4014.8588410104012</v>
      </c>
      <c r="F38" s="35">
        <f>VLOOKUP(A38, Calibration!A:F, 6, FALSE)</f>
        <v>65</v>
      </c>
      <c r="G38" s="35">
        <f>VLOOKUP(A38, Calibration!A:G, 7, FALSE)</f>
        <v>0</v>
      </c>
      <c r="H38" s="35">
        <f>VLOOKUP(A38, Calibration!A:H, 8, FALSE)</f>
        <v>250000</v>
      </c>
      <c r="I38" s="72"/>
      <c r="J38" s="72"/>
      <c r="K38" s="72"/>
      <c r="L38" s="72"/>
      <c r="M38" s="72"/>
      <c r="N38" s="72"/>
      <c r="O38" s="72"/>
      <c r="P38" s="72"/>
    </row>
    <row r="39" spans="1:16" ht="20" customHeight="1" x14ac:dyDescent="0.2">
      <c r="A39" s="47" t="s">
        <v>207</v>
      </c>
      <c r="B39" s="47" t="str">
        <f>VLOOKUP(A39, Calibration!A:C, 3, FALSE)</f>
        <v>UV+MC</v>
      </c>
      <c r="C39" s="62">
        <f t="shared" si="4"/>
        <v>8.2328406868594278E-5</v>
      </c>
      <c r="D39" s="62">
        <f>VLOOKUP(A39, Calibration!A:D, 4, FALSE)</f>
        <v>5.7759664046708904E-5</v>
      </c>
      <c r="E39" s="35">
        <f>VLOOKUP(A39, Calibration!A:E, 5, FALSE)</f>
        <v>18.461538461538463</v>
      </c>
      <c r="F39" s="35">
        <f>VLOOKUP(A39, Calibration!A:F, 6, FALSE)</f>
        <v>1.65</v>
      </c>
      <c r="G39" s="35">
        <f>VLOOKUP(A39, Calibration!A:G, 7, FALSE)</f>
        <v>2.043623695998561E-4</v>
      </c>
      <c r="H39" s="35">
        <f>VLOOKUP(A39, Calibration!A:H, 8, FALSE)</f>
        <v>25000</v>
      </c>
      <c r="I39" s="72"/>
      <c r="J39" s="72"/>
      <c r="K39" s="72"/>
      <c r="L39" s="72"/>
      <c r="M39" s="72"/>
      <c r="N39" s="72"/>
      <c r="O39" s="72"/>
      <c r="P39" s="72"/>
    </row>
    <row r="40" spans="1:16" s="73" customFormat="1" ht="20" customHeight="1" x14ac:dyDescent="0.2">
      <c r="A40" s="52" t="s">
        <v>7</v>
      </c>
      <c r="B40" s="52" t="s">
        <v>6</v>
      </c>
      <c r="C40" s="52" t="s">
        <v>9</v>
      </c>
      <c r="D40" s="52" t="s">
        <v>8</v>
      </c>
      <c r="E40" s="52" t="s">
        <v>11</v>
      </c>
      <c r="F40" s="52" t="s">
        <v>10</v>
      </c>
      <c r="G40" s="236" t="s">
        <v>190</v>
      </c>
      <c r="H40" s="236"/>
      <c r="I40" s="18" t="s">
        <v>7</v>
      </c>
      <c r="J40" s="18" t="s">
        <v>6</v>
      </c>
      <c r="K40" s="18" t="s">
        <v>9</v>
      </c>
      <c r="L40" s="18" t="s">
        <v>8</v>
      </c>
      <c r="M40" s="18" t="s">
        <v>11</v>
      </c>
      <c r="N40" s="18" t="s">
        <v>10</v>
      </c>
      <c r="O40" s="237" t="s">
        <v>127</v>
      </c>
      <c r="P40" s="237"/>
    </row>
    <row r="41" spans="1:16" ht="20" customHeight="1" x14ac:dyDescent="0.2">
      <c r="A41" s="53"/>
      <c r="B41" s="53"/>
      <c r="C41" s="53"/>
      <c r="D41" s="53"/>
      <c r="E41" s="53"/>
      <c r="F41" s="53"/>
      <c r="G41" s="236"/>
      <c r="H41" s="236"/>
      <c r="I41" s="19"/>
      <c r="J41" s="19"/>
      <c r="K41" s="19"/>
      <c r="L41" s="19"/>
      <c r="M41" s="19"/>
      <c r="N41" s="19"/>
      <c r="O41" s="237"/>
      <c r="P41" s="237"/>
    </row>
    <row r="42" spans="1:16" s="73" customFormat="1" ht="20" customHeight="1" x14ac:dyDescent="0.2">
      <c r="A42" s="52" t="s">
        <v>13</v>
      </c>
      <c r="B42" s="52" t="s">
        <v>12</v>
      </c>
      <c r="C42" s="52" t="s">
        <v>15</v>
      </c>
      <c r="D42" s="52" t="s">
        <v>14</v>
      </c>
      <c r="E42" s="52" t="s">
        <v>16</v>
      </c>
      <c r="F42" s="52" t="s">
        <v>17</v>
      </c>
      <c r="G42" s="236"/>
      <c r="H42" s="236"/>
      <c r="I42" s="18" t="s">
        <v>13</v>
      </c>
      <c r="J42" s="18" t="s">
        <v>12</v>
      </c>
      <c r="K42" s="18" t="s">
        <v>15</v>
      </c>
      <c r="L42" s="18" t="s">
        <v>14</v>
      </c>
      <c r="M42" s="18" t="s">
        <v>16</v>
      </c>
      <c r="N42" s="18" t="s">
        <v>17</v>
      </c>
      <c r="O42" s="237"/>
      <c r="P42" s="237"/>
    </row>
    <row r="43" spans="1:16" ht="20" customHeight="1" x14ac:dyDescent="0.2">
      <c r="A43" s="45">
        <f>'Drop-down lists'!C17</f>
        <v>1.0262753023911369E-2</v>
      </c>
      <c r="B43" s="45">
        <f>'Drop-down lists'!D17</f>
        <v>3.358408094206361E-11</v>
      </c>
      <c r="C43" s="45">
        <f>'Drop-down lists'!E17</f>
        <v>2.1825283888841857E-3</v>
      </c>
      <c r="D43" s="45">
        <f>'Drop-down lists'!F17</f>
        <v>0.29904863199407866</v>
      </c>
      <c r="E43" s="45">
        <f>'Drop-down lists'!G17</f>
        <v>3.780320604053785E-4</v>
      </c>
      <c r="F43" s="45">
        <f>'Drop-down lists'!H17</f>
        <v>0.21648776963088343</v>
      </c>
      <c r="G43" s="236"/>
      <c r="H43" s="236"/>
      <c r="I43" s="65">
        <f>'Drop-down lists'!C18</f>
        <v>1.1050589923981958E-2</v>
      </c>
      <c r="J43" s="65">
        <f>'Drop-down lists'!D18</f>
        <v>4.9999999999999827E-13</v>
      </c>
      <c r="K43" s="65">
        <f>'Drop-down lists'!E18</f>
        <v>1.0314560124374485E-2</v>
      </c>
      <c r="L43" s="65">
        <f>'Drop-down lists'!F18</f>
        <v>4.362022267738264E-3</v>
      </c>
      <c r="M43" s="65">
        <f>'Drop-down lists'!G18</f>
        <v>1.0475542749963076E-4</v>
      </c>
      <c r="N43" s="65">
        <f>'Drop-down lists'!H18</f>
        <v>0.32405972126395782</v>
      </c>
      <c r="O43" s="237"/>
      <c r="P43" s="237"/>
    </row>
    <row r="44" spans="1:16" ht="20" customHeight="1" x14ac:dyDescent="0.2">
      <c r="A44" s="52" t="s">
        <v>53</v>
      </c>
      <c r="B44" s="52" t="s">
        <v>244</v>
      </c>
      <c r="C44" s="52" t="s">
        <v>166</v>
      </c>
      <c r="D44" s="52" t="s">
        <v>167</v>
      </c>
      <c r="E44" s="52" t="s">
        <v>168</v>
      </c>
      <c r="F44" s="52" t="s">
        <v>115</v>
      </c>
      <c r="G44" s="52" t="s">
        <v>19</v>
      </c>
      <c r="H44" s="52" t="s">
        <v>20</v>
      </c>
      <c r="I44" s="18" t="s">
        <v>53</v>
      </c>
      <c r="J44" s="18" t="s">
        <v>244</v>
      </c>
      <c r="K44" s="18" t="s">
        <v>166</v>
      </c>
      <c r="L44" s="18" t="s">
        <v>167</v>
      </c>
      <c r="M44" s="18" t="s">
        <v>168</v>
      </c>
      <c r="N44" s="18" t="s">
        <v>115</v>
      </c>
      <c r="O44" s="18" t="s">
        <v>19</v>
      </c>
      <c r="P44" s="18" t="s">
        <v>20</v>
      </c>
    </row>
    <row r="45" spans="1:16" ht="20" customHeight="1" x14ac:dyDescent="0.2">
      <c r="A45" s="53" t="s">
        <v>111</v>
      </c>
      <c r="B45" s="53" t="str">
        <f>VLOOKUP(A45, Calibration!A:C, 3, FALSE)</f>
        <v>UV</v>
      </c>
      <c r="C45" s="59">
        <f>$A$43*E45^$B$43*($C$43*F45^$D$43+$E$43*H45^$F$43)</f>
        <v>2.6596185634773843E-5</v>
      </c>
      <c r="D45" s="59">
        <f>VLOOKUP(A45, Calibration!A:D, 4, FALSE)</f>
        <v>2.6981742615929878E-5</v>
      </c>
      <c r="E45" s="33">
        <f>VLOOKUP(A45, Calibration!A:E, 5, FALSE)</f>
        <v>13544.018058690746</v>
      </c>
      <c r="F45" s="33">
        <f>VLOOKUP(A45, Calibration!A:F, 6, FALSE)</f>
        <v>1.7760000000000002</v>
      </c>
      <c r="G45" s="33">
        <f>VLOOKUP(A45, Calibration!A:G, 7, FALSE)</f>
        <v>0</v>
      </c>
      <c r="H45" s="33">
        <f>VLOOKUP(A45, Calibration!A:H, 8, FALSE)</f>
        <v>0</v>
      </c>
      <c r="I45" s="19" t="s">
        <v>110</v>
      </c>
      <c r="J45" s="20" t="str">
        <f>VLOOKUP(I45, Calibration!A:C, 3, FALSE)</f>
        <v>UV</v>
      </c>
      <c r="K45" s="65">
        <f>$I$43*M45^$J$43*($K$43*N45^$L$43+$M$43*P45^$N$43)</f>
        <v>1.1426790116776523E-4</v>
      </c>
      <c r="L45" s="77">
        <f>VLOOKUP(I45, Calibration!A:D, 4, FALSE)</f>
        <v>1.1426795451997308E-4</v>
      </c>
      <c r="M45" s="22">
        <f>VLOOKUP(I45, Calibration!A:E, 5, FALSE)</f>
        <v>13006.720138738348</v>
      </c>
      <c r="N45" s="22">
        <f>VLOOKUP(I45, Calibration!A:F, 6, FALSE)</f>
        <v>1.7760000000000002</v>
      </c>
      <c r="O45" s="22">
        <f>VLOOKUP(I45, Calibration!A:G, 7, FALSE)</f>
        <v>0</v>
      </c>
      <c r="P45" s="22">
        <f>VLOOKUP(I45, Calibration!A:H, 8, FALSE)</f>
        <v>0</v>
      </c>
    </row>
    <row r="46" spans="1:16" ht="20" customHeight="1" x14ac:dyDescent="0.2">
      <c r="A46" s="53" t="s">
        <v>243</v>
      </c>
      <c r="B46" s="53" t="str">
        <f>VLOOKUP(A46, Calibration!A:C, 3, FALSE)</f>
        <v>MC</v>
      </c>
      <c r="C46" s="59">
        <f t="shared" ref="C46:C51" si="6">$A$43*E46^$B$43*($C$43*F46^$D$43+$E$43*H46^$F$43)</f>
        <v>3.6085376193156782E-4</v>
      </c>
      <c r="D46" s="59">
        <f>VLOOKUP(A46, Calibration!A:D, 4, FALSE)</f>
        <v>1.075230245032481E-3</v>
      </c>
      <c r="E46" s="33">
        <f>VLOOKUP(A46, Calibration!A:E, 5, FALSE)</f>
        <v>24</v>
      </c>
      <c r="F46" s="33">
        <f>VLOOKUP(A46, Calibration!A:F, 6, FALSE)</f>
        <v>0</v>
      </c>
      <c r="G46" s="33">
        <f>VLOOKUP(A46, Calibration!A:G, 7, FALSE)</f>
        <v>0</v>
      </c>
      <c r="H46" s="33">
        <f>VLOOKUP(A46, Calibration!A:H, 8, FALSE)</f>
        <v>1239000000</v>
      </c>
      <c r="I46" s="19" t="s">
        <v>201</v>
      </c>
      <c r="J46" s="20" t="str">
        <f>VLOOKUP(I46, Calibration!A:C, 3, FALSE)</f>
        <v>MC</v>
      </c>
      <c r="K46" s="65">
        <f t="shared" ref="K46:K52" si="7">$I$43*M46^$J$43*($K$43*N46^$L$43+$M$43*P46^$N$43)</f>
        <v>1.0239061451192974E-3</v>
      </c>
      <c r="L46" s="77">
        <f>VLOOKUP(I46, Calibration!A:D, 4, FALSE)</f>
        <v>1.1095634676004838E-3</v>
      </c>
      <c r="M46" s="22">
        <f>VLOOKUP(I46, Calibration!A:E, 5, FALSE)</f>
        <v>24</v>
      </c>
      <c r="N46" s="22">
        <f>VLOOKUP(I46, Calibration!A:F, 6, FALSE)</f>
        <v>0</v>
      </c>
      <c r="O46" s="22">
        <f>VLOOKUP(I46, Calibration!A:G, 7, FALSE)</f>
        <v>0</v>
      </c>
      <c r="P46" s="22">
        <f>VLOOKUP(I46, Calibration!A:H, 8, FALSE)</f>
        <v>1239000000</v>
      </c>
    </row>
    <row r="47" spans="1:16" ht="20" customHeight="1" x14ac:dyDescent="0.2">
      <c r="A47" s="53" t="s">
        <v>204</v>
      </c>
      <c r="B47" s="53" t="str">
        <f>VLOOKUP(A47, Calibration!A:C, 3, FALSE)</f>
        <v>MC</v>
      </c>
      <c r="C47" s="59">
        <f t="shared" si="6"/>
        <v>2.6545174485380026E-4</v>
      </c>
      <c r="D47" s="59">
        <f>VLOOKUP(A47, Calibration!A:D, 4, FALSE)</f>
        <v>2.1087740664225396E-4</v>
      </c>
      <c r="E47" s="33">
        <f>VLOOKUP(A47, Calibration!A:E, 5, FALSE)</f>
        <v>401.99999999999994</v>
      </c>
      <c r="F47" s="33">
        <f>VLOOKUP(A47, Calibration!A:F, 6, FALSE)</f>
        <v>0</v>
      </c>
      <c r="G47" s="33">
        <f>VLOOKUP(A47, Calibration!A:G, 7, FALSE)</f>
        <v>9.095827416043957E-3</v>
      </c>
      <c r="H47" s="33">
        <f>VLOOKUP(A47, Calibration!A:H, 8, FALSE)</f>
        <v>300000000</v>
      </c>
      <c r="I47" s="19" t="s">
        <v>206</v>
      </c>
      <c r="J47" s="20" t="str">
        <f>VLOOKUP(I47, Calibration!A:C, 3, FALSE)</f>
        <v>MC</v>
      </c>
      <c r="K47" s="65">
        <f t="shared" si="7"/>
        <v>1.6596679779126095E-3</v>
      </c>
      <c r="L47" s="77">
        <f>VLOOKUP(I47, Calibration!A:D, 4, FALSE)</f>
        <v>2.2402916564483329E-3</v>
      </c>
      <c r="M47" s="22">
        <f>VLOOKUP(I47, Calibration!A:E, 5, FALSE)</f>
        <v>177.51479289940829</v>
      </c>
      <c r="N47" s="22">
        <f>VLOOKUP(I47, Calibration!A:F, 6, FALSE)</f>
        <v>0</v>
      </c>
      <c r="O47" s="22">
        <f>VLOOKUP(I47, Calibration!A:G, 7, FALSE)</f>
        <v>3.2194933303115791E-5</v>
      </c>
      <c r="P47" s="22">
        <f>VLOOKUP(I47, Calibration!A:H, 8, FALSE)</f>
        <v>5500000000</v>
      </c>
    </row>
    <row r="48" spans="1:16" ht="20" customHeight="1" x14ac:dyDescent="0.2">
      <c r="A48" s="53" t="s">
        <v>205</v>
      </c>
      <c r="B48" s="53" t="str">
        <f>VLOOKUP(A48, Calibration!A:C, 3, FALSE)</f>
        <v>MC</v>
      </c>
      <c r="C48" s="59">
        <f t="shared" si="6"/>
        <v>2.8250965371013622E-4</v>
      </c>
      <c r="D48" s="59">
        <f>VLOOKUP(A48, Calibration!A:D, 4, FALSE)</f>
        <v>3.2927561255211935E-4</v>
      </c>
      <c r="E48" s="33">
        <f>VLOOKUP(A48, Calibration!A:E, 5, FALSE)</f>
        <v>401.99999999999994</v>
      </c>
      <c r="F48" s="33">
        <f>VLOOKUP(A48, Calibration!A:F, 6, FALSE)</f>
        <v>0</v>
      </c>
      <c r="G48" s="33">
        <f>VLOOKUP(A48, Calibration!A:G, 7, FALSE)</f>
        <v>9.095827416043957E-3</v>
      </c>
      <c r="H48" s="33">
        <f>VLOOKUP(A48, Calibration!A:H, 8, FALSE)</f>
        <v>400000000</v>
      </c>
      <c r="I48" s="19" t="s">
        <v>215</v>
      </c>
      <c r="J48" s="20" t="str">
        <f>VLOOKUP(I48, Calibration!A:C, 3, FALSE)</f>
        <v>MC</v>
      </c>
      <c r="K48" s="65">
        <f t="shared" si="7"/>
        <v>1.1388349024287819E-3</v>
      </c>
      <c r="L48" s="77">
        <f>VLOOKUP(I48, Calibration!A:D, 4, FALSE)</f>
        <v>6.9272865569920477E-4</v>
      </c>
      <c r="M48" s="22">
        <f>VLOOKUP(I48, Calibration!A:E, 5, FALSE)</f>
        <v>2503.333333333333</v>
      </c>
      <c r="N48" s="22">
        <f>VLOOKUP(I48, Calibration!A:F, 6, FALSE)</f>
        <v>0</v>
      </c>
      <c r="O48" s="22">
        <f>VLOOKUP(I48, Calibration!A:G, 7, FALSE)</f>
        <v>1.3323965941470634E-3</v>
      </c>
      <c r="P48" s="22">
        <f>VLOOKUP(I48, Calibration!A:H, 8, FALSE)</f>
        <v>1720440000</v>
      </c>
    </row>
    <row r="49" spans="1:16" ht="20" customHeight="1" x14ac:dyDescent="0.2">
      <c r="A49" s="53" t="s">
        <v>213</v>
      </c>
      <c r="B49" s="53" t="str">
        <f>VLOOKUP(A49, Calibration!A:C, 3, FALSE)</f>
        <v>MC</v>
      </c>
      <c r="C49" s="59">
        <f t="shared" si="6"/>
        <v>3.8982134635618347E-4</v>
      </c>
      <c r="D49" s="59">
        <f>VLOOKUP(A49, Calibration!A:D, 4, FALSE)</f>
        <v>1.4395322326105981E-4</v>
      </c>
      <c r="E49" s="33">
        <f>VLOOKUP(A49, Calibration!A:E, 5, FALSE)</f>
        <v>2004</v>
      </c>
      <c r="F49" s="33">
        <f>VLOOKUP(A49, Calibration!A:F, 6, FALSE)</f>
        <v>0</v>
      </c>
      <c r="G49" s="33">
        <f>VLOOKUP(A49, Calibration!A:G, 7, FALSE)</f>
        <v>3.1977518259529528E-4</v>
      </c>
      <c r="H49" s="33">
        <f>VLOOKUP(A49, Calibration!A:H, 8, FALSE)</f>
        <v>1770000000</v>
      </c>
      <c r="I49" s="19" t="s">
        <v>216</v>
      </c>
      <c r="J49" s="20" t="str">
        <f>VLOOKUP(I49, Calibration!A:C, 3, FALSE)</f>
        <v>MC</v>
      </c>
      <c r="K49" s="65">
        <f t="shared" si="7"/>
        <v>1.8739352357298388E-3</v>
      </c>
      <c r="L49" s="77">
        <f>VLOOKUP(I49, Calibration!A:D, 4, FALSE)</f>
        <v>1.1201458282241665E-3</v>
      </c>
      <c r="M49" s="22">
        <f>VLOOKUP(I49, Calibration!A:E, 5, FALSE)</f>
        <v>401.33333333333331</v>
      </c>
      <c r="N49" s="22">
        <f>VLOOKUP(I49, Calibration!A:F, 6, FALSE)</f>
        <v>0</v>
      </c>
      <c r="O49" s="22">
        <f>VLOOKUP(I49, Calibration!A:G, 7, FALSE)</f>
        <v>2.0465611686098898E-2</v>
      </c>
      <c r="P49" s="22">
        <f>VLOOKUP(I49, Calibration!A:H, 8, FALSE)</f>
        <v>8000000000</v>
      </c>
    </row>
    <row r="50" spans="1:16" ht="20" customHeight="1" x14ac:dyDescent="0.2">
      <c r="A50" s="53" t="s">
        <v>214</v>
      </c>
      <c r="B50" s="53" t="str">
        <f>VLOOKUP(A50, Calibration!A:C, 3, FALSE)</f>
        <v>UV+MC</v>
      </c>
      <c r="C50" s="59">
        <f t="shared" si="6"/>
        <v>6.0762323311549833E-5</v>
      </c>
      <c r="D50" s="59">
        <f>VLOOKUP(A50, Calibration!A:D, 4, FALSE)</f>
        <v>5.8821953358239254E-5</v>
      </c>
      <c r="E50" s="33">
        <f>VLOOKUP(A50, Calibration!A:E, 5, FALSE)</f>
        <v>15</v>
      </c>
      <c r="F50" s="33">
        <f>VLOOKUP(A50, Calibration!A:F, 6, FALSE)</f>
        <v>1.65</v>
      </c>
      <c r="G50" s="33">
        <f>VLOOKUP(A50, Calibration!A:G, 7, FALSE)</f>
        <v>2.5152291643059212E-4</v>
      </c>
      <c r="H50" s="33">
        <f>VLOOKUP(A50, Calibration!A:H, 8, FALSE)</f>
        <v>25000</v>
      </c>
      <c r="I50" s="19" t="s">
        <v>217</v>
      </c>
      <c r="J50" s="20" t="str">
        <f>VLOOKUP(I50, Calibration!A:C, 3, FALSE)</f>
        <v>MC</v>
      </c>
      <c r="K50" s="65">
        <f t="shared" si="7"/>
        <v>1.8964250282193923E-3</v>
      </c>
      <c r="L50" s="77">
        <f>VLOOKUP(I50, Calibration!A:D, 4, FALSE)</f>
        <v>1.5169899731194759E-3</v>
      </c>
      <c r="M50" s="22">
        <f>VLOOKUP(I50, Calibration!A:E, 5, FALSE)</f>
        <v>401.33333333333331</v>
      </c>
      <c r="N50" s="22">
        <f>VLOOKUP(I50, Calibration!A:F, 6, FALSE)</f>
        <v>0</v>
      </c>
      <c r="O50" s="22">
        <f>VLOOKUP(I50, Calibration!A:G, 7, FALSE)</f>
        <v>2.0465611686098898E-2</v>
      </c>
      <c r="P50" s="22">
        <f>VLOOKUP(I50, Calibration!A:H, 8, FALSE)</f>
        <v>8300000000</v>
      </c>
    </row>
    <row r="51" spans="1:16" ht="20" customHeight="1" x14ac:dyDescent="0.2">
      <c r="A51" s="53" t="s">
        <v>654</v>
      </c>
      <c r="B51" s="53" t="str">
        <f>VLOOKUP(A51, Calibration!A:C, 3, FALSE)</f>
        <v>UV+MC</v>
      </c>
      <c r="C51" s="59">
        <f t="shared" si="6"/>
        <v>5.752977416940094E-5</v>
      </c>
      <c r="D51" s="59">
        <f>VLOOKUP(A51, Calibration!A:D, 4, FALSE)</f>
        <v>5.7496573212569566E-5</v>
      </c>
      <c r="E51" s="33">
        <f>VLOOKUP(A51, Calibration!A:E, 5, FALSE)</f>
        <v>36</v>
      </c>
      <c r="F51" s="33">
        <f>VLOOKUP(A51, Calibration!A:F, 6, FALSE)</f>
        <v>14</v>
      </c>
      <c r="G51" s="33">
        <f>VLOOKUP(A51, Calibration!A:G, 7, FALSE)</f>
        <v>0</v>
      </c>
      <c r="H51" s="33">
        <f>VLOOKUP(A51, Calibration!A:H, 8, FALSE)</f>
        <v>32</v>
      </c>
      <c r="I51" s="19" t="s">
        <v>218</v>
      </c>
      <c r="J51" s="20" t="str">
        <f>VLOOKUP(I51, Calibration!A:C, 3, FALSE)</f>
        <v>MC</v>
      </c>
      <c r="K51" s="65">
        <f t="shared" si="7"/>
        <v>1.3219820186224349E-3</v>
      </c>
      <c r="L51" s="77">
        <f>VLOOKUP(I51, Calibration!A:D, 4, FALSE)</f>
        <v>2.2224711089330914E-3</v>
      </c>
      <c r="M51" s="22">
        <f>VLOOKUP(I51, Calibration!A:E, 5, FALSE)</f>
        <v>1001.3333333333333</v>
      </c>
      <c r="N51" s="22">
        <f>VLOOKUP(I51, Calibration!A:F, 6, FALSE)</f>
        <v>0</v>
      </c>
      <c r="O51" s="22">
        <f>VLOOKUP(I51, Calibration!A:G, 7, FALSE)</f>
        <v>0</v>
      </c>
      <c r="P51" s="22">
        <f>VLOOKUP(I51, Calibration!A:H, 8, FALSE)</f>
        <v>2725800000</v>
      </c>
    </row>
    <row r="52" spans="1:16" ht="20" customHeight="1" x14ac:dyDescent="0.2">
      <c r="A52" s="53"/>
      <c r="B52" s="53"/>
      <c r="C52" s="59"/>
      <c r="D52" s="59"/>
      <c r="E52" s="33"/>
      <c r="F52" s="33"/>
      <c r="G52" s="33"/>
      <c r="H52" s="33"/>
      <c r="I52" s="19" t="s">
        <v>389</v>
      </c>
      <c r="J52" s="20" t="str">
        <f>VLOOKUP(I52, Calibration!A:C, 3, FALSE)</f>
        <v>MC</v>
      </c>
      <c r="K52" s="65">
        <f t="shared" si="7"/>
        <v>1.9970059657232766E-3</v>
      </c>
      <c r="L52" s="77">
        <f>VLOOKUP(I52, Calibration!A:D, 4, FALSE)</f>
        <v>2.7920636094294271E-3</v>
      </c>
      <c r="M52" s="22">
        <f>VLOOKUP(I52, Calibration!A:E, 5, FALSE)</f>
        <v>400.26666666666665</v>
      </c>
      <c r="N52" s="22">
        <f>VLOOKUP(I52, Calibration!A:F, 6, FALSE)</f>
        <v>0</v>
      </c>
      <c r="O52" s="22">
        <f>VLOOKUP(I52, Calibration!A:G, 7, FALSE)</f>
        <v>0</v>
      </c>
      <c r="P52" s="22">
        <f>VLOOKUP(I52, Calibration!A:H, 8, FALSE)</f>
        <v>9735000000</v>
      </c>
    </row>
    <row r="53" spans="1:16" ht="20" customHeight="1" x14ac:dyDescent="0.2">
      <c r="A53" s="61" t="s">
        <v>7</v>
      </c>
      <c r="B53" s="61" t="s">
        <v>6</v>
      </c>
      <c r="C53" s="61" t="s">
        <v>9</v>
      </c>
      <c r="D53" s="61" t="s">
        <v>8</v>
      </c>
      <c r="E53" s="61" t="s">
        <v>11</v>
      </c>
      <c r="F53" s="61" t="s">
        <v>10</v>
      </c>
      <c r="G53" s="235" t="s">
        <v>126</v>
      </c>
      <c r="H53" s="235"/>
      <c r="I53" s="2"/>
      <c r="J53" s="2"/>
      <c r="K53" s="2"/>
      <c r="L53" s="2"/>
      <c r="M53" s="2"/>
      <c r="N53" s="2"/>
      <c r="O53" s="178"/>
      <c r="P53" s="178"/>
    </row>
    <row r="54" spans="1:16" ht="20" customHeight="1" x14ac:dyDescent="0.2">
      <c r="A54" s="49">
        <f>'Drop-down lists'!C10</f>
        <v>2.901642600553464E-2</v>
      </c>
      <c r="B54" s="49">
        <f>'Drop-down lists'!D10</f>
        <v>9.3039280372760433E-12</v>
      </c>
      <c r="C54" s="49">
        <f>'Drop-down lists'!E10</f>
        <v>1.6976290256311595E-7</v>
      </c>
      <c r="D54" s="49">
        <f>'Drop-down lists'!F10</f>
        <v>4.9417608236281305</v>
      </c>
      <c r="E54" s="49">
        <f>'Drop-down lists'!G10</f>
        <v>19.912251463764076</v>
      </c>
      <c r="F54" s="49">
        <f>'Drop-down lists'!H10</f>
        <v>1.3446292576895287</v>
      </c>
      <c r="G54" s="235"/>
      <c r="H54" s="235"/>
      <c r="I54" s="1"/>
      <c r="J54" s="1"/>
      <c r="K54" s="1"/>
      <c r="L54" s="1"/>
      <c r="M54" s="1"/>
      <c r="N54" s="1"/>
      <c r="O54" s="178"/>
      <c r="P54" s="178"/>
    </row>
    <row r="55" spans="1:16" ht="20" customHeight="1" x14ac:dyDescent="0.2">
      <c r="A55" s="61" t="s">
        <v>13</v>
      </c>
      <c r="B55" s="61" t="s">
        <v>12</v>
      </c>
      <c r="C55" s="61" t="s">
        <v>15</v>
      </c>
      <c r="D55" s="61" t="s">
        <v>14</v>
      </c>
      <c r="E55" s="61" t="s">
        <v>16</v>
      </c>
      <c r="F55" s="61" t="s">
        <v>17</v>
      </c>
      <c r="G55" s="235"/>
      <c r="H55" s="235"/>
      <c r="I55" s="2"/>
      <c r="J55" s="2"/>
      <c r="K55" s="2"/>
      <c r="L55" s="2"/>
      <c r="M55" s="2"/>
      <c r="N55" s="2"/>
      <c r="O55" s="178"/>
      <c r="P55" s="178"/>
    </row>
    <row r="56" spans="1:16" ht="20" customHeight="1" x14ac:dyDescent="0.2">
      <c r="A56" s="49"/>
      <c r="B56" s="49"/>
      <c r="C56" s="49"/>
      <c r="D56" s="49"/>
      <c r="E56" s="49"/>
      <c r="F56" s="49"/>
      <c r="G56" s="235"/>
      <c r="H56" s="235"/>
      <c r="I56" s="1"/>
      <c r="J56" s="1"/>
      <c r="K56" s="1"/>
      <c r="L56" s="1"/>
      <c r="M56" s="1"/>
      <c r="N56" s="1"/>
      <c r="O56" s="178"/>
      <c r="P56" s="178"/>
    </row>
    <row r="57" spans="1:16" ht="20" customHeight="1" x14ac:dyDescent="0.2">
      <c r="A57" s="61" t="s">
        <v>53</v>
      </c>
      <c r="B57" s="61" t="s">
        <v>24</v>
      </c>
      <c r="C57" s="61" t="s">
        <v>166</v>
      </c>
      <c r="D57" s="61" t="s">
        <v>167</v>
      </c>
      <c r="E57" s="61" t="s">
        <v>168</v>
      </c>
      <c r="F57" s="61" t="s">
        <v>115</v>
      </c>
      <c r="G57" s="61" t="s">
        <v>19</v>
      </c>
      <c r="H57" s="61" t="s">
        <v>20</v>
      </c>
      <c r="I57" s="2"/>
      <c r="J57" s="2"/>
      <c r="K57" s="2"/>
      <c r="L57" s="2"/>
      <c r="M57" s="2"/>
      <c r="N57" s="2"/>
      <c r="O57" s="2"/>
      <c r="P57" s="2"/>
    </row>
    <row r="58" spans="1:16" ht="20" customHeight="1" x14ac:dyDescent="0.2">
      <c r="A58" s="47" t="s">
        <v>643</v>
      </c>
      <c r="B58" s="47" t="str">
        <f>VLOOKUP(A58, Calibration!A:C, 3, FALSE)</f>
        <v>UV</v>
      </c>
      <c r="C58" s="62">
        <f>$A$54*E58^$B$54*($C$54*F58^$D$54+$E$54*G58^$F$54)</f>
        <v>7.4424311006953141E-4</v>
      </c>
      <c r="D58" s="49">
        <f>VLOOKUP(A58, Calibration!A:D, 4, FALSE)</f>
        <v>1.1379806792215748E-3</v>
      </c>
      <c r="E58" s="92">
        <f>VLOOKUP(A58, Calibration!A:E, 5, FALSE)</f>
        <v>17.25877224185248</v>
      </c>
      <c r="F58" s="92">
        <f>VLOOKUP(A58, Calibration!A:F, 6, FALSE)</f>
        <v>11.169999999999998</v>
      </c>
      <c r="G58" s="92">
        <f>VLOOKUP(A58, Calibration!A:G, 7, FALSE)</f>
        <v>0</v>
      </c>
      <c r="H58" s="92">
        <f>VLOOKUP(A58, Calibration!A:H, 8, FALSE)</f>
        <v>0</v>
      </c>
      <c r="I58" s="179"/>
      <c r="J58" s="179"/>
      <c r="K58" s="179"/>
      <c r="L58" s="179"/>
      <c r="M58" s="179"/>
      <c r="N58" s="179"/>
      <c r="O58" s="179"/>
      <c r="P58" s="179"/>
    </row>
    <row r="59" spans="1:16" ht="20" customHeight="1" x14ac:dyDescent="0.2">
      <c r="A59" s="47" t="s">
        <v>644</v>
      </c>
      <c r="B59" s="47" t="str">
        <f>VLOOKUP(A59, Calibration!A:C, 3, FALSE)</f>
        <v>UV</v>
      </c>
      <c r="C59" s="62">
        <f t="shared" ref="C59:C63" si="8">$A$54*E59^$B$54*($C$54*F59^$D$54+$E$54*G59^$F$54)</f>
        <v>3.5663006495544909E-4</v>
      </c>
      <c r="D59" s="49">
        <f>VLOOKUP(A59, Calibration!A:D, 4, FALSE)</f>
        <v>2.1217947361564719E-4</v>
      </c>
      <c r="E59" s="92">
        <f>VLOOKUP(A59, Calibration!A:E, 5, FALSE)</f>
        <v>2.1333333333333333</v>
      </c>
      <c r="F59" s="92">
        <f>VLOOKUP(A59, Calibration!A:F, 6, FALSE)</f>
        <v>9.625</v>
      </c>
      <c r="G59" s="92">
        <f>VLOOKUP(A59, Calibration!A:G, 7, FALSE)</f>
        <v>0</v>
      </c>
      <c r="H59" s="92">
        <f>VLOOKUP(A59, Calibration!A:H, 8, FALSE)</f>
        <v>0</v>
      </c>
      <c r="I59" s="179"/>
      <c r="J59" s="179"/>
      <c r="K59" s="179"/>
      <c r="L59" s="179"/>
      <c r="M59" s="179"/>
      <c r="N59" s="179"/>
      <c r="O59" s="179"/>
      <c r="P59" s="179"/>
    </row>
    <row r="60" spans="1:16" ht="20" customHeight="1" x14ac:dyDescent="0.2">
      <c r="A60" s="47" t="s">
        <v>101</v>
      </c>
      <c r="B60" s="47" t="str">
        <f>VLOOKUP(A60, Calibration!A:C, 3, FALSE)</f>
        <v>MS</v>
      </c>
      <c r="C60" s="62">
        <f t="shared" si="8"/>
        <v>5.3225246049828159E-3</v>
      </c>
      <c r="D60" s="49">
        <f>VLOOKUP(A60, Calibration!A:D, 4, FALSE)</f>
        <v>9.2521183217098046E-4</v>
      </c>
      <c r="E60" s="92">
        <f>VLOOKUP(A60, Calibration!A:E, 5, FALSE)</f>
        <v>17.25877224185248</v>
      </c>
      <c r="F60" s="92">
        <f>VLOOKUP(A60, Calibration!A:F, 6, FALSE)</f>
        <v>0</v>
      </c>
      <c r="G60" s="92">
        <f>VLOOKUP(A60, Calibration!A:G, 7, FALSE)</f>
        <v>3.0626036518612055E-2</v>
      </c>
      <c r="H60" s="92">
        <f>VLOOKUP(A60, Calibration!A:H, 8, FALSE)</f>
        <v>0</v>
      </c>
      <c r="I60" s="179"/>
      <c r="J60" s="179"/>
      <c r="K60" s="179"/>
      <c r="L60" s="179"/>
      <c r="M60" s="179"/>
      <c r="N60" s="179"/>
      <c r="O60" s="179"/>
      <c r="P60" s="179"/>
    </row>
    <row r="61" spans="1:16" ht="20" customHeight="1" x14ac:dyDescent="0.2">
      <c r="A61" s="47" t="s">
        <v>103</v>
      </c>
      <c r="B61" s="47" t="str">
        <f>VLOOKUP(A61, Calibration!A:C, 3, FALSE)</f>
        <v>MS</v>
      </c>
      <c r="C61" s="62">
        <f t="shared" si="8"/>
        <v>1.2917128517506931E-2</v>
      </c>
      <c r="D61" s="49">
        <f>VLOOKUP(A61, Calibration!A:D, 4, FALSE)</f>
        <v>6.1875403718087529E-2</v>
      </c>
      <c r="E61" s="92">
        <f>VLOOKUP(A61, Calibration!A:E, 5, FALSE)</f>
        <v>3</v>
      </c>
      <c r="F61" s="92">
        <f>VLOOKUP(A61, Calibration!A:F, 6, FALSE)</f>
        <v>0</v>
      </c>
      <c r="G61" s="92">
        <f>VLOOKUP(A61, Calibration!A:G, 7, FALSE)</f>
        <v>5.9217626406536147E-2</v>
      </c>
      <c r="H61" s="92">
        <f>VLOOKUP(A61, Calibration!A:H, 8, FALSE)</f>
        <v>0</v>
      </c>
      <c r="I61" s="179"/>
      <c r="J61" s="179"/>
      <c r="K61" s="179"/>
      <c r="L61" s="179"/>
      <c r="M61" s="179"/>
      <c r="N61" s="179"/>
      <c r="O61" s="179"/>
      <c r="P61" s="179"/>
    </row>
    <row r="62" spans="1:16" ht="20" customHeight="1" x14ac:dyDescent="0.2">
      <c r="A62" s="47" t="s">
        <v>645</v>
      </c>
      <c r="B62" s="47" t="str">
        <f>VLOOKUP(A62, Calibration!A:C, 3, FALSE)</f>
        <v>MS</v>
      </c>
      <c r="C62" s="62">
        <f t="shared" si="8"/>
        <v>2.8246133710965549E-6</v>
      </c>
      <c r="D62" s="49">
        <f>VLOOKUP(A62, Calibration!A:D, 4, FALSE)</f>
        <v>3.3301397402088379E-6</v>
      </c>
      <c r="E62" s="92">
        <f>VLOOKUP(A62, Calibration!A:E, 5, FALSE)</f>
        <v>30</v>
      </c>
      <c r="F62" s="92">
        <f>VLOOKUP(A62, Calibration!A:F, 6, FALSE)</f>
        <v>0</v>
      </c>
      <c r="G62" s="92">
        <f>VLOOKUP(A62, Calibration!A:G, 7, FALSE)</f>
        <v>1.1229416563017226E-4</v>
      </c>
      <c r="H62" s="92">
        <f>VLOOKUP(A62, Calibration!A:H, 8, FALSE)</f>
        <v>0</v>
      </c>
      <c r="I62" s="179"/>
      <c r="J62" s="179"/>
      <c r="K62" s="179"/>
      <c r="L62" s="179"/>
      <c r="M62" s="179"/>
      <c r="N62" s="179"/>
      <c r="O62" s="179"/>
      <c r="P62" s="179"/>
    </row>
    <row r="63" spans="1:16" ht="20" customHeight="1" x14ac:dyDescent="0.2">
      <c r="A63" s="47" t="s">
        <v>348</v>
      </c>
      <c r="B63" s="47" t="str">
        <f>VLOOKUP(A63, Calibration!A:C, 3, FALSE)</f>
        <v>UV+MS</v>
      </c>
      <c r="C63" s="62">
        <f t="shared" si="8"/>
        <v>1.6702797274260693E-5</v>
      </c>
      <c r="D63" s="49">
        <f>VLOOKUP(A63, Calibration!A:D, 4, FALSE)</f>
        <v>1.8702716727784515E-5</v>
      </c>
      <c r="E63" s="92">
        <f>VLOOKUP(A63, Calibration!A:E, 5, FALSE)</f>
        <v>30</v>
      </c>
      <c r="F63" s="92">
        <f>VLOOKUP(A63, Calibration!A:F, 6, FALSE)</f>
        <v>4.99</v>
      </c>
      <c r="G63" s="92">
        <f>VLOOKUP(A63, Calibration!A:G, 7, FALSE)</f>
        <v>1.1229416563017226E-4</v>
      </c>
      <c r="H63" s="92">
        <f>VLOOKUP(A63, Calibration!A:H, 8, FALSE)</f>
        <v>0</v>
      </c>
      <c r="I63" s="179"/>
      <c r="J63" s="179"/>
      <c r="K63" s="179"/>
      <c r="L63" s="179"/>
      <c r="M63" s="179"/>
      <c r="N63" s="179"/>
      <c r="O63" s="179"/>
      <c r="P63" s="179"/>
    </row>
  </sheetData>
  <mergeCells count="7">
    <mergeCell ref="G53:H56"/>
    <mergeCell ref="G2:H5"/>
    <mergeCell ref="O2:P5"/>
    <mergeCell ref="G26:H29"/>
    <mergeCell ref="O26:P29"/>
    <mergeCell ref="G40:H43"/>
    <mergeCell ref="O40:P43"/>
  </mergeCells>
  <phoneticPr fontId="7" type="noConversion"/>
  <dataValidations count="1">
    <dataValidation operator="greaterThan" showInputMessage="1" showErrorMessage="1" sqref="A4:C4 J4:K4 B28:C28" xr:uid="{00000000-0002-0000-0400-000000000000}"/>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699B8-79ED-0D4F-9893-DEE59A5FDA00}">
  <dimension ref="A1:J74"/>
  <sheetViews>
    <sheetView zoomScaleNormal="100" workbookViewId="0">
      <selection activeCell="K22" sqref="K22"/>
    </sheetView>
  </sheetViews>
  <sheetFormatPr baseColWidth="10" defaultColWidth="15.83203125" defaultRowHeight="20" customHeight="1" x14ac:dyDescent="0.2"/>
  <cols>
    <col min="1" max="1" width="14.83203125" style="151" customWidth="1"/>
    <col min="2" max="3" width="15.83203125" style="151"/>
    <col min="4" max="4" width="18.83203125" style="151" customWidth="1"/>
    <col min="5" max="5" width="19.83203125" style="151" customWidth="1"/>
    <col min="6" max="6" width="14.83203125" style="151" customWidth="1"/>
    <col min="7" max="8" width="15.83203125" style="151"/>
    <col min="9" max="9" width="18.83203125" style="151" customWidth="1"/>
    <col min="10" max="10" width="19.83203125" style="151" customWidth="1"/>
    <col min="11" max="16384" width="15.83203125" style="151"/>
  </cols>
  <sheetData>
    <row r="1" spans="1:10" ht="20" customHeight="1" x14ac:dyDescent="0.2">
      <c r="A1" s="162" t="s">
        <v>995</v>
      </c>
      <c r="B1" s="162"/>
      <c r="C1" s="162"/>
      <c r="D1" s="162"/>
      <c r="E1" s="162"/>
      <c r="F1" s="162"/>
      <c r="G1" s="162"/>
      <c r="H1" s="162"/>
      <c r="I1" s="162"/>
      <c r="J1" s="162"/>
    </row>
    <row r="2" spans="1:10" ht="20" customHeight="1" x14ac:dyDescent="0.2">
      <c r="A2" s="2" t="s">
        <v>618</v>
      </c>
      <c r="B2" s="2" t="s">
        <v>609</v>
      </c>
      <c r="C2" s="2" t="s">
        <v>996</v>
      </c>
      <c r="D2" s="2" t="s">
        <v>642</v>
      </c>
      <c r="E2" s="2" t="s">
        <v>616</v>
      </c>
      <c r="F2" s="2" t="s">
        <v>618</v>
      </c>
      <c r="G2" s="2" t="s">
        <v>609</v>
      </c>
      <c r="H2" s="2" t="s">
        <v>996</v>
      </c>
      <c r="I2" s="2" t="s">
        <v>642</v>
      </c>
      <c r="J2" s="2" t="s">
        <v>616</v>
      </c>
    </row>
    <row r="3" spans="1:10" ht="20" customHeight="1" x14ac:dyDescent="0.2">
      <c r="A3" s="214" t="s">
        <v>610</v>
      </c>
      <c r="B3" s="1" t="s">
        <v>611</v>
      </c>
      <c r="C3" s="5"/>
      <c r="D3" s="5"/>
      <c r="E3" s="6"/>
      <c r="F3" s="214" t="s">
        <v>634</v>
      </c>
      <c r="G3" s="1" t="s">
        <v>611</v>
      </c>
      <c r="H3" s="5"/>
      <c r="I3" s="5"/>
      <c r="J3" s="6"/>
    </row>
    <row r="4" spans="1:10" ht="20" customHeight="1" x14ac:dyDescent="0.2">
      <c r="A4" s="214"/>
      <c r="B4" s="1" t="s">
        <v>612</v>
      </c>
      <c r="C4" s="5"/>
      <c r="D4" s="5"/>
      <c r="E4" s="6"/>
      <c r="F4" s="214"/>
      <c r="G4" s="1" t="s">
        <v>612</v>
      </c>
      <c r="H4" s="5"/>
      <c r="I4" s="5"/>
      <c r="J4" s="6"/>
    </row>
    <row r="5" spans="1:10" ht="20" customHeight="1" x14ac:dyDescent="0.2">
      <c r="A5" s="214"/>
      <c r="B5" s="1" t="s">
        <v>613</v>
      </c>
      <c r="C5" s="5"/>
      <c r="D5" s="5"/>
      <c r="E5" s="6"/>
      <c r="F5" s="214"/>
      <c r="G5" s="1" t="s">
        <v>613</v>
      </c>
      <c r="H5" s="5"/>
      <c r="I5" s="5"/>
      <c r="J5" s="6"/>
    </row>
    <row r="6" spans="1:10" ht="20" customHeight="1" x14ac:dyDescent="0.2">
      <c r="A6" s="214"/>
      <c r="B6" s="1" t="s">
        <v>614</v>
      </c>
      <c r="C6" s="5"/>
      <c r="D6" s="5"/>
      <c r="E6" s="6"/>
      <c r="F6" s="214"/>
      <c r="G6" s="1" t="s">
        <v>614</v>
      </c>
      <c r="H6" s="5"/>
      <c r="I6" s="5"/>
      <c r="J6" s="6"/>
    </row>
    <row r="7" spans="1:10" ht="20" customHeight="1" x14ac:dyDescent="0.2">
      <c r="A7" s="214"/>
      <c r="B7" s="1" t="s">
        <v>219</v>
      </c>
      <c r="C7" s="5"/>
      <c r="D7" s="5"/>
      <c r="E7" s="6"/>
      <c r="F7" s="214"/>
      <c r="G7" s="1" t="s">
        <v>219</v>
      </c>
      <c r="H7" s="5"/>
      <c r="I7" s="5"/>
      <c r="J7" s="6"/>
    </row>
    <row r="8" spans="1:10" ht="20" customHeight="1" x14ac:dyDescent="0.2">
      <c r="A8" s="214"/>
      <c r="B8" s="1" t="s">
        <v>615</v>
      </c>
      <c r="C8" s="5"/>
      <c r="D8" s="5"/>
      <c r="E8" s="6"/>
      <c r="F8" s="214"/>
      <c r="G8" s="1" t="s">
        <v>615</v>
      </c>
      <c r="H8" s="5"/>
      <c r="I8" s="5"/>
      <c r="J8" s="6"/>
    </row>
    <row r="9" spans="1:10" ht="20" customHeight="1" x14ac:dyDescent="0.2">
      <c r="A9" s="214" t="s">
        <v>617</v>
      </c>
      <c r="B9" s="1" t="s">
        <v>619</v>
      </c>
      <c r="C9" s="5">
        <v>1.0262753023911369E-2</v>
      </c>
      <c r="D9" s="5">
        <v>8.8522568518694625E-4</v>
      </c>
      <c r="E9" s="6">
        <v>8.8522585860811132E-2</v>
      </c>
      <c r="F9" s="214" t="s">
        <v>635</v>
      </c>
      <c r="G9" s="1" t="s">
        <v>619</v>
      </c>
      <c r="H9" s="5">
        <v>2.432762664179211E-4</v>
      </c>
      <c r="I9" s="5">
        <v>2.9524825547148014E-4</v>
      </c>
      <c r="J9" s="6">
        <v>2.9524826190579095E-2</v>
      </c>
    </row>
    <row r="10" spans="1:10" ht="20" customHeight="1" x14ac:dyDescent="0.2">
      <c r="A10" s="214"/>
      <c r="B10" s="1" t="s">
        <v>620</v>
      </c>
      <c r="C10" s="5">
        <v>3.358408094206361E-11</v>
      </c>
      <c r="D10" s="5">
        <v>0.18031551631660608</v>
      </c>
      <c r="E10" s="6">
        <v>18.179117346034033</v>
      </c>
      <c r="F10" s="214"/>
      <c r="G10" s="1" t="s">
        <v>620</v>
      </c>
      <c r="H10" s="5">
        <v>0.79097577099168459</v>
      </c>
      <c r="I10" s="5">
        <v>0.19332889713928206</v>
      </c>
      <c r="J10" s="6">
        <v>19.514951094930019</v>
      </c>
    </row>
    <row r="11" spans="1:10" ht="20" customHeight="1" x14ac:dyDescent="0.2">
      <c r="A11" s="214"/>
      <c r="B11" s="1" t="s">
        <v>221</v>
      </c>
      <c r="C11" s="5">
        <v>2.1825283888841857E-3</v>
      </c>
      <c r="D11" s="5">
        <v>4.2838610360828892E-3</v>
      </c>
      <c r="E11" s="6">
        <v>0.42838806899398996</v>
      </c>
      <c r="F11" s="214"/>
      <c r="G11" s="1" t="s">
        <v>221</v>
      </c>
      <c r="H11" s="5">
        <v>1.3261955767881682E-5</v>
      </c>
      <c r="I11" s="5">
        <v>2.1960388534196288E-5</v>
      </c>
      <c r="J11" s="167">
        <v>2.1960388536843931E-3</v>
      </c>
    </row>
    <row r="12" spans="1:10" ht="20" customHeight="1" x14ac:dyDescent="0.2">
      <c r="A12" s="214"/>
      <c r="B12" s="1" t="s">
        <v>621</v>
      </c>
      <c r="C12" s="5">
        <v>0.29904863199407866</v>
      </c>
      <c r="D12" s="5">
        <v>0.56576349322207697</v>
      </c>
      <c r="E12" s="6">
        <v>61.420632670614083</v>
      </c>
      <c r="F12" s="214"/>
      <c r="G12" s="1" t="s">
        <v>621</v>
      </c>
      <c r="H12" s="5">
        <v>1.8763022076137708</v>
      </c>
      <c r="I12" s="5">
        <v>0.22318783126059411</v>
      </c>
      <c r="J12" s="6">
        <v>22.599629483353922</v>
      </c>
    </row>
    <row r="13" spans="1:10" ht="20" customHeight="1" x14ac:dyDescent="0.2">
      <c r="A13" s="214"/>
      <c r="B13" s="1" t="s">
        <v>622</v>
      </c>
      <c r="C13" s="5">
        <v>3.780320604053785E-4</v>
      </c>
      <c r="D13" s="5">
        <v>1.0821863165152337E-3</v>
      </c>
      <c r="E13" s="6">
        <v>0.10821866333597752</v>
      </c>
      <c r="F13" s="214"/>
      <c r="G13" s="1" t="s">
        <v>622</v>
      </c>
      <c r="H13" s="5">
        <v>1.5217890973559184E-2</v>
      </c>
      <c r="I13" s="5">
        <v>4.4013893320794464E-6</v>
      </c>
      <c r="J13" s="172">
        <v>4.4013893321007629E-4</v>
      </c>
    </row>
    <row r="14" spans="1:10" ht="20" customHeight="1" x14ac:dyDescent="0.2">
      <c r="A14" s="214"/>
      <c r="B14" s="1" t="s">
        <v>623</v>
      </c>
      <c r="C14" s="5">
        <v>0.21648776963088343</v>
      </c>
      <c r="D14" s="5">
        <v>0.17415973531339507</v>
      </c>
      <c r="E14" s="6">
        <v>17.548875506460664</v>
      </c>
      <c r="F14" s="214"/>
      <c r="G14" s="1" t="s">
        <v>623</v>
      </c>
      <c r="H14" s="5">
        <v>7.8461949501476475E-2</v>
      </c>
      <c r="I14" s="5">
        <v>4.5684842445671371E-2</v>
      </c>
      <c r="J14" s="6">
        <v>4.5708690077504608</v>
      </c>
    </row>
    <row r="15" spans="1:10" ht="20" customHeight="1" x14ac:dyDescent="0.2">
      <c r="A15" s="214" t="s">
        <v>624</v>
      </c>
      <c r="B15" s="1" t="s">
        <v>611</v>
      </c>
      <c r="C15" s="5"/>
      <c r="D15" s="5"/>
      <c r="E15" s="6"/>
      <c r="F15" s="214" t="s">
        <v>632</v>
      </c>
      <c r="G15" s="1" t="s">
        <v>611</v>
      </c>
      <c r="H15" s="5">
        <v>2.901642600553464E-2</v>
      </c>
      <c r="I15" s="5">
        <v>4.1834802275052388E-2</v>
      </c>
      <c r="J15" s="6">
        <v>4.1853113252749736</v>
      </c>
    </row>
    <row r="16" spans="1:10" ht="20" customHeight="1" x14ac:dyDescent="0.2">
      <c r="A16" s="214"/>
      <c r="B16" s="1" t="s">
        <v>612</v>
      </c>
      <c r="C16" s="5"/>
      <c r="D16" s="5"/>
      <c r="E16" s="6"/>
      <c r="F16" s="214"/>
      <c r="G16" s="1" t="s">
        <v>612</v>
      </c>
      <c r="H16" s="5">
        <v>9.3039280372760433E-12</v>
      </c>
      <c r="I16" s="5">
        <v>0.54476707002904701</v>
      </c>
      <c r="J16" s="6">
        <v>58.779874030329701</v>
      </c>
    </row>
    <row r="17" spans="1:10" ht="20" customHeight="1" x14ac:dyDescent="0.2">
      <c r="A17" s="214"/>
      <c r="B17" s="1" t="s">
        <v>613</v>
      </c>
      <c r="C17" s="5"/>
      <c r="D17" s="5"/>
      <c r="E17" s="6"/>
      <c r="F17" s="214"/>
      <c r="G17" s="1" t="s">
        <v>613</v>
      </c>
      <c r="H17" s="5">
        <v>1.6976290256311595E-7</v>
      </c>
      <c r="I17" s="5">
        <v>8.8342055745412053E-7</v>
      </c>
      <c r="J17" s="172">
        <v>8.8342055745429285E-5</v>
      </c>
    </row>
    <row r="18" spans="1:10" ht="20" customHeight="1" x14ac:dyDescent="0.2">
      <c r="A18" s="214"/>
      <c r="B18" s="1" t="s">
        <v>614</v>
      </c>
      <c r="C18" s="5"/>
      <c r="D18" s="5"/>
      <c r="E18" s="6"/>
      <c r="F18" s="214"/>
      <c r="G18" s="1" t="s">
        <v>614</v>
      </c>
      <c r="H18" s="5">
        <v>4.9417608236281305</v>
      </c>
      <c r="I18" s="5">
        <v>2.2258288818141088</v>
      </c>
      <c r="J18" s="6">
        <v>1186.5299752448714</v>
      </c>
    </row>
    <row r="19" spans="1:10" ht="20" customHeight="1" x14ac:dyDescent="0.2">
      <c r="A19" s="214"/>
      <c r="B19" s="1" t="s">
        <v>219</v>
      </c>
      <c r="C19" s="5"/>
      <c r="D19" s="5"/>
      <c r="E19" s="6"/>
      <c r="F19" s="214"/>
      <c r="G19" s="1" t="s">
        <v>219</v>
      </c>
      <c r="H19" s="5">
        <v>19.912251463764076</v>
      </c>
      <c r="I19" s="5">
        <v>1.3385794980254835E-4</v>
      </c>
      <c r="J19" s="6">
        <v>1.3385795040216341E-2</v>
      </c>
    </row>
    <row r="20" spans="1:10" ht="20" customHeight="1" x14ac:dyDescent="0.2">
      <c r="A20" s="214"/>
      <c r="B20" s="1" t="s">
        <v>615</v>
      </c>
      <c r="C20" s="5"/>
      <c r="D20" s="5"/>
      <c r="E20" s="6"/>
      <c r="F20" s="214"/>
      <c r="G20" s="1" t="s">
        <v>615</v>
      </c>
      <c r="H20" s="5">
        <v>1.3446292576895287</v>
      </c>
      <c r="I20" s="5">
        <v>0.26892862004663609</v>
      </c>
      <c r="J20" s="6">
        <v>27.38650884744699</v>
      </c>
    </row>
    <row r="21" spans="1:10" ht="20" customHeight="1" x14ac:dyDescent="0.2">
      <c r="A21" s="214" t="s">
        <v>625</v>
      </c>
      <c r="B21" s="1" t="s">
        <v>619</v>
      </c>
      <c r="C21" s="5">
        <v>1.1050589923981958E-2</v>
      </c>
      <c r="D21" s="5">
        <v>5.7046216926572363E-3</v>
      </c>
      <c r="E21" s="6">
        <v>0.57046681039323266</v>
      </c>
      <c r="F21" s="214" t="s">
        <v>633</v>
      </c>
      <c r="G21" s="1" t="s">
        <v>619</v>
      </c>
      <c r="H21" s="5"/>
      <c r="I21" s="5"/>
      <c r="J21" s="6"/>
    </row>
    <row r="22" spans="1:10" ht="20" customHeight="1" x14ac:dyDescent="0.2">
      <c r="A22" s="214"/>
      <c r="B22" s="1" t="s">
        <v>620</v>
      </c>
      <c r="C22" s="5">
        <v>4.9999999999999827E-13</v>
      </c>
      <c r="D22" s="5">
        <v>0.10974721132064617</v>
      </c>
      <c r="E22" s="6">
        <v>11.007850324462385</v>
      </c>
      <c r="F22" s="214"/>
      <c r="G22" s="1" t="s">
        <v>620</v>
      </c>
      <c r="H22" s="5"/>
      <c r="I22" s="5"/>
      <c r="J22" s="6"/>
    </row>
    <row r="23" spans="1:10" ht="20" customHeight="1" x14ac:dyDescent="0.2">
      <c r="A23" s="214"/>
      <c r="B23" s="1" t="s">
        <v>221</v>
      </c>
      <c r="C23" s="5">
        <v>1.0314560124374485E-2</v>
      </c>
      <c r="D23" s="5">
        <v>6.1122893201501606E-3</v>
      </c>
      <c r="E23" s="6">
        <v>0.61123464095001234</v>
      </c>
      <c r="F23" s="214"/>
      <c r="G23" s="1" t="s">
        <v>221</v>
      </c>
      <c r="H23" s="5"/>
      <c r="I23" s="5"/>
      <c r="J23" s="6"/>
    </row>
    <row r="24" spans="1:10" ht="20" customHeight="1" x14ac:dyDescent="0.2">
      <c r="A24" s="214"/>
      <c r="B24" s="1" t="s">
        <v>621</v>
      </c>
      <c r="C24" s="5">
        <v>4.362022267738264E-3</v>
      </c>
      <c r="D24" s="5">
        <v>3.6211086630142278E-5</v>
      </c>
      <c r="E24" s="167">
        <v>3.6211086642012661E-3</v>
      </c>
      <c r="F24" s="214"/>
      <c r="G24" s="1" t="s">
        <v>621</v>
      </c>
      <c r="H24" s="5"/>
      <c r="I24" s="5"/>
      <c r="J24" s="6"/>
    </row>
    <row r="25" spans="1:10" ht="20" customHeight="1" x14ac:dyDescent="0.2">
      <c r="A25" s="214"/>
      <c r="B25" s="1" t="s">
        <v>622</v>
      </c>
      <c r="C25" s="5">
        <v>1.0475542749963076E-4</v>
      </c>
      <c r="D25" s="5">
        <v>4.4412819089122309E-4</v>
      </c>
      <c r="E25" s="6">
        <v>4.4412821279227868E-2</v>
      </c>
      <c r="F25" s="214"/>
      <c r="G25" s="1" t="s">
        <v>622</v>
      </c>
      <c r="H25" s="5"/>
      <c r="I25" s="5"/>
      <c r="J25" s="6"/>
    </row>
    <row r="26" spans="1:10" ht="20" customHeight="1" x14ac:dyDescent="0.2">
      <c r="A26" s="214"/>
      <c r="B26" s="1" t="s">
        <v>623</v>
      </c>
      <c r="C26" s="5">
        <v>0.32405972126395782</v>
      </c>
      <c r="D26" s="5">
        <v>0.19223313230112987</v>
      </c>
      <c r="E26" s="6">
        <v>19.402280611647001</v>
      </c>
      <c r="F26" s="214"/>
      <c r="G26" s="1" t="s">
        <v>623</v>
      </c>
      <c r="H26" s="5"/>
      <c r="I26" s="5"/>
      <c r="J26" s="6"/>
    </row>
    <row r="27" spans="1:10" ht="20" customHeight="1" x14ac:dyDescent="0.2">
      <c r="A27" s="214" t="s">
        <v>626</v>
      </c>
      <c r="B27" s="1" t="s">
        <v>611</v>
      </c>
      <c r="C27" s="5"/>
      <c r="D27" s="5"/>
      <c r="E27" s="6"/>
      <c r="F27" s="214" t="s">
        <v>636</v>
      </c>
      <c r="G27" s="1" t="s">
        <v>611</v>
      </c>
      <c r="H27" s="5"/>
      <c r="I27" s="5"/>
      <c r="J27" s="6"/>
    </row>
    <row r="28" spans="1:10" ht="20" customHeight="1" x14ac:dyDescent="0.2">
      <c r="A28" s="214"/>
      <c r="B28" s="1" t="s">
        <v>612</v>
      </c>
      <c r="C28" s="5"/>
      <c r="D28" s="5"/>
      <c r="E28" s="6"/>
      <c r="F28" s="214"/>
      <c r="G28" s="1" t="s">
        <v>612</v>
      </c>
      <c r="H28" s="5"/>
      <c r="I28" s="5"/>
      <c r="J28" s="6"/>
    </row>
    <row r="29" spans="1:10" ht="20" customHeight="1" x14ac:dyDescent="0.2">
      <c r="A29" s="214"/>
      <c r="B29" s="1" t="s">
        <v>613</v>
      </c>
      <c r="C29" s="5"/>
      <c r="D29" s="5"/>
      <c r="E29" s="6"/>
      <c r="F29" s="214"/>
      <c r="G29" s="1" t="s">
        <v>613</v>
      </c>
      <c r="H29" s="5"/>
      <c r="I29" s="5"/>
      <c r="J29" s="6"/>
    </row>
    <row r="30" spans="1:10" ht="20" customHeight="1" x14ac:dyDescent="0.2">
      <c r="A30" s="214"/>
      <c r="B30" s="1" t="s">
        <v>614</v>
      </c>
      <c r="C30" s="5"/>
      <c r="D30" s="5"/>
      <c r="E30" s="6"/>
      <c r="F30" s="214"/>
      <c r="G30" s="1" t="s">
        <v>614</v>
      </c>
      <c r="H30" s="5"/>
      <c r="I30" s="5"/>
      <c r="J30" s="6"/>
    </row>
    <row r="31" spans="1:10" ht="20" customHeight="1" x14ac:dyDescent="0.2">
      <c r="A31" s="214"/>
      <c r="B31" s="1" t="s">
        <v>219</v>
      </c>
      <c r="C31" s="5"/>
      <c r="D31" s="5"/>
      <c r="E31" s="6"/>
      <c r="F31" s="214"/>
      <c r="G31" s="1" t="s">
        <v>219</v>
      </c>
      <c r="H31" s="5"/>
      <c r="I31" s="5"/>
      <c r="J31" s="6"/>
    </row>
    <row r="32" spans="1:10" ht="20" customHeight="1" x14ac:dyDescent="0.2">
      <c r="A32" s="214"/>
      <c r="B32" s="1" t="s">
        <v>615</v>
      </c>
      <c r="C32" s="5"/>
      <c r="D32" s="5"/>
      <c r="E32" s="6"/>
      <c r="F32" s="214"/>
      <c r="G32" s="1" t="s">
        <v>615</v>
      </c>
      <c r="H32" s="5"/>
      <c r="I32" s="5"/>
      <c r="J32" s="6"/>
    </row>
    <row r="33" spans="1:10" ht="20" customHeight="1" x14ac:dyDescent="0.2">
      <c r="A33" s="214" t="s">
        <v>627</v>
      </c>
      <c r="B33" s="1" t="s">
        <v>619</v>
      </c>
      <c r="C33" s="5">
        <v>4.7218302973121193E-9</v>
      </c>
      <c r="D33" s="5">
        <v>2.4777041568760211E-9</v>
      </c>
      <c r="E33" s="5">
        <v>2.477704156876021E-7</v>
      </c>
      <c r="F33" s="214" t="s">
        <v>637</v>
      </c>
      <c r="G33" s="1" t="s">
        <v>619</v>
      </c>
      <c r="H33" s="5"/>
      <c r="I33" s="5"/>
      <c r="J33" s="6"/>
    </row>
    <row r="34" spans="1:10" ht="20" customHeight="1" x14ac:dyDescent="0.2">
      <c r="A34" s="214"/>
      <c r="B34" s="1" t="s">
        <v>620</v>
      </c>
      <c r="C34" s="5">
        <v>1.3476470812839827</v>
      </c>
      <c r="D34" s="5">
        <v>1.9314431994357013E-10</v>
      </c>
      <c r="E34" s="5">
        <v>1.9314431994357012E-8</v>
      </c>
      <c r="F34" s="214"/>
      <c r="G34" s="1" t="s">
        <v>620</v>
      </c>
      <c r="H34" s="5"/>
      <c r="I34" s="5"/>
      <c r="J34" s="6"/>
    </row>
    <row r="35" spans="1:10" ht="20" customHeight="1" x14ac:dyDescent="0.2">
      <c r="A35" s="214"/>
      <c r="B35" s="1" t="s">
        <v>221</v>
      </c>
      <c r="C35" s="5">
        <v>3.6784226416775896E-4</v>
      </c>
      <c r="D35" s="5">
        <v>1.9213937471719424E-6</v>
      </c>
      <c r="E35" s="172">
        <v>1.9213937471737158E-4</v>
      </c>
      <c r="F35" s="214"/>
      <c r="G35" s="1" t="s">
        <v>221</v>
      </c>
      <c r="H35" s="5"/>
      <c r="I35" s="5"/>
      <c r="J35" s="6"/>
    </row>
    <row r="36" spans="1:10" ht="20" customHeight="1" x14ac:dyDescent="0.2">
      <c r="A36" s="214"/>
      <c r="B36" s="1" t="s">
        <v>621</v>
      </c>
      <c r="C36" s="5">
        <v>4.9897636856199528</v>
      </c>
      <c r="D36" s="5">
        <v>1.1355705785007467E-9</v>
      </c>
      <c r="E36" s="5">
        <v>1.1355705785007467E-7</v>
      </c>
      <c r="F36" s="214"/>
      <c r="G36" s="1" t="s">
        <v>621</v>
      </c>
      <c r="H36" s="5"/>
      <c r="I36" s="5"/>
      <c r="J36" s="6"/>
    </row>
    <row r="37" spans="1:10" ht="20" customHeight="1" x14ac:dyDescent="0.2">
      <c r="A37" s="214"/>
      <c r="B37" s="1" t="s">
        <v>622</v>
      </c>
      <c r="C37" s="5">
        <v>5.3315116606357247E-5</v>
      </c>
      <c r="D37" s="5">
        <v>1.3256461371749887E-5</v>
      </c>
      <c r="E37" s="167">
        <v>1.3256461372332289E-3</v>
      </c>
      <c r="F37" s="214"/>
      <c r="G37" s="1" t="s">
        <v>622</v>
      </c>
      <c r="H37" s="5"/>
      <c r="I37" s="5"/>
      <c r="J37" s="6"/>
    </row>
    <row r="38" spans="1:10" ht="20" customHeight="1" x14ac:dyDescent="0.2">
      <c r="A38" s="214"/>
      <c r="B38" s="1" t="s">
        <v>623</v>
      </c>
      <c r="C38" s="5">
        <v>0.65085027677318608</v>
      </c>
      <c r="D38" s="5">
        <v>1.4619910950561312E-8</v>
      </c>
      <c r="E38" s="5">
        <v>1.4619910950561313E-6</v>
      </c>
      <c r="F38" s="214"/>
      <c r="G38" s="1" t="s">
        <v>623</v>
      </c>
      <c r="H38" s="5"/>
      <c r="I38" s="5"/>
      <c r="J38" s="6"/>
    </row>
    <row r="39" spans="1:10" ht="20" customHeight="1" x14ac:dyDescent="0.2">
      <c r="A39" s="214" t="s">
        <v>628</v>
      </c>
      <c r="B39" s="1" t="s">
        <v>7</v>
      </c>
      <c r="C39" s="5">
        <v>4.6565907501850404E-6</v>
      </c>
      <c r="D39" s="5">
        <v>1.8506191831467126E-5</v>
      </c>
      <c r="E39" s="167">
        <v>1.8506191833051622E-3</v>
      </c>
      <c r="F39" s="214" t="s">
        <v>638</v>
      </c>
      <c r="G39" s="1" t="s">
        <v>611</v>
      </c>
      <c r="H39" s="5"/>
      <c r="I39" s="5"/>
      <c r="J39" s="6"/>
    </row>
    <row r="40" spans="1:10" ht="20" customHeight="1" x14ac:dyDescent="0.2">
      <c r="A40" s="214"/>
      <c r="B40" s="1" t="s">
        <v>612</v>
      </c>
      <c r="C40" s="5">
        <v>2.2591669322139198</v>
      </c>
      <c r="D40" s="5">
        <v>1.233248929384533</v>
      </c>
      <c r="E40" s="6">
        <v>189.11254377827399</v>
      </c>
      <c r="F40" s="214"/>
      <c r="G40" s="1" t="s">
        <v>612</v>
      </c>
      <c r="H40" s="5"/>
      <c r="I40" s="5"/>
      <c r="J40" s="6"/>
    </row>
    <row r="41" spans="1:10" ht="20" customHeight="1" x14ac:dyDescent="0.2">
      <c r="A41" s="214"/>
      <c r="B41" s="1" t="s">
        <v>613</v>
      </c>
      <c r="C41" s="5">
        <v>5.3412730896969978E-4</v>
      </c>
      <c r="D41" s="5">
        <v>1.5306881495782147E-3</v>
      </c>
      <c r="E41" s="6">
        <v>0.15306890461816128</v>
      </c>
      <c r="F41" s="214"/>
      <c r="G41" s="1" t="s">
        <v>613</v>
      </c>
      <c r="H41" s="5"/>
      <c r="I41" s="5"/>
      <c r="J41" s="6"/>
    </row>
    <row r="42" spans="1:10" ht="20" customHeight="1" x14ac:dyDescent="0.2">
      <c r="A42" s="214"/>
      <c r="B42" s="1" t="s">
        <v>614</v>
      </c>
      <c r="C42" s="5">
        <v>4.9999999999999827E-13</v>
      </c>
      <c r="D42" s="5">
        <v>0.90103345082976438</v>
      </c>
      <c r="E42" s="6">
        <v>111.89708968340769</v>
      </c>
      <c r="F42" s="214"/>
      <c r="G42" s="1" t="s">
        <v>614</v>
      </c>
      <c r="H42" s="5"/>
      <c r="I42" s="5"/>
      <c r="J42" s="6"/>
    </row>
    <row r="43" spans="1:10" ht="20" customHeight="1" x14ac:dyDescent="0.2">
      <c r="A43" s="214"/>
      <c r="B43" s="1" t="s">
        <v>219</v>
      </c>
      <c r="C43" s="5">
        <v>8.6756319826511703</v>
      </c>
      <c r="D43" s="5">
        <v>9.4238327821323242E-8</v>
      </c>
      <c r="E43" s="5">
        <v>9.4238327821323447E-6</v>
      </c>
      <c r="F43" s="214"/>
      <c r="G43" s="1" t="s">
        <v>219</v>
      </c>
      <c r="H43" s="5"/>
      <c r="I43" s="5"/>
      <c r="J43" s="6"/>
    </row>
    <row r="44" spans="1:10" ht="20" customHeight="1" x14ac:dyDescent="0.2">
      <c r="A44" s="214"/>
      <c r="B44" s="1" t="s">
        <v>615</v>
      </c>
      <c r="C44" s="5">
        <v>1.4363331500021483</v>
      </c>
      <c r="D44" s="5">
        <v>0.36681252891496074</v>
      </c>
      <c r="E44" s="6">
        <v>37.950427689804513</v>
      </c>
      <c r="F44" s="214"/>
      <c r="G44" s="1" t="s">
        <v>615</v>
      </c>
      <c r="H44" s="5"/>
      <c r="I44" s="5"/>
      <c r="J44" s="6"/>
    </row>
    <row r="45" spans="1:10" ht="20" customHeight="1" x14ac:dyDescent="0.2">
      <c r="A45" s="214" t="s">
        <v>629</v>
      </c>
      <c r="B45" s="1" t="s">
        <v>619</v>
      </c>
      <c r="C45" s="5">
        <v>5.498191491131529E-3</v>
      </c>
      <c r="D45" s="5">
        <v>5.095161679579672E-3</v>
      </c>
      <c r="E45" s="6">
        <v>0.50951947482144999</v>
      </c>
      <c r="F45" s="214" t="s">
        <v>639</v>
      </c>
      <c r="G45" s="1" t="s">
        <v>619</v>
      </c>
      <c r="H45" s="5"/>
      <c r="I45" s="5"/>
      <c r="J45" s="6"/>
    </row>
    <row r="46" spans="1:10" ht="20" customHeight="1" x14ac:dyDescent="0.2">
      <c r="A46" s="214"/>
      <c r="B46" s="1" t="s">
        <v>620</v>
      </c>
      <c r="C46" s="5">
        <v>1.3720790802151868E-2</v>
      </c>
      <c r="D46" s="5">
        <v>0.11216725202724696</v>
      </c>
      <c r="E46" s="6">
        <v>11.252098639317303</v>
      </c>
      <c r="F46" s="214"/>
      <c r="G46" s="1" t="s">
        <v>620</v>
      </c>
      <c r="H46" s="5"/>
      <c r="I46" s="5"/>
      <c r="J46" s="6"/>
    </row>
    <row r="47" spans="1:10" ht="20" customHeight="1" x14ac:dyDescent="0.2">
      <c r="A47" s="214"/>
      <c r="B47" s="1" t="s">
        <v>221</v>
      </c>
      <c r="C47" s="5">
        <v>1.7245229542043029E-2</v>
      </c>
      <c r="D47" s="5">
        <v>1.6245854917083305E-3</v>
      </c>
      <c r="E47" s="6">
        <v>0.1624586563642115</v>
      </c>
      <c r="F47" s="214"/>
      <c r="G47" s="1" t="s">
        <v>221</v>
      </c>
      <c r="H47" s="5"/>
      <c r="I47" s="5"/>
      <c r="J47" s="6"/>
    </row>
    <row r="48" spans="1:10" ht="20" customHeight="1" x14ac:dyDescent="0.2">
      <c r="A48" s="214"/>
      <c r="B48" s="1" t="s">
        <v>621</v>
      </c>
      <c r="C48" s="5">
        <v>0.70549281899550453</v>
      </c>
      <c r="D48" s="5">
        <v>0.38047219974999136</v>
      </c>
      <c r="E48" s="6">
        <v>39.466581793574655</v>
      </c>
      <c r="F48" s="214"/>
      <c r="G48" s="1" t="s">
        <v>621</v>
      </c>
      <c r="H48" s="5"/>
      <c r="I48" s="5"/>
      <c r="J48" s="6"/>
    </row>
    <row r="49" spans="1:10" ht="20" customHeight="1" x14ac:dyDescent="0.2">
      <c r="A49" s="214"/>
      <c r="B49" s="1" t="s">
        <v>622</v>
      </c>
      <c r="C49" s="5">
        <v>1.6158543822027385E-5</v>
      </c>
      <c r="D49" s="5">
        <v>3.8147496202113584E-5</v>
      </c>
      <c r="E49" s="167">
        <v>3.8147496215991941E-3</v>
      </c>
      <c r="F49" s="214"/>
      <c r="G49" s="1" t="s">
        <v>622</v>
      </c>
      <c r="H49" s="5"/>
      <c r="I49" s="5"/>
      <c r="J49" s="6"/>
    </row>
    <row r="50" spans="1:10" ht="20" customHeight="1" x14ac:dyDescent="0.2">
      <c r="A50" s="214"/>
      <c r="B50" s="1" t="s">
        <v>623</v>
      </c>
      <c r="C50" s="5">
        <v>0.4421091864971286</v>
      </c>
      <c r="D50" s="5">
        <v>0.11138573469379663</v>
      </c>
      <c r="E50" s="6">
        <v>11.173211397711521</v>
      </c>
      <c r="F50" s="214"/>
      <c r="G50" s="1" t="s">
        <v>623</v>
      </c>
      <c r="H50" s="5"/>
      <c r="I50" s="5"/>
      <c r="J50" s="6"/>
    </row>
    <row r="51" spans="1:10" ht="20" customHeight="1" x14ac:dyDescent="0.2">
      <c r="A51" s="214" t="s">
        <v>630</v>
      </c>
      <c r="B51" s="1" t="s">
        <v>611</v>
      </c>
      <c r="C51" s="5">
        <v>7.2296289068305691E-3</v>
      </c>
      <c r="D51" s="5">
        <v>1.2263405466591526E-2</v>
      </c>
      <c r="E51" s="6">
        <v>1.2263866557839351</v>
      </c>
      <c r="F51" s="214" t="s">
        <v>640</v>
      </c>
      <c r="G51" s="1" t="s">
        <v>611</v>
      </c>
      <c r="H51" s="5"/>
      <c r="I51" s="5"/>
      <c r="J51" s="6"/>
    </row>
    <row r="52" spans="1:10" ht="20" customHeight="1" x14ac:dyDescent="0.2">
      <c r="A52" s="214"/>
      <c r="B52" s="1" t="s">
        <v>612</v>
      </c>
      <c r="C52" s="5">
        <v>3.9038558090829327</v>
      </c>
      <c r="D52" s="5">
        <v>4.5431766144629382E-4</v>
      </c>
      <c r="E52" s="6">
        <v>4.5431768488960154E-2</v>
      </c>
      <c r="F52" s="214"/>
      <c r="G52" s="1" t="s">
        <v>612</v>
      </c>
      <c r="H52" s="5"/>
      <c r="I52" s="5"/>
      <c r="J52" s="6"/>
    </row>
    <row r="53" spans="1:10" ht="20" customHeight="1" x14ac:dyDescent="0.2">
      <c r="A53" s="214"/>
      <c r="B53" s="1" t="s">
        <v>613</v>
      </c>
      <c r="C53" s="5">
        <v>3.2687796728633455E-10</v>
      </c>
      <c r="D53" s="5">
        <v>2.0016256026016108E-8</v>
      </c>
      <c r="E53" s="5">
        <v>2.001625602601611E-6</v>
      </c>
      <c r="F53" s="214"/>
      <c r="G53" s="1" t="s">
        <v>613</v>
      </c>
      <c r="H53" s="5"/>
      <c r="I53" s="5"/>
      <c r="J53" s="6"/>
    </row>
    <row r="54" spans="1:10" ht="20" customHeight="1" x14ac:dyDescent="0.2">
      <c r="A54" s="214"/>
      <c r="B54" s="1" t="s">
        <v>614</v>
      </c>
      <c r="C54" s="5">
        <v>0.5497565488813938</v>
      </c>
      <c r="D54" s="5">
        <v>7.4226005235747804E-9</v>
      </c>
      <c r="E54" s="5">
        <v>7.4226005235747798E-7</v>
      </c>
      <c r="F54" s="214"/>
      <c r="G54" s="1" t="s">
        <v>614</v>
      </c>
      <c r="H54" s="5"/>
      <c r="I54" s="5"/>
      <c r="J54" s="6"/>
    </row>
    <row r="55" spans="1:10" ht="20" customHeight="1" x14ac:dyDescent="0.2">
      <c r="A55" s="214"/>
      <c r="B55" s="1" t="s">
        <v>219</v>
      </c>
      <c r="C55" s="5">
        <v>55.746382030426993</v>
      </c>
      <c r="D55" s="5">
        <v>1.5904147942771735E-6</v>
      </c>
      <c r="E55" s="172">
        <v>1.590414794278179E-4</v>
      </c>
      <c r="F55" s="214"/>
      <c r="G55" s="1" t="s">
        <v>219</v>
      </c>
      <c r="H55" s="5"/>
      <c r="I55" s="5"/>
      <c r="J55" s="6"/>
    </row>
    <row r="56" spans="1:10" ht="20" customHeight="1" x14ac:dyDescent="0.2">
      <c r="A56" s="214"/>
      <c r="B56" s="1" t="s">
        <v>615</v>
      </c>
      <c r="C56" s="5">
        <v>4.9468547671349521</v>
      </c>
      <c r="D56" s="5">
        <v>4.6527556969038733E-4</v>
      </c>
      <c r="E56" s="6">
        <v>4.6527559487126009E-2</v>
      </c>
      <c r="F56" s="214"/>
      <c r="G56" s="1" t="s">
        <v>615</v>
      </c>
      <c r="H56" s="5"/>
      <c r="I56" s="5"/>
      <c r="J56" s="6"/>
    </row>
    <row r="57" spans="1:10" ht="20" customHeight="1" x14ac:dyDescent="0.2">
      <c r="A57" s="214" t="s">
        <v>631</v>
      </c>
      <c r="B57" s="1" t="s">
        <v>619</v>
      </c>
      <c r="C57" s="5">
        <v>2.7325414959528186E-4</v>
      </c>
      <c r="D57" s="5">
        <v>2.0039698122812592E-4</v>
      </c>
      <c r="E57" s="6">
        <v>2.00396983240059E-2</v>
      </c>
      <c r="F57" s="214" t="s">
        <v>641</v>
      </c>
      <c r="G57" s="1" t="s">
        <v>619</v>
      </c>
      <c r="H57" s="5"/>
      <c r="I57" s="5"/>
      <c r="J57" s="6"/>
    </row>
    <row r="58" spans="1:10" ht="20" customHeight="1" x14ac:dyDescent="0.2">
      <c r="A58" s="214"/>
      <c r="B58" s="1" t="s">
        <v>620</v>
      </c>
      <c r="C58" s="5">
        <v>0.24329239036966804</v>
      </c>
      <c r="D58" s="5">
        <v>6.755047266342272E-2</v>
      </c>
      <c r="E58" s="6">
        <v>6.7627605291475268</v>
      </c>
      <c r="F58" s="214"/>
      <c r="G58" s="1" t="s">
        <v>620</v>
      </c>
      <c r="H58" s="5"/>
      <c r="I58" s="5"/>
      <c r="J58" s="6"/>
    </row>
    <row r="59" spans="1:10" ht="20" customHeight="1" x14ac:dyDescent="0.2">
      <c r="A59" s="214"/>
      <c r="B59" s="1" t="s">
        <v>221</v>
      </c>
      <c r="C59" s="5">
        <v>1.4446952203994605E-2</v>
      </c>
      <c r="D59" s="5">
        <v>4.3872181235929018E-6</v>
      </c>
      <c r="E59" s="172">
        <v>4.3872181236140123E-4</v>
      </c>
      <c r="F59" s="214"/>
      <c r="G59" s="1" t="s">
        <v>221</v>
      </c>
      <c r="H59" s="5"/>
      <c r="I59" s="5"/>
      <c r="J59" s="6"/>
    </row>
    <row r="60" spans="1:10" ht="20" customHeight="1" x14ac:dyDescent="0.2">
      <c r="A60" s="214"/>
      <c r="B60" s="1" t="s">
        <v>621</v>
      </c>
      <c r="C60" s="5">
        <v>1.0090731771779824</v>
      </c>
      <c r="D60" s="5">
        <v>0.16004412598369772</v>
      </c>
      <c r="E60" s="6">
        <v>16.107446337580317</v>
      </c>
      <c r="F60" s="214"/>
      <c r="G60" s="1" t="s">
        <v>621</v>
      </c>
      <c r="H60" s="5"/>
      <c r="I60" s="5"/>
      <c r="J60" s="6"/>
    </row>
    <row r="61" spans="1:10" ht="20" customHeight="1" x14ac:dyDescent="0.2">
      <c r="A61" s="214"/>
      <c r="B61" s="1" t="s">
        <v>622</v>
      </c>
      <c r="C61" s="5">
        <v>6.2330521521325821E-5</v>
      </c>
      <c r="D61" s="5">
        <v>1.7657693967440435E-4</v>
      </c>
      <c r="E61" s="6">
        <v>1.7657694105079582E-2</v>
      </c>
      <c r="F61" s="214"/>
      <c r="G61" s="1" t="s">
        <v>622</v>
      </c>
      <c r="H61" s="5"/>
      <c r="I61" s="5"/>
      <c r="J61" s="6"/>
    </row>
    <row r="62" spans="1:10" ht="20" customHeight="1" x14ac:dyDescent="0.2">
      <c r="A62" s="214"/>
      <c r="B62" s="1" t="s">
        <v>623</v>
      </c>
      <c r="C62" s="5">
        <v>0.49603678909463539</v>
      </c>
      <c r="D62" s="5">
        <v>0.12211789796236601</v>
      </c>
      <c r="E62" s="6">
        <v>12.25745949741332</v>
      </c>
      <c r="F62" s="214"/>
      <c r="G62" s="1" t="s">
        <v>623</v>
      </c>
      <c r="H62" s="5"/>
      <c r="I62" s="5"/>
      <c r="J62" s="6"/>
    </row>
    <row r="63" spans="1:10" ht="20" customHeight="1" x14ac:dyDescent="0.2">
      <c r="A63" s="214" t="s">
        <v>635</v>
      </c>
      <c r="B63" s="1" t="s">
        <v>619</v>
      </c>
      <c r="C63" s="5">
        <v>2.432762664179211E-4</v>
      </c>
      <c r="D63" s="5">
        <v>2.9524825547148014E-4</v>
      </c>
      <c r="E63" s="6">
        <v>2.9524826190579095E-2</v>
      </c>
      <c r="F63" s="214" t="s">
        <v>640</v>
      </c>
      <c r="G63" s="1" t="s">
        <v>611</v>
      </c>
      <c r="H63" s="5"/>
      <c r="I63" s="5"/>
      <c r="J63" s="6"/>
    </row>
    <row r="64" spans="1:10" ht="20" customHeight="1" x14ac:dyDescent="0.2">
      <c r="A64" s="214"/>
      <c r="B64" s="1" t="s">
        <v>620</v>
      </c>
      <c r="C64" s="5">
        <v>0.79097577099168459</v>
      </c>
      <c r="D64" s="5">
        <v>0.19332889713928206</v>
      </c>
      <c r="E64" s="6">
        <v>19.514951094930019</v>
      </c>
      <c r="F64" s="214"/>
      <c r="G64" s="1" t="s">
        <v>612</v>
      </c>
      <c r="H64" s="5"/>
      <c r="I64" s="5"/>
      <c r="J64" s="6"/>
    </row>
    <row r="65" spans="1:10" ht="20" customHeight="1" x14ac:dyDescent="0.2">
      <c r="A65" s="214"/>
      <c r="B65" s="1" t="s">
        <v>221</v>
      </c>
      <c r="C65" s="5">
        <v>1.3261955767881682E-5</v>
      </c>
      <c r="D65" s="5">
        <v>2.1960388534196288E-5</v>
      </c>
      <c r="E65" s="167">
        <v>2.1960388536843931E-3</v>
      </c>
      <c r="F65" s="214"/>
      <c r="G65" s="1" t="s">
        <v>613</v>
      </c>
      <c r="H65" s="5"/>
      <c r="I65" s="5"/>
      <c r="J65" s="6"/>
    </row>
    <row r="66" spans="1:10" ht="20" customHeight="1" x14ac:dyDescent="0.2">
      <c r="A66" s="214"/>
      <c r="B66" s="1" t="s">
        <v>621</v>
      </c>
      <c r="C66" s="5">
        <v>1.8763022076137708</v>
      </c>
      <c r="D66" s="5">
        <v>0.22318783126059411</v>
      </c>
      <c r="E66" s="6">
        <v>22.599629483353922</v>
      </c>
      <c r="F66" s="214"/>
      <c r="G66" s="1" t="s">
        <v>614</v>
      </c>
      <c r="H66" s="5"/>
      <c r="I66" s="5"/>
      <c r="J66" s="6"/>
    </row>
    <row r="67" spans="1:10" ht="20" customHeight="1" x14ac:dyDescent="0.2">
      <c r="A67" s="214"/>
      <c r="B67" s="1" t="s">
        <v>622</v>
      </c>
      <c r="C67" s="5">
        <v>1.5217890973559184E-2</v>
      </c>
      <c r="D67" s="5">
        <v>4.4013893320794464E-6</v>
      </c>
      <c r="E67" s="172">
        <v>4.4013893321007629E-4</v>
      </c>
      <c r="F67" s="214"/>
      <c r="G67" s="1" t="s">
        <v>219</v>
      </c>
      <c r="H67" s="5"/>
      <c r="I67" s="5"/>
      <c r="J67" s="6"/>
    </row>
    <row r="68" spans="1:10" ht="20" customHeight="1" x14ac:dyDescent="0.2">
      <c r="A68" s="214"/>
      <c r="B68" s="1" t="s">
        <v>623</v>
      </c>
      <c r="C68" s="5">
        <v>7.8461949501476475E-2</v>
      </c>
      <c r="D68" s="5">
        <v>4.5684842445671371E-2</v>
      </c>
      <c r="E68" s="6">
        <v>4.5708690077504608</v>
      </c>
      <c r="F68" s="214"/>
      <c r="G68" s="1" t="s">
        <v>615</v>
      </c>
      <c r="H68" s="5"/>
      <c r="I68" s="5"/>
      <c r="J68" s="6"/>
    </row>
    <row r="69" spans="1:10" ht="20" customHeight="1" x14ac:dyDescent="0.2">
      <c r="A69" s="214" t="s">
        <v>632</v>
      </c>
      <c r="B69" s="1" t="s">
        <v>611</v>
      </c>
      <c r="C69" s="5">
        <v>2.901642600553464E-2</v>
      </c>
      <c r="D69" s="5">
        <v>4.1834802275052388E-2</v>
      </c>
      <c r="E69" s="6">
        <v>4.1853113252749736</v>
      </c>
      <c r="F69" s="214" t="s">
        <v>641</v>
      </c>
      <c r="G69" s="1" t="s">
        <v>619</v>
      </c>
      <c r="H69" s="5"/>
      <c r="I69" s="5"/>
      <c r="J69" s="6"/>
    </row>
    <row r="70" spans="1:10" ht="20" customHeight="1" x14ac:dyDescent="0.2">
      <c r="A70" s="214"/>
      <c r="B70" s="1" t="s">
        <v>612</v>
      </c>
      <c r="C70" s="5">
        <v>9.3039280372760433E-12</v>
      </c>
      <c r="D70" s="5">
        <v>0.54476707002904701</v>
      </c>
      <c r="E70" s="6">
        <v>58.779874030329701</v>
      </c>
      <c r="F70" s="214"/>
      <c r="G70" s="1" t="s">
        <v>620</v>
      </c>
      <c r="H70" s="5"/>
      <c r="I70" s="5"/>
      <c r="J70" s="6"/>
    </row>
    <row r="71" spans="1:10" ht="20" customHeight="1" x14ac:dyDescent="0.2">
      <c r="A71" s="214"/>
      <c r="B71" s="1" t="s">
        <v>613</v>
      </c>
      <c r="C71" s="5">
        <v>1.6976290256311595E-7</v>
      </c>
      <c r="D71" s="5">
        <v>8.8342055745412053E-7</v>
      </c>
      <c r="E71" s="172">
        <v>8.8342055745429285E-5</v>
      </c>
      <c r="F71" s="214"/>
      <c r="G71" s="1" t="s">
        <v>221</v>
      </c>
      <c r="H71" s="5"/>
      <c r="I71" s="5"/>
      <c r="J71" s="6"/>
    </row>
    <row r="72" spans="1:10" ht="20" customHeight="1" x14ac:dyDescent="0.2">
      <c r="A72" s="214"/>
      <c r="B72" s="1" t="s">
        <v>614</v>
      </c>
      <c r="C72" s="5">
        <v>4.9417608236281305</v>
      </c>
      <c r="D72" s="5">
        <v>2.2258288818141088</v>
      </c>
      <c r="E72" s="6">
        <v>1186.5299752448714</v>
      </c>
      <c r="F72" s="214"/>
      <c r="G72" s="1" t="s">
        <v>621</v>
      </c>
      <c r="H72" s="5"/>
      <c r="I72" s="5"/>
      <c r="J72" s="6"/>
    </row>
    <row r="73" spans="1:10" ht="20" customHeight="1" x14ac:dyDescent="0.2">
      <c r="A73" s="214"/>
      <c r="B73" s="1" t="s">
        <v>219</v>
      </c>
      <c r="C73" s="5">
        <v>19.912251463764076</v>
      </c>
      <c r="D73" s="5">
        <v>1.3385794980254835E-4</v>
      </c>
      <c r="E73" s="6">
        <v>1.3385795040216341E-2</v>
      </c>
      <c r="F73" s="214"/>
      <c r="G73" s="1" t="s">
        <v>622</v>
      </c>
      <c r="H73" s="5"/>
      <c r="I73" s="5"/>
      <c r="J73" s="6"/>
    </row>
    <row r="74" spans="1:10" ht="20" customHeight="1" x14ac:dyDescent="0.2">
      <c r="A74" s="214"/>
      <c r="B74" s="1" t="s">
        <v>615</v>
      </c>
      <c r="C74" s="5">
        <v>1.3446292576895287</v>
      </c>
      <c r="D74" s="5">
        <v>0.26892862004663609</v>
      </c>
      <c r="E74" s="6">
        <v>27.38650884744699</v>
      </c>
      <c r="F74" s="214"/>
      <c r="G74" s="1" t="s">
        <v>623</v>
      </c>
      <c r="H74" s="5"/>
      <c r="I74" s="5"/>
      <c r="J74" s="6"/>
    </row>
  </sheetData>
  <mergeCells count="24">
    <mergeCell ref="F33:F38"/>
    <mergeCell ref="F39:F44"/>
    <mergeCell ref="F3:F8"/>
    <mergeCell ref="F9:F14"/>
    <mergeCell ref="A15:A20"/>
    <mergeCell ref="A21:A26"/>
    <mergeCell ref="A27:A32"/>
    <mergeCell ref="F15:F20"/>
    <mergeCell ref="F21:F26"/>
    <mergeCell ref="F27:F32"/>
    <mergeCell ref="A3:A8"/>
    <mergeCell ref="A9:A14"/>
    <mergeCell ref="A33:A38"/>
    <mergeCell ref="A39:A44"/>
    <mergeCell ref="A45:A50"/>
    <mergeCell ref="A51:A56"/>
    <mergeCell ref="A57:A62"/>
    <mergeCell ref="A63:A68"/>
    <mergeCell ref="A69:A74"/>
    <mergeCell ref="F63:F68"/>
    <mergeCell ref="F69:F74"/>
    <mergeCell ref="F45:F50"/>
    <mergeCell ref="F51:F56"/>
    <mergeCell ref="F57:F62"/>
  </mergeCells>
  <phoneticPr fontId="7" type="noConversion"/>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4"/>
  <sheetViews>
    <sheetView workbookViewId="0">
      <selection activeCell="E15" sqref="E15:H15"/>
    </sheetView>
  </sheetViews>
  <sheetFormatPr baseColWidth="10" defaultColWidth="16.83203125" defaultRowHeight="20" customHeight="1" x14ac:dyDescent="0.2"/>
  <cols>
    <col min="1" max="8" width="16.83203125" style="151"/>
    <col min="9" max="9" width="16.83203125" style="151" customWidth="1"/>
    <col min="10" max="11" width="16.83203125" style="151"/>
    <col min="12" max="12" width="16.83203125" style="151" customWidth="1"/>
    <col min="13" max="13" width="16.83203125" style="151"/>
    <col min="14" max="19" width="16.83203125" style="151" customWidth="1"/>
    <col min="20" max="16384" width="16.83203125" style="151"/>
  </cols>
  <sheetData>
    <row r="1" spans="1:23" ht="20" customHeight="1" x14ac:dyDescent="0.2">
      <c r="A1" s="162" t="s">
        <v>994</v>
      </c>
    </row>
    <row r="2" spans="1:23" ht="20" customHeight="1" x14ac:dyDescent="0.2">
      <c r="A2" s="50" t="s">
        <v>605</v>
      </c>
      <c r="B2" s="50" t="s">
        <v>7</v>
      </c>
      <c r="C2" s="50" t="s">
        <v>6</v>
      </c>
      <c r="D2" s="50" t="s">
        <v>9</v>
      </c>
      <c r="E2" s="50" t="s">
        <v>8</v>
      </c>
      <c r="F2" s="50" t="s">
        <v>11</v>
      </c>
      <c r="G2" s="50" t="s">
        <v>10</v>
      </c>
    </row>
    <row r="3" spans="1:23" ht="20" customHeight="1" x14ac:dyDescent="0.2">
      <c r="A3" s="83" t="s">
        <v>120</v>
      </c>
      <c r="B3" s="45">
        <f>'Drop-down lists'!C7</f>
        <v>4.6565907501850404E-6</v>
      </c>
      <c r="C3" s="45">
        <f>'Drop-down lists'!D7</f>
        <v>2.2591669322139198</v>
      </c>
      <c r="D3" s="45">
        <f>'Drop-down lists'!E7</f>
        <v>5.3412730896969978E-4</v>
      </c>
      <c r="E3" s="45">
        <f>'Drop-down lists'!F7</f>
        <v>4.9999999999999827E-13</v>
      </c>
      <c r="F3" s="45">
        <f>'Drop-down lists'!G7</f>
        <v>8.6756319826511703</v>
      </c>
      <c r="G3" s="45">
        <f>'Drop-down lists'!H7</f>
        <v>1.4363331500021483</v>
      </c>
    </row>
    <row r="4" spans="1:23" ht="20" customHeight="1" x14ac:dyDescent="0.2">
      <c r="A4" s="83" t="s">
        <v>125</v>
      </c>
      <c r="B4" s="45">
        <f>'Drop-down lists'!C8</f>
        <v>7.2296289068305691E-3</v>
      </c>
      <c r="C4" s="45">
        <f>'Drop-down lists'!D8</f>
        <v>3.9038558090829327</v>
      </c>
      <c r="D4" s="45">
        <f>'Drop-down lists'!E8</f>
        <v>3.2687796728633455E-10</v>
      </c>
      <c r="E4" s="45">
        <f>'Drop-down lists'!F8</f>
        <v>0.5497565488813938</v>
      </c>
      <c r="F4" s="45">
        <f>'Drop-down lists'!G8</f>
        <v>55.746382030426993</v>
      </c>
      <c r="G4" s="45">
        <f>'Drop-down lists'!H8</f>
        <v>4.9468547671349521</v>
      </c>
    </row>
    <row r="5" spans="1:23" ht="20" customHeight="1" x14ac:dyDescent="0.2">
      <c r="A5" s="83" t="s">
        <v>126</v>
      </c>
      <c r="B5" s="45">
        <f>'Drop-down lists'!C10</f>
        <v>2.901642600553464E-2</v>
      </c>
      <c r="C5" s="45">
        <f>'Drop-down lists'!D10</f>
        <v>9.3039280372760433E-12</v>
      </c>
      <c r="D5" s="45">
        <f>'Drop-down lists'!E10</f>
        <v>1.6976290256311595E-7</v>
      </c>
      <c r="E5" s="45">
        <f>'Drop-down lists'!F10</f>
        <v>4.9417608236281305</v>
      </c>
      <c r="F5" s="45">
        <f>'Drop-down lists'!G10</f>
        <v>19.912251463764076</v>
      </c>
      <c r="G5" s="45">
        <f>'Drop-down lists'!H10</f>
        <v>1.3446292576895287</v>
      </c>
    </row>
    <row r="6" spans="1:23" ht="20" customHeight="1" x14ac:dyDescent="0.2">
      <c r="A6" s="50" t="s">
        <v>606</v>
      </c>
      <c r="B6" s="50" t="s">
        <v>13</v>
      </c>
      <c r="C6" s="50" t="s">
        <v>12</v>
      </c>
      <c r="D6" s="50" t="s">
        <v>15</v>
      </c>
      <c r="E6" s="50" t="s">
        <v>14</v>
      </c>
      <c r="F6" s="50" t="s">
        <v>16</v>
      </c>
      <c r="G6" s="50" t="s">
        <v>17</v>
      </c>
    </row>
    <row r="7" spans="1:23" ht="20" customHeight="1" x14ac:dyDescent="0.2">
      <c r="A7" s="45" t="s">
        <v>120</v>
      </c>
      <c r="B7" s="45">
        <f>'Drop-down lists'!C20</f>
        <v>5.498191491131529E-3</v>
      </c>
      <c r="C7" s="45">
        <f>'Drop-down lists'!D20</f>
        <v>1.3720790802151868E-2</v>
      </c>
      <c r="D7" s="45">
        <f>'Drop-down lists'!E20</f>
        <v>1.7245229542043029E-2</v>
      </c>
      <c r="E7" s="45">
        <f>'Drop-down lists'!F20</f>
        <v>0.70549281899550453</v>
      </c>
      <c r="F7" s="45">
        <f>'Drop-down lists'!G20</f>
        <v>1.6158543822027385E-5</v>
      </c>
      <c r="G7" s="45">
        <f>'Drop-down lists'!H20</f>
        <v>0.4421091864971286</v>
      </c>
    </row>
    <row r="8" spans="1:23" ht="20" customHeight="1" x14ac:dyDescent="0.2">
      <c r="A8" s="45" t="s">
        <v>125</v>
      </c>
      <c r="B8" s="45">
        <f>'Drop-down lists'!C21</f>
        <v>2.7325414959528186E-4</v>
      </c>
      <c r="C8" s="45">
        <f>'Drop-down lists'!D21</f>
        <v>0.24329239036966804</v>
      </c>
      <c r="D8" s="45">
        <f>'Drop-down lists'!E21</f>
        <v>1.4446952203994605E-2</v>
      </c>
      <c r="E8" s="45">
        <f>'Drop-down lists'!F21</f>
        <v>1.0090731771779824</v>
      </c>
      <c r="F8" s="45">
        <f>'Drop-down lists'!G21</f>
        <v>6.2330521521325821E-5</v>
      </c>
      <c r="G8" s="45">
        <f>'Drop-down lists'!H21</f>
        <v>0.49603678909463539</v>
      </c>
    </row>
    <row r="9" spans="1:23" ht="20" customHeight="1" x14ac:dyDescent="0.2">
      <c r="A9" s="45" t="s">
        <v>138</v>
      </c>
      <c r="B9" s="45">
        <f>'Drop-down lists'!C22</f>
        <v>2.432762664179211E-4</v>
      </c>
      <c r="C9" s="45">
        <f>'Drop-down lists'!D22</f>
        <v>0.79097577099168459</v>
      </c>
      <c r="D9" s="45">
        <f>'Drop-down lists'!E22</f>
        <v>1.3261955767881682E-5</v>
      </c>
      <c r="E9" s="45">
        <f>'Drop-down lists'!F22</f>
        <v>1.8763022076137708</v>
      </c>
      <c r="F9" s="45">
        <f>'Drop-down lists'!G22</f>
        <v>1.5217890973559184E-2</v>
      </c>
      <c r="G9" s="45">
        <f>'Drop-down lists'!H22</f>
        <v>7.8461949501476475E-2</v>
      </c>
    </row>
    <row r="10" spans="1:23" ht="20" customHeight="1" x14ac:dyDescent="0.2">
      <c r="A10" s="45" t="s">
        <v>190</v>
      </c>
      <c r="B10" s="59">
        <f>'Drop-down lists'!C17</f>
        <v>1.0262753023911369E-2</v>
      </c>
      <c r="C10" s="59">
        <f>'Drop-down lists'!D17</f>
        <v>3.358408094206361E-11</v>
      </c>
      <c r="D10" s="59">
        <f>'Drop-down lists'!E17</f>
        <v>2.1825283888841857E-3</v>
      </c>
      <c r="E10" s="59">
        <f>'Drop-down lists'!F17</f>
        <v>0.29904863199407866</v>
      </c>
      <c r="F10" s="59">
        <f>'Drop-down lists'!G17</f>
        <v>3.780320604053785E-4</v>
      </c>
      <c r="G10" s="59">
        <f>'Drop-down lists'!H17</f>
        <v>0.21648776963088343</v>
      </c>
    </row>
    <row r="11" spans="1:23" ht="20" customHeight="1" x14ac:dyDescent="0.2">
      <c r="A11" s="45" t="s">
        <v>127</v>
      </c>
      <c r="B11" s="45">
        <f>'Drop-down lists'!C18</f>
        <v>1.1050589923981958E-2</v>
      </c>
      <c r="C11" s="45">
        <f>'Drop-down lists'!D18</f>
        <v>4.9999999999999827E-13</v>
      </c>
      <c r="D11" s="45">
        <f>'Drop-down lists'!E18</f>
        <v>1.0314560124374485E-2</v>
      </c>
      <c r="E11" s="45">
        <f>'Drop-down lists'!F18</f>
        <v>4.362022267738264E-3</v>
      </c>
      <c r="F11" s="45">
        <f>'Drop-down lists'!G18</f>
        <v>1.0475542749963076E-4</v>
      </c>
      <c r="G11" s="45">
        <f>'Drop-down lists'!H18</f>
        <v>0.32405972126395782</v>
      </c>
    </row>
    <row r="12" spans="1:23" ht="20" customHeight="1" x14ac:dyDescent="0.2">
      <c r="A12" s="45" t="s">
        <v>137</v>
      </c>
      <c r="B12" s="59">
        <f>'Drop-down lists'!C19</f>
        <v>4.7218302973121193E-9</v>
      </c>
      <c r="C12" s="59">
        <f>'Drop-down lists'!D19</f>
        <v>1.3476470812839827</v>
      </c>
      <c r="D12" s="59">
        <f>'Drop-down lists'!E19</f>
        <v>3.6784226416775896E-4</v>
      </c>
      <c r="E12" s="59">
        <f>'Drop-down lists'!F19</f>
        <v>4.9897636856199528</v>
      </c>
      <c r="F12" s="59">
        <f>'Drop-down lists'!G19</f>
        <v>5.3315116606357247E-5</v>
      </c>
      <c r="G12" s="59">
        <f>'Drop-down lists'!H19</f>
        <v>0.65085027677318608</v>
      </c>
    </row>
    <row r="13" spans="1:23" ht="20" customHeight="1" x14ac:dyDescent="0.2">
      <c r="A13" s="239" t="s">
        <v>979</v>
      </c>
      <c r="B13" s="239"/>
      <c r="C13" s="239"/>
      <c r="D13" s="239"/>
      <c r="E13" s="239"/>
      <c r="F13" s="239"/>
      <c r="G13" s="239"/>
      <c r="H13" s="239"/>
      <c r="I13" s="239"/>
      <c r="J13" s="239"/>
      <c r="K13" s="239"/>
      <c r="L13" s="239"/>
      <c r="M13" s="239"/>
      <c r="N13" s="239"/>
      <c r="O13" s="239"/>
      <c r="P13" s="239"/>
      <c r="Q13" s="239"/>
      <c r="R13" s="239"/>
    </row>
    <row r="14" spans="1:23" ht="20" customHeight="1" x14ac:dyDescent="0.2">
      <c r="A14" s="54" t="s">
        <v>1</v>
      </c>
      <c r="B14" s="54" t="s">
        <v>4</v>
      </c>
      <c r="C14" s="54" t="s">
        <v>119</v>
      </c>
      <c r="D14" s="54" t="s">
        <v>115</v>
      </c>
      <c r="E14" s="54" t="s">
        <v>19</v>
      </c>
      <c r="F14" s="54" t="s">
        <v>20</v>
      </c>
      <c r="G14" s="54" t="s">
        <v>121</v>
      </c>
      <c r="H14" s="54" t="s">
        <v>223</v>
      </c>
      <c r="I14" s="54" t="s">
        <v>663</v>
      </c>
      <c r="J14" s="54" t="s">
        <v>662</v>
      </c>
      <c r="K14" s="54" t="s">
        <v>664</v>
      </c>
      <c r="L14" s="54" t="s">
        <v>665</v>
      </c>
      <c r="M14" s="54" t="s">
        <v>666</v>
      </c>
      <c r="N14" s="54" t="s">
        <v>667</v>
      </c>
      <c r="O14" s="54" t="s">
        <v>698</v>
      </c>
      <c r="P14" s="54" t="s">
        <v>699</v>
      </c>
      <c r="Q14" s="54" t="s">
        <v>677</v>
      </c>
      <c r="R14" s="54" t="s">
        <v>678</v>
      </c>
      <c r="S14" s="3"/>
      <c r="T14" s="3"/>
      <c r="U14" s="3"/>
      <c r="V14" s="3"/>
      <c r="W14" s="3"/>
    </row>
    <row r="15" spans="1:23" ht="20" customHeight="1" x14ac:dyDescent="0.2">
      <c r="A15" s="21" t="s">
        <v>120</v>
      </c>
      <c r="B15" s="34" t="s">
        <v>607</v>
      </c>
      <c r="C15" s="34">
        <f>'Model interface'!$B$15</f>
        <v>25</v>
      </c>
      <c r="D15" s="34">
        <f>'Drop-down lists'!$Q$4</f>
        <v>10</v>
      </c>
      <c r="E15" s="166">
        <f>'Drop-down lists'!$R$4</f>
        <v>4.042500000000001E-3</v>
      </c>
      <c r="F15" s="34">
        <f>'Drop-down lists'!$S$4</f>
        <v>0.5</v>
      </c>
      <c r="G15" s="65">
        <f>$B$3*C15^$C$3*($D$3*D15^$E$3+$F$3*E15^$G$3)</f>
        <v>2.4807691143516192E-5</v>
      </c>
      <c r="H15" s="65">
        <f>$B$7*C15^$C$7*($D$7*D15^$E$7+$F$7*F15^$G$7)</f>
        <v>5.0306199606234682E-4</v>
      </c>
      <c r="I15" s="101">
        <f>-LN(0.001)/(G15+H15)/365</f>
        <v>35.852327548669251</v>
      </c>
      <c r="J15" s="101">
        <f>-LN(0.001)/H15/365</f>
        <v>37.620327269509495</v>
      </c>
      <c r="K15" s="65">
        <v>1.1300458986080742E-8</v>
      </c>
      <c r="L15" s="65">
        <v>3.0928052905691081</v>
      </c>
      <c r="M15" s="65">
        <v>2.1347749996580601E-4</v>
      </c>
      <c r="N15" s="65">
        <v>3.0701967116340085E-3</v>
      </c>
      <c r="O15" s="101">
        <f t="shared" ref="O15:O28" si="0">-LN(0.001)/(L15+N15)/365</f>
        <v>6.113087237026203E-3</v>
      </c>
      <c r="P15" s="101">
        <f>-LN(0.001)/(K15+M15)/365</f>
        <v>88.648008190880319</v>
      </c>
      <c r="Q15" s="101">
        <f t="shared" ref="Q15:Q28" si="1">-LN(0.001)/N15/365</f>
        <v>6.1642164024877086</v>
      </c>
      <c r="R15" s="101">
        <f>-LN(0.001)/M15/365</f>
        <v>88.652700784624017</v>
      </c>
      <c r="S15" s="58"/>
      <c r="T15" s="4"/>
      <c r="U15" s="14"/>
      <c r="V15" s="5"/>
      <c r="W15" s="7"/>
    </row>
    <row r="16" spans="1:23" ht="20" customHeight="1" x14ac:dyDescent="0.2">
      <c r="A16" s="21" t="s">
        <v>120</v>
      </c>
      <c r="B16" s="34" t="s">
        <v>750</v>
      </c>
      <c r="C16" s="34">
        <f>'Model interface'!$B$15</f>
        <v>25</v>
      </c>
      <c r="D16" s="34">
        <f>'Drop-down lists'!$Q$5</f>
        <v>0.1</v>
      </c>
      <c r="E16" s="166">
        <f>'Drop-down lists'!$R$5</f>
        <v>1.1533095135726715E-3</v>
      </c>
      <c r="F16" s="65">
        <f>'Drop-down lists'!$S$5</f>
        <v>670000000</v>
      </c>
      <c r="G16" s="65">
        <f t="shared" ref="G16:G21" si="2">$B$3*C16^$C$3*($D$3*D16^$E$3+$F$3*E16^$G$3)</f>
        <v>7.0837602015600554E-6</v>
      </c>
      <c r="H16" s="65">
        <f t="shared" ref="H16:H21" si="3">$B$7*C16^$C$7*($D$7*D16^$E$7+$F$7*F16^$G$7)</f>
        <v>7.6064972405721074E-4</v>
      </c>
      <c r="I16" s="101">
        <f t="shared" ref="I16:I21" si="4">-LN(0.001)/(G16+H16)/365</f>
        <v>24.65094634629644</v>
      </c>
      <c r="J16" s="101">
        <f t="shared" ref="J16:J21" si="5">-LN(0.001)/H16/365</f>
        <v>24.880515078310538</v>
      </c>
      <c r="K16" s="65">
        <v>7.512556335250684E-9</v>
      </c>
      <c r="L16" s="65">
        <v>1.0438854400492812</v>
      </c>
      <c r="M16" s="65">
        <v>1.4442165099077045E-4</v>
      </c>
      <c r="N16" s="65">
        <v>6.9068296374883934E-3</v>
      </c>
      <c r="O16" s="101">
        <f t="shared" si="0"/>
        <v>1.8010559722103435E-2</v>
      </c>
      <c r="P16" s="101">
        <f t="shared" ref="P16:P21" si="6">-LN(0.001)/(K16+M16)/365</f>
        <v>131.03556417499894</v>
      </c>
      <c r="Q16" s="101">
        <f t="shared" si="1"/>
        <v>2.7400932007930949</v>
      </c>
      <c r="R16" s="101">
        <f t="shared" ref="R16:R21" si="7">-LN(0.001)/M16/365</f>
        <v>131.04238041100669</v>
      </c>
      <c r="S16" s="58"/>
      <c r="T16" s="4"/>
      <c r="U16" s="14"/>
      <c r="V16" s="5"/>
      <c r="W16" s="7"/>
    </row>
    <row r="17" spans="1:23" ht="20" customHeight="1" x14ac:dyDescent="0.2">
      <c r="A17" s="21" t="s">
        <v>120</v>
      </c>
      <c r="B17" s="34" t="s">
        <v>751</v>
      </c>
      <c r="C17" s="34">
        <f>'Model interface'!$B$15</f>
        <v>25</v>
      </c>
      <c r="D17" s="34">
        <f>'Drop-down lists'!$Q$6</f>
        <v>0</v>
      </c>
      <c r="E17" s="34">
        <f>'Drop-down lists'!$R$6</f>
        <v>0</v>
      </c>
      <c r="F17" s="65">
        <f>'Drop-down lists'!$S$6</f>
        <v>121000000</v>
      </c>
      <c r="G17" s="65">
        <f t="shared" si="2"/>
        <v>0</v>
      </c>
      <c r="H17" s="65">
        <f t="shared" si="3"/>
        <v>3.4775756710658269E-4</v>
      </c>
      <c r="I17" s="101">
        <f t="shared" si="4"/>
        <v>54.421121835482104</v>
      </c>
      <c r="J17" s="101">
        <f t="shared" si="5"/>
        <v>54.421121835482104</v>
      </c>
      <c r="K17" s="65">
        <v>0</v>
      </c>
      <c r="L17" s="65">
        <v>0</v>
      </c>
      <c r="M17" s="65">
        <v>6.8290314325122732E-5</v>
      </c>
      <c r="N17" s="65">
        <v>2.5433686746586695E-3</v>
      </c>
      <c r="O17" s="101">
        <f t="shared" si="0"/>
        <v>7.4410592209004243</v>
      </c>
      <c r="P17" s="101">
        <f t="shared" si="6"/>
        <v>277.1309096428613</v>
      </c>
      <c r="Q17" s="101">
        <f t="shared" si="1"/>
        <v>7.4410592209004243</v>
      </c>
      <c r="R17" s="101">
        <f t="shared" si="7"/>
        <v>277.1309096428613</v>
      </c>
      <c r="S17" s="58"/>
      <c r="T17" s="5"/>
      <c r="U17" s="14"/>
      <c r="V17" s="5"/>
      <c r="W17" s="7"/>
    </row>
    <row r="18" spans="1:23" ht="20" customHeight="1" x14ac:dyDescent="0.2">
      <c r="A18" s="21" t="s">
        <v>120</v>
      </c>
      <c r="B18" s="34" t="s">
        <v>608</v>
      </c>
      <c r="C18" s="34">
        <f>'Model interface'!$B$15</f>
        <v>25</v>
      </c>
      <c r="D18" s="34">
        <f>'Drop-down lists'!$Q$7</f>
        <v>12.5</v>
      </c>
      <c r="E18" s="166">
        <f>'Drop-down lists'!$R$7</f>
        <v>2.6361360310232489E-2</v>
      </c>
      <c r="F18" s="65">
        <f>'Drop-down lists'!$S$7</f>
        <v>12500000</v>
      </c>
      <c r="G18" s="65">
        <f t="shared" si="2"/>
        <v>3.1729325888014417E-4</v>
      </c>
      <c r="H18" s="65">
        <f t="shared" si="3"/>
        <v>7.1622240951078387E-4</v>
      </c>
      <c r="I18" s="101">
        <f t="shared" si="4"/>
        <v>18.311630396646922</v>
      </c>
      <c r="J18" s="101">
        <f t="shared" si="5"/>
        <v>26.423854765512239</v>
      </c>
      <c r="K18" s="65">
        <v>5.7483988841252023E-8</v>
      </c>
      <c r="L18" s="65">
        <v>15.493940678339676</v>
      </c>
      <c r="M18" s="65">
        <v>3.2876481405687779E-4</v>
      </c>
      <c r="N18" s="65">
        <v>4.294645568007828E-3</v>
      </c>
      <c r="O18" s="101">
        <f t="shared" si="0"/>
        <v>1.2211297953079727E-3</v>
      </c>
      <c r="P18" s="101">
        <f t="shared" si="6"/>
        <v>57.5549682646121</v>
      </c>
      <c r="Q18" s="101">
        <f t="shared" si="1"/>
        <v>4.4067331352554788</v>
      </c>
      <c r="R18" s="101">
        <f t="shared" si="7"/>
        <v>57.565031656471646</v>
      </c>
      <c r="S18" s="58"/>
      <c r="T18" s="5"/>
      <c r="U18" s="14"/>
      <c r="V18" s="5"/>
      <c r="W18" s="7"/>
    </row>
    <row r="19" spans="1:23" ht="20" customHeight="1" x14ac:dyDescent="0.2">
      <c r="A19" s="21" t="s">
        <v>120</v>
      </c>
      <c r="B19" s="34" t="s">
        <v>175</v>
      </c>
      <c r="C19" s="34">
        <f>'Model interface'!$B$15</f>
        <v>25</v>
      </c>
      <c r="D19" s="34">
        <f>'Drop-down lists'!$Q$8</f>
        <v>10</v>
      </c>
      <c r="E19" s="166">
        <f>'Drop-down lists'!$R$8</f>
        <v>3.3000000000000008E-3</v>
      </c>
      <c r="F19" s="65">
        <f>'Drop-down lists'!$S$8</f>
        <v>250000</v>
      </c>
      <c r="G19" s="65">
        <f t="shared" si="2"/>
        <v>1.9440268164338995E-5</v>
      </c>
      <c r="H19" s="65">
        <f t="shared" si="3"/>
        <v>5.2560267251078926E-4</v>
      </c>
      <c r="I19" s="101">
        <f t="shared" si="4"/>
        <v>34.72268974858369</v>
      </c>
      <c r="J19" s="101">
        <f t="shared" si="5"/>
        <v>36.00696480159106</v>
      </c>
      <c r="K19" s="65">
        <v>9.5911587042162362E-9</v>
      </c>
      <c r="L19" s="65">
        <v>2.6978563579608066</v>
      </c>
      <c r="M19" s="65">
        <v>2.3910895737804219E-4</v>
      </c>
      <c r="N19" s="65">
        <v>3.2078838205789116E-3</v>
      </c>
      <c r="O19" s="101">
        <f t="shared" si="0"/>
        <v>7.0066296965364564E-3</v>
      </c>
      <c r="P19" s="101">
        <f t="shared" si="6"/>
        <v>79.14633575910085</v>
      </c>
      <c r="Q19" s="101">
        <f t="shared" si="1"/>
        <v>5.8996391350927455</v>
      </c>
      <c r="R19" s="101">
        <f t="shared" si="7"/>
        <v>79.149510483609063</v>
      </c>
      <c r="S19" s="58"/>
      <c r="T19" s="5"/>
      <c r="U19" s="14"/>
      <c r="V19" s="5"/>
      <c r="W19" s="7"/>
    </row>
    <row r="20" spans="1:23" ht="20" customHeight="1" x14ac:dyDescent="0.2">
      <c r="A20" s="21" t="s">
        <v>120</v>
      </c>
      <c r="B20" s="34" t="s">
        <v>176</v>
      </c>
      <c r="C20" s="34">
        <f>'Model interface'!$B$15</f>
        <v>25</v>
      </c>
      <c r="D20" s="34">
        <f>'Drop-down lists'!$Q$9</f>
        <v>0</v>
      </c>
      <c r="E20" s="65">
        <f>'Drop-down lists'!$R$9</f>
        <v>1.6895999999999999E-6</v>
      </c>
      <c r="F20" s="65">
        <f>'Drop-down lists'!$S$9</f>
        <v>38500</v>
      </c>
      <c r="G20" s="65">
        <f t="shared" si="2"/>
        <v>2.9766220932849148E-10</v>
      </c>
      <c r="H20" s="65">
        <f t="shared" si="3"/>
        <v>9.8872891934846861E-6</v>
      </c>
      <c r="I20" s="101">
        <f t="shared" si="4"/>
        <v>1914.0521549825417</v>
      </c>
      <c r="J20" s="101">
        <f t="shared" si="5"/>
        <v>1914.109778561874</v>
      </c>
      <c r="K20" s="65">
        <v>7.3444776317322228E-20</v>
      </c>
      <c r="L20" s="65">
        <v>3.3547876756806999E-3</v>
      </c>
      <c r="M20" s="65">
        <v>4.0216292970091467E-6</v>
      </c>
      <c r="N20" s="65">
        <v>3.1786465344196265E-5</v>
      </c>
      <c r="O20" s="101">
        <f t="shared" si="0"/>
        <v>5.5883486203525745</v>
      </c>
      <c r="P20" s="101">
        <f t="shared" si="6"/>
        <v>4705.8929431393572</v>
      </c>
      <c r="Q20" s="101">
        <f t="shared" si="1"/>
        <v>595.39041928025108</v>
      </c>
      <c r="R20" s="101">
        <f t="shared" si="7"/>
        <v>4705.8929431394436</v>
      </c>
      <c r="S20" s="58"/>
      <c r="T20" s="5"/>
      <c r="U20" s="14"/>
      <c r="V20" s="5"/>
      <c r="W20" s="7"/>
    </row>
    <row r="21" spans="1:23" ht="20" customHeight="1" x14ac:dyDescent="0.2">
      <c r="A21" s="21" t="s">
        <v>120</v>
      </c>
      <c r="B21" s="34" t="s">
        <v>249</v>
      </c>
      <c r="C21" s="34">
        <f>'Model interface'!$B$15</f>
        <v>25</v>
      </c>
      <c r="D21" s="34">
        <f>'Drop-down lists'!$Q$10</f>
        <v>0</v>
      </c>
      <c r="E21" s="34">
        <f>'Drop-down lists'!$R$10</f>
        <v>0</v>
      </c>
      <c r="F21" s="65">
        <f>'Drop-down lists'!$S$10</f>
        <v>482000</v>
      </c>
      <c r="G21" s="65">
        <f t="shared" si="2"/>
        <v>0</v>
      </c>
      <c r="H21" s="65">
        <f t="shared" si="3"/>
        <v>3.0222488923923055E-5</v>
      </c>
      <c r="I21" s="101">
        <f t="shared" si="4"/>
        <v>626.20113705253243</v>
      </c>
      <c r="J21" s="101">
        <f t="shared" si="5"/>
        <v>626.20113705253243</v>
      </c>
      <c r="K21" s="65">
        <v>0</v>
      </c>
      <c r="L21" s="65">
        <v>0</v>
      </c>
      <c r="M21" s="65">
        <v>9.6101014084155863E-6</v>
      </c>
      <c r="N21" s="65">
        <v>1.1904133473498383E-4</v>
      </c>
      <c r="O21" s="101">
        <f t="shared" si="0"/>
        <v>158.98139054682832</v>
      </c>
      <c r="P21" s="101">
        <f t="shared" si="6"/>
        <v>1969.3191699460328</v>
      </c>
      <c r="Q21" s="101">
        <f t="shared" si="1"/>
        <v>158.98139054682832</v>
      </c>
      <c r="R21" s="101">
        <f t="shared" si="7"/>
        <v>1969.3191699460328</v>
      </c>
      <c r="S21" s="58"/>
      <c r="T21" s="5"/>
      <c r="U21" s="14"/>
      <c r="V21" s="5"/>
      <c r="W21" s="7"/>
    </row>
    <row r="22" spans="1:23" ht="20" customHeight="1" x14ac:dyDescent="0.2">
      <c r="A22" s="21" t="s">
        <v>125</v>
      </c>
      <c r="B22" s="34" t="s">
        <v>607</v>
      </c>
      <c r="C22" s="34">
        <f>'Model interface'!$B$15</f>
        <v>25</v>
      </c>
      <c r="D22" s="34">
        <f>'Drop-down lists'!$Q$4</f>
        <v>10</v>
      </c>
      <c r="E22" s="166">
        <f>'Drop-down lists'!$R$4</f>
        <v>4.042500000000001E-3</v>
      </c>
      <c r="F22" s="34">
        <f>'Drop-down lists'!$S$4</f>
        <v>0.5</v>
      </c>
      <c r="G22" s="65">
        <f>$B$4*C22^$C$4*($D$4*D22^$E$4+$F$4*E22^$G$4)</f>
        <v>2.5693898253969685E-6</v>
      </c>
      <c r="H22" s="65">
        <f>$B$8*C22^$C$8*($D$8*D22^$E$8+$F$8*F22^$G$8)</f>
        <v>8.8237752297822469E-5</v>
      </c>
      <c r="I22" s="101">
        <f t="shared" ref="I22:I28" si="8">-LN(0.001)/(G22+H22)/365</f>
        <v>208.41264779633406</v>
      </c>
      <c r="J22" s="101">
        <f t="shared" ref="J22:J28" si="9">-LN(0.001)/H22/365</f>
        <v>214.48140320756133</v>
      </c>
      <c r="K22" s="65">
        <v>2.5014483014397694E-6</v>
      </c>
      <c r="L22" s="65">
        <v>2.6387319386478145E-6</v>
      </c>
      <c r="M22" s="65">
        <v>4.6740718221520062E-5</v>
      </c>
      <c r="N22" s="65">
        <v>2.1136191576523179E-4</v>
      </c>
      <c r="O22" s="101">
        <f t="shared" si="0"/>
        <v>88.435979665378781</v>
      </c>
      <c r="P22" s="101">
        <f t="shared" ref="P22:P28" si="10">-LN(0.001)/(K22+M22)/365</f>
        <v>384.33233679704119</v>
      </c>
      <c r="Q22" s="101">
        <f t="shared" si="1"/>
        <v>89.54005200132336</v>
      </c>
      <c r="R22" s="101">
        <f t="shared" ref="R22:R28" si="11">-LN(0.001)/M22/365</f>
        <v>404.90085836988044</v>
      </c>
      <c r="S22" s="4"/>
      <c r="T22" s="4"/>
      <c r="U22" s="14"/>
      <c r="V22" s="5"/>
      <c r="W22" s="7"/>
    </row>
    <row r="23" spans="1:23" ht="20" customHeight="1" x14ac:dyDescent="0.2">
      <c r="A23" s="21" t="s">
        <v>125</v>
      </c>
      <c r="B23" s="34" t="s">
        <v>750</v>
      </c>
      <c r="C23" s="34">
        <f>'Model interface'!$B$15</f>
        <v>25</v>
      </c>
      <c r="D23" s="34">
        <f>'Drop-down lists'!$Q$5</f>
        <v>0.1</v>
      </c>
      <c r="E23" s="166">
        <f>'Drop-down lists'!$R$5</f>
        <v>1.1533095135726715E-3</v>
      </c>
      <c r="F23" s="65">
        <f>'Drop-down lists'!$S$5</f>
        <v>670000000</v>
      </c>
      <c r="G23" s="65">
        <f t="shared" ref="G23:G28" si="12">$B$4*C23^$C$4*($D$4*D23^$E$4+$F$4*E23^$G$4)</f>
        <v>1.9136761547754783E-7</v>
      </c>
      <c r="H23" s="65">
        <f t="shared" ref="H23:H28" si="13">$B$8*C23^$C$8*($D$8*D23^$E$8+$F$8*F23^$G$8)</f>
        <v>8.9093514661150433E-4</v>
      </c>
      <c r="I23" s="101">
        <f t="shared" si="8"/>
        <v>21.237564618010726</v>
      </c>
      <c r="J23" s="101">
        <f t="shared" si="9"/>
        <v>21.242126321648701</v>
      </c>
      <c r="K23" s="65">
        <v>1.8645020558344358E-7</v>
      </c>
      <c r="L23" s="65">
        <v>1.9654272767147113E-7</v>
      </c>
      <c r="M23" s="65">
        <v>1.0493079156711342E-4</v>
      </c>
      <c r="N23" s="65">
        <v>1.4166500202818141E-2</v>
      </c>
      <c r="O23" s="101">
        <f t="shared" si="0"/>
        <v>1.335904711496599</v>
      </c>
      <c r="P23" s="101">
        <f t="shared" si="10"/>
        <v>180.04046348211784</v>
      </c>
      <c r="Q23" s="101">
        <f t="shared" si="1"/>
        <v>1.335923245527739</v>
      </c>
      <c r="R23" s="101">
        <f t="shared" si="11"/>
        <v>180.36037512033425</v>
      </c>
      <c r="S23" s="4"/>
      <c r="T23" s="4"/>
      <c r="U23" s="14"/>
      <c r="V23" s="5"/>
      <c r="W23" s="7"/>
    </row>
    <row r="24" spans="1:23" ht="20" customHeight="1" x14ac:dyDescent="0.2">
      <c r="A24" s="21" t="s">
        <v>125</v>
      </c>
      <c r="B24" s="34" t="s">
        <v>751</v>
      </c>
      <c r="C24" s="34">
        <f>'Model interface'!$B$15</f>
        <v>25</v>
      </c>
      <c r="D24" s="34">
        <f>'Drop-down lists'!$Q$6</f>
        <v>0</v>
      </c>
      <c r="E24" s="34">
        <f>'Drop-down lists'!$R$6</f>
        <v>0</v>
      </c>
      <c r="F24" s="65">
        <f>'Drop-down lists'!$S$6</f>
        <v>121000000</v>
      </c>
      <c r="G24" s="65">
        <f t="shared" si="12"/>
        <v>0</v>
      </c>
      <c r="H24" s="65">
        <f t="shared" si="13"/>
        <v>3.8083301833003689E-4</v>
      </c>
      <c r="I24" s="101">
        <f t="shared" si="8"/>
        <v>49.694632602252788</v>
      </c>
      <c r="J24" s="101">
        <f t="shared" si="9"/>
        <v>49.694632602252788</v>
      </c>
      <c r="K24" s="65">
        <v>0</v>
      </c>
      <c r="L24" s="65">
        <v>0</v>
      </c>
      <c r="M24" s="65">
        <v>5.2250519844504706E-5</v>
      </c>
      <c r="N24" s="65">
        <v>4.5441080126775229E-3</v>
      </c>
      <c r="O24" s="101">
        <f t="shared" si="0"/>
        <v>4.1648122966968835</v>
      </c>
      <c r="P24" s="101">
        <f t="shared" si="10"/>
        <v>362.20418447585263</v>
      </c>
      <c r="Q24" s="101">
        <f t="shared" si="1"/>
        <v>4.1648122966968835</v>
      </c>
      <c r="R24" s="101">
        <f t="shared" si="11"/>
        <v>362.20418447585263</v>
      </c>
      <c r="S24" s="4"/>
      <c r="T24" s="5"/>
      <c r="U24" s="14"/>
      <c r="V24" s="5"/>
      <c r="W24" s="7"/>
    </row>
    <row r="25" spans="1:23" ht="20" customHeight="1" x14ac:dyDescent="0.2">
      <c r="A25" s="21" t="s">
        <v>125</v>
      </c>
      <c r="B25" s="34" t="s">
        <v>608</v>
      </c>
      <c r="C25" s="34">
        <f>'Model interface'!$B$15</f>
        <v>25</v>
      </c>
      <c r="D25" s="34">
        <f>'Drop-down lists'!$Q$7</f>
        <v>12.5</v>
      </c>
      <c r="E25" s="166">
        <f>'Drop-down lists'!$R$7</f>
        <v>2.6361360310232489E-2</v>
      </c>
      <c r="F25" s="65">
        <f>'Drop-down lists'!$S$7</f>
        <v>12500000</v>
      </c>
      <c r="G25" s="65">
        <f t="shared" si="12"/>
        <v>1.7869260297151172E-3</v>
      </c>
      <c r="H25" s="65">
        <f t="shared" si="13"/>
        <v>2.3399820173534858E-4</v>
      </c>
      <c r="I25" s="153">
        <f t="shared" si="8"/>
        <v>9.3647038489587509</v>
      </c>
      <c r="J25" s="101">
        <f t="shared" si="9"/>
        <v>80.878215252793765</v>
      </c>
      <c r="K25" s="65">
        <v>1.7311044960603387E-3</v>
      </c>
      <c r="L25" s="65">
        <v>1.8421963234583887E-3</v>
      </c>
      <c r="M25" s="65">
        <v>1.067732857466025E-4</v>
      </c>
      <c r="N25" s="65">
        <v>1.1917465257058368E-3</v>
      </c>
      <c r="O25" s="153">
        <f t="shared" si="0"/>
        <v>6.2378752236323898</v>
      </c>
      <c r="P25" s="153">
        <f t="shared" si="10"/>
        <v>10.297396875929037</v>
      </c>
      <c r="Q25" s="101">
        <f t="shared" si="1"/>
        <v>15.880354186482101</v>
      </c>
      <c r="R25" s="101">
        <f t="shared" si="11"/>
        <v>177.24805222939747</v>
      </c>
      <c r="S25" s="4"/>
      <c r="T25" s="5"/>
      <c r="U25" s="14"/>
      <c r="V25" s="5"/>
      <c r="W25" s="7"/>
    </row>
    <row r="26" spans="1:23" ht="20" customHeight="1" x14ac:dyDescent="0.2">
      <c r="A26" s="21" t="s">
        <v>125</v>
      </c>
      <c r="B26" s="34" t="s">
        <v>175</v>
      </c>
      <c r="C26" s="34">
        <f>'Model interface'!$B$15</f>
        <v>25</v>
      </c>
      <c r="D26" s="34">
        <f>'Drop-down lists'!$Q$8</f>
        <v>10</v>
      </c>
      <c r="E26" s="166">
        <f>'Drop-down lists'!$R$8</f>
        <v>3.3000000000000008E-3</v>
      </c>
      <c r="F26" s="65">
        <f>'Drop-down lists'!$S$8</f>
        <v>250000</v>
      </c>
      <c r="G26" s="65">
        <f t="shared" si="12"/>
        <v>2.4634835856023474E-6</v>
      </c>
      <c r="H26" s="65">
        <f t="shared" si="13"/>
        <v>1.0595128028944204E-4</v>
      </c>
      <c r="I26" s="101">
        <f t="shared" si="8"/>
        <v>174.56438820944152</v>
      </c>
      <c r="J26" s="101">
        <f t="shared" si="9"/>
        <v>178.62320188125258</v>
      </c>
      <c r="K26" s="65">
        <v>2.3985708168259662E-6</v>
      </c>
      <c r="L26" s="65">
        <v>2.530553505947559E-6</v>
      </c>
      <c r="M26" s="65">
        <v>6.0977409132405481E-5</v>
      </c>
      <c r="N26" s="65">
        <v>2.5881523557526412E-4</v>
      </c>
      <c r="O26" s="101">
        <f t="shared" si="0"/>
        <v>72.415006169612468</v>
      </c>
      <c r="P26" s="101">
        <f t="shared" si="10"/>
        <v>298.6203439201841</v>
      </c>
      <c r="Q26" s="101">
        <f t="shared" si="1"/>
        <v>73.1230404062308</v>
      </c>
      <c r="R26" s="101">
        <f t="shared" si="11"/>
        <v>310.36669478074953</v>
      </c>
      <c r="S26" s="4"/>
      <c r="T26" s="5"/>
      <c r="U26" s="14"/>
      <c r="V26" s="5"/>
      <c r="W26" s="7"/>
    </row>
    <row r="27" spans="1:23" ht="20" customHeight="1" x14ac:dyDescent="0.2">
      <c r="A27" s="21" t="s">
        <v>125</v>
      </c>
      <c r="B27" s="34" t="s">
        <v>176</v>
      </c>
      <c r="C27" s="34">
        <f>'Model interface'!$B$15</f>
        <v>25</v>
      </c>
      <c r="D27" s="34">
        <f>'Drop-down lists'!$Q$9</f>
        <v>0</v>
      </c>
      <c r="E27" s="65">
        <f>'Drop-down lists'!$R$9</f>
        <v>1.6895999999999999E-6</v>
      </c>
      <c r="F27" s="65">
        <f>'Drop-down lists'!$S$9</f>
        <v>38500</v>
      </c>
      <c r="G27" s="65">
        <f t="shared" si="12"/>
        <v>3.2238452669840828E-24</v>
      </c>
      <c r="H27" s="65">
        <f t="shared" si="13"/>
        <v>7.013469449452459E-6</v>
      </c>
      <c r="I27" s="101">
        <f t="shared" si="8"/>
        <v>2698.43008016463</v>
      </c>
      <c r="J27" s="101">
        <f t="shared" si="9"/>
        <v>2698.43008016463</v>
      </c>
      <c r="K27" s="65">
        <v>3.0144430358737586E-24</v>
      </c>
      <c r="L27" s="65">
        <v>3.4382223707850219E-24</v>
      </c>
      <c r="M27" s="65">
        <v>2.342030788873136E-6</v>
      </c>
      <c r="N27" s="65">
        <v>2.9924950682915027E-5</v>
      </c>
      <c r="O27" s="101">
        <f t="shared" si="0"/>
        <v>632.4273389537509</v>
      </c>
      <c r="P27" s="101">
        <f t="shared" si="10"/>
        <v>8080.7464268324529</v>
      </c>
      <c r="Q27" s="101">
        <f t="shared" si="1"/>
        <v>632.4273389537509</v>
      </c>
      <c r="R27" s="101">
        <f t="shared" si="11"/>
        <v>8080.7464268324529</v>
      </c>
      <c r="S27" s="4"/>
      <c r="T27" s="5"/>
      <c r="U27" s="14"/>
      <c r="V27" s="5"/>
      <c r="W27" s="7"/>
    </row>
    <row r="28" spans="1:23" ht="20" customHeight="1" x14ac:dyDescent="0.2">
      <c r="A28" s="21" t="s">
        <v>125</v>
      </c>
      <c r="B28" s="34" t="s">
        <v>249</v>
      </c>
      <c r="C28" s="34">
        <f>'Model interface'!$B$15</f>
        <v>25</v>
      </c>
      <c r="D28" s="34">
        <f>'Drop-down lists'!$Q$10</f>
        <v>0</v>
      </c>
      <c r="E28" s="34">
        <f>'Drop-down lists'!$R$10</f>
        <v>0</v>
      </c>
      <c r="F28" s="65">
        <f>'Drop-down lists'!$S$10</f>
        <v>482000</v>
      </c>
      <c r="G28" s="65">
        <f t="shared" si="12"/>
        <v>0</v>
      </c>
      <c r="H28" s="65">
        <f t="shared" si="13"/>
        <v>2.4568356079207291E-5</v>
      </c>
      <c r="I28" s="101">
        <f t="shared" si="8"/>
        <v>770.31433717842856</v>
      </c>
      <c r="J28" s="101">
        <f t="shared" si="9"/>
        <v>770.31433717842856</v>
      </c>
      <c r="K28" s="65">
        <v>0</v>
      </c>
      <c r="L28" s="65">
        <v>0</v>
      </c>
      <c r="M28" s="65">
        <v>6.0662325757896293E-6</v>
      </c>
      <c r="N28" s="65">
        <v>1.3644470357646114E-4</v>
      </c>
      <c r="O28" s="101">
        <f t="shared" si="0"/>
        <v>138.70349256988752</v>
      </c>
      <c r="P28" s="101">
        <f t="shared" si="10"/>
        <v>3119.7875604455717</v>
      </c>
      <c r="Q28" s="101">
        <f t="shared" si="1"/>
        <v>138.70349256988752</v>
      </c>
      <c r="R28" s="101">
        <f t="shared" si="11"/>
        <v>3119.7875604455717</v>
      </c>
      <c r="S28" s="4"/>
      <c r="T28" s="5"/>
      <c r="U28" s="14"/>
      <c r="V28" s="5"/>
      <c r="W28" s="7"/>
    </row>
    <row r="29" spans="1:23" ht="20" customHeight="1" x14ac:dyDescent="0.2">
      <c r="A29" s="21" t="s">
        <v>126</v>
      </c>
      <c r="B29" s="34" t="s">
        <v>607</v>
      </c>
      <c r="C29" s="34">
        <f>'Model interface'!$B$15</f>
        <v>25</v>
      </c>
      <c r="D29" s="34">
        <f>'Drop-down lists'!$Q$4</f>
        <v>10</v>
      </c>
      <c r="E29" s="166">
        <f>'Drop-down lists'!$R$4</f>
        <v>4.042500000000001E-3</v>
      </c>
      <c r="F29" s="34">
        <f>'Drop-down lists'!$S$4</f>
        <v>0.5</v>
      </c>
      <c r="G29" s="65">
        <f>$B$5*C29^$C$5*($D$5*D29^$E$5+$F$5*E29^$G$5)</f>
        <v>7.8039176378872515E-4</v>
      </c>
      <c r="H29" s="111" t="s">
        <v>139</v>
      </c>
      <c r="I29" s="111" t="s">
        <v>139</v>
      </c>
      <c r="J29" s="111" t="s">
        <v>139</v>
      </c>
      <c r="K29" s="65">
        <v>7.3726609056759193E-6</v>
      </c>
      <c r="L29" s="65">
        <v>7.8089662230771371E-3</v>
      </c>
      <c r="M29" s="111" t="s">
        <v>139</v>
      </c>
      <c r="N29" s="111" t="s">
        <v>139</v>
      </c>
      <c r="O29" s="111" t="s">
        <v>139</v>
      </c>
      <c r="P29" s="111" t="s">
        <v>139</v>
      </c>
      <c r="Q29" s="111" t="s">
        <v>139</v>
      </c>
      <c r="R29" s="111" t="s">
        <v>139</v>
      </c>
      <c r="S29" s="4"/>
      <c r="T29" s="4"/>
      <c r="U29" s="14"/>
      <c r="V29" s="5"/>
      <c r="W29" s="7"/>
    </row>
    <row r="30" spans="1:23" ht="20" customHeight="1" x14ac:dyDescent="0.2">
      <c r="A30" s="21" t="s">
        <v>126</v>
      </c>
      <c r="B30" s="34" t="s">
        <v>750</v>
      </c>
      <c r="C30" s="34">
        <f>'Model interface'!$B$15</f>
        <v>25</v>
      </c>
      <c r="D30" s="34">
        <f>'Drop-down lists'!$Q$5</f>
        <v>0.1</v>
      </c>
      <c r="E30" s="166">
        <f>'Drop-down lists'!$R$5</f>
        <v>1.1533095135726715E-3</v>
      </c>
      <c r="F30" s="65">
        <f>'Drop-down lists'!$S$5</f>
        <v>670000000</v>
      </c>
      <c r="G30" s="65">
        <f t="shared" ref="G30:G35" si="14">$B$5*C30^$C$5*($D$5*D30^$E$5+$F$5*E30^$G$5)</f>
        <v>6.4739709971996264E-5</v>
      </c>
      <c r="H30" s="111" t="s">
        <v>139</v>
      </c>
      <c r="I30" s="111" t="s">
        <v>139</v>
      </c>
      <c r="J30" s="111" t="s">
        <v>139</v>
      </c>
      <c r="K30" s="65">
        <v>1.0434263797572051E-7</v>
      </c>
      <c r="L30" s="65">
        <v>2.7458511833040682E-3</v>
      </c>
      <c r="M30" s="111" t="s">
        <v>139</v>
      </c>
      <c r="N30" s="111" t="s">
        <v>139</v>
      </c>
      <c r="O30" s="111" t="s">
        <v>139</v>
      </c>
      <c r="P30" s="111" t="s">
        <v>139</v>
      </c>
      <c r="Q30" s="111" t="s">
        <v>139</v>
      </c>
      <c r="R30" s="111" t="s">
        <v>139</v>
      </c>
      <c r="S30" s="4"/>
      <c r="T30" s="4"/>
      <c r="U30" s="14"/>
      <c r="V30" s="5"/>
      <c r="W30" s="7"/>
    </row>
    <row r="31" spans="1:23" ht="20" customHeight="1" x14ac:dyDescent="0.2">
      <c r="A31" s="21" t="s">
        <v>126</v>
      </c>
      <c r="B31" s="34" t="s">
        <v>751</v>
      </c>
      <c r="C31" s="34">
        <f>'Model interface'!$B$15</f>
        <v>25</v>
      </c>
      <c r="D31" s="34">
        <f>'Drop-down lists'!$Q$6</f>
        <v>0</v>
      </c>
      <c r="E31" s="34">
        <f>'Drop-down lists'!$R$6</f>
        <v>0</v>
      </c>
      <c r="F31" s="65">
        <f>'Drop-down lists'!$S$6</f>
        <v>121000000</v>
      </c>
      <c r="G31" s="65">
        <f t="shared" si="14"/>
        <v>0</v>
      </c>
      <c r="H31" s="111" t="s">
        <v>139</v>
      </c>
      <c r="I31" s="111" t="s">
        <v>139</v>
      </c>
      <c r="J31" s="111" t="s">
        <v>139</v>
      </c>
      <c r="K31" s="65">
        <v>0</v>
      </c>
      <c r="L31" s="65">
        <v>0</v>
      </c>
      <c r="M31" s="111" t="s">
        <v>139</v>
      </c>
      <c r="N31" s="111" t="s">
        <v>139</v>
      </c>
      <c r="O31" s="111" t="s">
        <v>139</v>
      </c>
      <c r="P31" s="111" t="s">
        <v>139</v>
      </c>
      <c r="Q31" s="111" t="s">
        <v>139</v>
      </c>
      <c r="R31" s="111" t="s">
        <v>139</v>
      </c>
      <c r="S31" s="4"/>
      <c r="T31" s="5"/>
      <c r="U31" s="14"/>
      <c r="V31" s="5"/>
      <c r="W31" s="7"/>
    </row>
    <row r="32" spans="1:23" ht="20" customHeight="1" x14ac:dyDescent="0.2">
      <c r="A32" s="21" t="s">
        <v>126</v>
      </c>
      <c r="B32" s="34" t="s">
        <v>608</v>
      </c>
      <c r="C32" s="34">
        <f>'Model interface'!$B$15</f>
        <v>25</v>
      </c>
      <c r="D32" s="34">
        <f>'Drop-down lists'!$Q$7</f>
        <v>12.5</v>
      </c>
      <c r="E32" s="166">
        <f>'Drop-down lists'!$R$7</f>
        <v>2.6361360310232489E-2</v>
      </c>
      <c r="F32" s="65">
        <f>'Drop-down lists'!$S$7</f>
        <v>12500000</v>
      </c>
      <c r="G32" s="65">
        <f t="shared" si="14"/>
        <v>5.648260889532436E-3</v>
      </c>
      <c r="H32" s="111" t="s">
        <v>139</v>
      </c>
      <c r="I32" s="111" t="s">
        <v>139</v>
      </c>
      <c r="J32" s="111" t="s">
        <v>139</v>
      </c>
      <c r="K32" s="65">
        <v>3.1738867464653671E-4</v>
      </c>
      <c r="L32" s="65">
        <v>3.2541613879259079E-2</v>
      </c>
      <c r="M32" s="111" t="s">
        <v>139</v>
      </c>
      <c r="N32" s="111" t="s">
        <v>139</v>
      </c>
      <c r="O32" s="111" t="s">
        <v>139</v>
      </c>
      <c r="P32" s="111" t="s">
        <v>139</v>
      </c>
      <c r="Q32" s="111" t="s">
        <v>139</v>
      </c>
      <c r="R32" s="111" t="s">
        <v>139</v>
      </c>
      <c r="S32" s="4"/>
      <c r="T32" s="5"/>
      <c r="U32" s="14"/>
      <c r="V32" s="5"/>
      <c r="W32" s="7"/>
    </row>
    <row r="33" spans="1:23" ht="20" customHeight="1" x14ac:dyDescent="0.2">
      <c r="A33" s="21" t="s">
        <v>126</v>
      </c>
      <c r="B33" s="34" t="s">
        <v>175</v>
      </c>
      <c r="C33" s="34">
        <f>'Model interface'!$B$15</f>
        <v>25</v>
      </c>
      <c r="D33" s="34">
        <f>'Drop-down lists'!$Q$8</f>
        <v>10</v>
      </c>
      <c r="E33" s="166">
        <f>'Drop-down lists'!$R$8</f>
        <v>3.3000000000000008E-3</v>
      </c>
      <c r="F33" s="65">
        <f>'Drop-down lists'!$S$8</f>
        <v>250000</v>
      </c>
      <c r="G33" s="65">
        <f t="shared" si="14"/>
        <v>6.9689697752110672E-4</v>
      </c>
      <c r="H33" s="111" t="s">
        <v>139</v>
      </c>
      <c r="I33" s="111" t="s">
        <v>139</v>
      </c>
      <c r="J33" s="111" t="s">
        <v>139</v>
      </c>
      <c r="K33" s="65">
        <v>5.7437286803497319E-6</v>
      </c>
      <c r="L33" s="65">
        <v>6.7971956974839281E-3</v>
      </c>
      <c r="M33" s="111" t="s">
        <v>139</v>
      </c>
      <c r="N33" s="111" t="s">
        <v>139</v>
      </c>
      <c r="O33" s="111" t="s">
        <v>139</v>
      </c>
      <c r="P33" s="111" t="s">
        <v>139</v>
      </c>
      <c r="Q33" s="111" t="s">
        <v>139</v>
      </c>
      <c r="R33" s="111" t="s">
        <v>139</v>
      </c>
      <c r="S33" s="4"/>
      <c r="T33" s="5"/>
      <c r="U33" s="14"/>
      <c r="V33" s="5"/>
      <c r="W33" s="7"/>
    </row>
    <row r="34" spans="1:23" ht="20" customHeight="1" x14ac:dyDescent="0.2">
      <c r="A34" s="21" t="s">
        <v>126</v>
      </c>
      <c r="B34" s="34" t="s">
        <v>176</v>
      </c>
      <c r="C34" s="34">
        <f>'Model interface'!$B$15</f>
        <v>25</v>
      </c>
      <c r="D34" s="34">
        <f>'Drop-down lists'!$Q$9</f>
        <v>0</v>
      </c>
      <c r="E34" s="65">
        <f>'Drop-down lists'!$R$9</f>
        <v>1.6895999999999999E-6</v>
      </c>
      <c r="F34" s="65">
        <f>'Drop-down lists'!$S$9</f>
        <v>38500</v>
      </c>
      <c r="G34" s="65">
        <f t="shared" si="14"/>
        <v>1.0006302739763458E-8</v>
      </c>
      <c r="H34" s="111" t="s">
        <v>139</v>
      </c>
      <c r="I34" s="111" t="s">
        <v>139</v>
      </c>
      <c r="J34" s="111" t="s">
        <v>139</v>
      </c>
      <c r="K34" s="65">
        <v>2.9286028984808094E-14</v>
      </c>
      <c r="L34" s="65">
        <v>1.3338508114071143E-5</v>
      </c>
      <c r="M34" s="111" t="s">
        <v>139</v>
      </c>
      <c r="N34" s="111" t="s">
        <v>139</v>
      </c>
      <c r="O34" s="111" t="s">
        <v>139</v>
      </c>
      <c r="P34" s="111" t="s">
        <v>139</v>
      </c>
      <c r="Q34" s="111" t="s">
        <v>139</v>
      </c>
      <c r="R34" s="111" t="s">
        <v>139</v>
      </c>
      <c r="S34" s="4"/>
      <c r="T34" s="5"/>
      <c r="U34" s="14"/>
      <c r="V34" s="5"/>
      <c r="W34" s="7"/>
    </row>
    <row r="35" spans="1:23" ht="20" customHeight="1" x14ac:dyDescent="0.2">
      <c r="A35" s="21" t="s">
        <v>126</v>
      </c>
      <c r="B35" s="34" t="s">
        <v>249</v>
      </c>
      <c r="C35" s="34">
        <f>'Model interface'!$B$15</f>
        <v>25</v>
      </c>
      <c r="D35" s="34">
        <f>'Drop-down lists'!$Q$10</f>
        <v>0</v>
      </c>
      <c r="E35" s="34">
        <f>'Drop-down lists'!$R$10</f>
        <v>0</v>
      </c>
      <c r="F35" s="65">
        <f>'Drop-down lists'!$S$10</f>
        <v>482000</v>
      </c>
      <c r="G35" s="65">
        <f t="shared" si="14"/>
        <v>0</v>
      </c>
      <c r="H35" s="111" t="s">
        <v>139</v>
      </c>
      <c r="I35" s="111" t="s">
        <v>139</v>
      </c>
      <c r="J35" s="111" t="s">
        <v>139</v>
      </c>
      <c r="K35" s="65">
        <v>0</v>
      </c>
      <c r="L35" s="65">
        <v>0</v>
      </c>
      <c r="M35" s="111" t="s">
        <v>139</v>
      </c>
      <c r="N35" s="111" t="s">
        <v>139</v>
      </c>
      <c r="O35" s="111" t="s">
        <v>139</v>
      </c>
      <c r="P35" s="111" t="s">
        <v>139</v>
      </c>
      <c r="Q35" s="111" t="s">
        <v>139</v>
      </c>
      <c r="R35" s="111" t="s">
        <v>139</v>
      </c>
      <c r="S35" s="4"/>
      <c r="T35" s="5"/>
      <c r="U35" s="14"/>
      <c r="V35" s="5"/>
      <c r="W35" s="7"/>
    </row>
    <row r="36" spans="1:23" ht="20" customHeight="1" x14ac:dyDescent="0.2">
      <c r="A36" s="21" t="s">
        <v>138</v>
      </c>
      <c r="B36" s="34" t="s">
        <v>607</v>
      </c>
      <c r="C36" s="34">
        <f>'Model interface'!$B$15</f>
        <v>25</v>
      </c>
      <c r="D36" s="34">
        <f>'Drop-down lists'!$Q$4</f>
        <v>10</v>
      </c>
      <c r="E36" s="166">
        <f>'Drop-down lists'!$R$4</f>
        <v>4.042500000000001E-3</v>
      </c>
      <c r="F36" s="34">
        <f>'Drop-down lists'!$S$4</f>
        <v>0.5</v>
      </c>
      <c r="G36" s="111" t="s">
        <v>139</v>
      </c>
      <c r="H36" s="65">
        <f>$B$9*C36^$C$9*($D$9*D36^$E$9+$F$9*F36^$G$9)</f>
        <v>4.7822786518488986E-5</v>
      </c>
      <c r="I36" s="111" t="s">
        <v>139</v>
      </c>
      <c r="J36" s="101">
        <f t="shared" ref="J36:J63" si="15">-LN(0.001)/H36/365</f>
        <v>395.73931814703781</v>
      </c>
      <c r="K36" s="111" t="s">
        <v>139</v>
      </c>
      <c r="L36" s="111" t="s">
        <v>139</v>
      </c>
      <c r="M36" s="65">
        <v>2.1681530842419922E-5</v>
      </c>
      <c r="N36" s="65">
        <v>1.7666050193814703E-4</v>
      </c>
      <c r="O36" s="111" t="s">
        <v>139</v>
      </c>
      <c r="P36" s="111" t="s">
        <v>139</v>
      </c>
      <c r="Q36" s="101">
        <f t="shared" ref="Q36" si="16">-LN(0.001)/N36/365</f>
        <v>107.12840007295119</v>
      </c>
      <c r="R36" s="101">
        <f t="shared" ref="R36" si="17">-LN(0.001)/M36/365</f>
        <v>872.87918303677691</v>
      </c>
      <c r="S36" s="4"/>
      <c r="T36" s="4"/>
      <c r="U36" s="14"/>
      <c r="V36" s="4"/>
      <c r="W36" s="7"/>
    </row>
    <row r="37" spans="1:23" ht="20" customHeight="1" x14ac:dyDescent="0.2">
      <c r="A37" s="21" t="s">
        <v>138</v>
      </c>
      <c r="B37" s="34" t="s">
        <v>750</v>
      </c>
      <c r="C37" s="34">
        <f>'Model interface'!$B$15</f>
        <v>25</v>
      </c>
      <c r="D37" s="34">
        <f>'Drop-down lists'!$Q$5</f>
        <v>0.1</v>
      </c>
      <c r="E37" s="166">
        <f>'Drop-down lists'!$R$5</f>
        <v>1.1533095135726715E-3</v>
      </c>
      <c r="F37" s="65">
        <f>'Drop-down lists'!$S$5</f>
        <v>670000000</v>
      </c>
      <c r="G37" s="111" t="s">
        <v>139</v>
      </c>
      <c r="H37" s="65">
        <f t="shared" ref="H37:H42" si="18">$B$9*C37^$C$9*($D$9*D37^$E$9+$F$9*F37^$G$9)</f>
        <v>2.3264993924518356E-4</v>
      </c>
      <c r="I37" s="111" t="s">
        <v>139</v>
      </c>
      <c r="J37" s="101">
        <f t="shared" si="15"/>
        <v>81.346924010039203</v>
      </c>
      <c r="K37" s="111" t="s">
        <v>139</v>
      </c>
      <c r="L37" s="111" t="s">
        <v>139</v>
      </c>
      <c r="M37" s="65">
        <v>1.028846045900098E-4</v>
      </c>
      <c r="N37" s="65">
        <v>7.7429064556557502E-4</v>
      </c>
      <c r="O37" s="111" t="s">
        <v>139</v>
      </c>
      <c r="P37" s="111" t="s">
        <v>139</v>
      </c>
      <c r="Q37" s="101">
        <f t="shared" ref="Q37:Q38" si="19">-LN(0.001)/N37/365</f>
        <v>24.442187229182256</v>
      </c>
      <c r="R37" s="101">
        <f t="shared" ref="R37:R38" si="20">-LN(0.001)/M37/365</f>
        <v>183.94741374703068</v>
      </c>
      <c r="S37" s="4"/>
      <c r="T37" s="4"/>
      <c r="U37" s="14"/>
      <c r="V37" s="4"/>
      <c r="W37" s="7"/>
    </row>
    <row r="38" spans="1:23" ht="20" customHeight="1" x14ac:dyDescent="0.2">
      <c r="A38" s="21" t="s">
        <v>138</v>
      </c>
      <c r="B38" s="34" t="s">
        <v>751</v>
      </c>
      <c r="C38" s="34">
        <f>'Model interface'!$B$15</f>
        <v>25</v>
      </c>
      <c r="D38" s="34">
        <f>'Drop-down lists'!$Q$6</f>
        <v>0</v>
      </c>
      <c r="E38" s="34">
        <f>'Drop-down lists'!$R$6</f>
        <v>0</v>
      </c>
      <c r="F38" s="65">
        <f>'Drop-down lists'!$S$6</f>
        <v>121000000</v>
      </c>
      <c r="G38" s="111" t="s">
        <v>139</v>
      </c>
      <c r="H38" s="65">
        <f t="shared" si="18"/>
        <v>2.034145358636533E-4</v>
      </c>
      <c r="I38" s="111" t="s">
        <v>139</v>
      </c>
      <c r="J38" s="101">
        <f t="shared" si="15"/>
        <v>93.038370381768871</v>
      </c>
      <c r="K38" s="111" t="s">
        <v>139</v>
      </c>
      <c r="L38" s="111" t="s">
        <v>139</v>
      </c>
      <c r="M38" s="65">
        <v>9.0150814068523267E-5</v>
      </c>
      <c r="N38" s="65">
        <v>6.8431457187151672E-4</v>
      </c>
      <c r="O38" s="111" t="s">
        <v>139</v>
      </c>
      <c r="P38" s="111" t="s">
        <v>139</v>
      </c>
      <c r="Q38" s="101">
        <f t="shared" si="19"/>
        <v>27.655931506704068</v>
      </c>
      <c r="R38" s="101">
        <f t="shared" si="20"/>
        <v>209.92996152350989</v>
      </c>
      <c r="S38" s="4"/>
      <c r="T38" s="5"/>
      <c r="U38" s="14"/>
      <c r="V38" s="4"/>
      <c r="W38" s="7"/>
    </row>
    <row r="39" spans="1:23" ht="20" customHeight="1" x14ac:dyDescent="0.2">
      <c r="A39" s="21" t="s">
        <v>138</v>
      </c>
      <c r="B39" s="34" t="s">
        <v>608</v>
      </c>
      <c r="C39" s="34">
        <f>'Model interface'!$B$15</f>
        <v>25</v>
      </c>
      <c r="D39" s="34">
        <f>'Drop-down lists'!$Q$7</f>
        <v>12.5</v>
      </c>
      <c r="E39" s="166">
        <f>'Drop-down lists'!$R$7</f>
        <v>2.6361360310232489E-2</v>
      </c>
      <c r="F39" s="65">
        <f>'Drop-down lists'!$S$7</f>
        <v>12500000</v>
      </c>
      <c r="G39" s="111" t="s">
        <v>139</v>
      </c>
      <c r="H39" s="65">
        <f t="shared" si="18"/>
        <v>1.7493214211033604E-4</v>
      </c>
      <c r="I39" s="111" t="s">
        <v>139</v>
      </c>
      <c r="J39" s="101">
        <f t="shared" si="15"/>
        <v>108.18684719919152</v>
      </c>
      <c r="K39" s="111" t="s">
        <v>139</v>
      </c>
      <c r="L39" s="111" t="s">
        <v>139</v>
      </c>
      <c r="M39" s="65">
        <v>7.8811741988566374E-5</v>
      </c>
      <c r="N39" s="65">
        <v>6.004440987265211E-4</v>
      </c>
      <c r="O39" s="111" t="s">
        <v>139</v>
      </c>
      <c r="P39" s="111" t="s">
        <v>139</v>
      </c>
      <c r="Q39" s="101">
        <f t="shared" ref="Q39:Q43" si="21">-LN(0.001)/N39/365</f>
        <v>31.518932351665843</v>
      </c>
      <c r="R39" s="101">
        <f t="shared" ref="R39:R43" si="22">-LN(0.001)/M39/365</f>
        <v>240.13372184393262</v>
      </c>
      <c r="S39" s="4"/>
      <c r="T39" s="5"/>
      <c r="U39" s="14"/>
      <c r="V39" s="4"/>
      <c r="W39" s="7"/>
    </row>
    <row r="40" spans="1:23" ht="20" customHeight="1" x14ac:dyDescent="0.2">
      <c r="A40" s="21" t="s">
        <v>138</v>
      </c>
      <c r="B40" s="34" t="s">
        <v>175</v>
      </c>
      <c r="C40" s="34">
        <f>'Model interface'!$B$15</f>
        <v>25</v>
      </c>
      <c r="D40" s="34">
        <f>'Drop-down lists'!$Q$8</f>
        <v>10</v>
      </c>
      <c r="E40" s="166">
        <f>'Drop-down lists'!$R$8</f>
        <v>3.3000000000000008E-3</v>
      </c>
      <c r="F40" s="65">
        <f>'Drop-down lists'!$S$8</f>
        <v>250000</v>
      </c>
      <c r="G40" s="111" t="s">
        <v>139</v>
      </c>
      <c r="H40" s="65">
        <f t="shared" si="18"/>
        <v>1.2833005109334899E-4</v>
      </c>
      <c r="I40" s="111" t="s">
        <v>139</v>
      </c>
      <c r="J40" s="101">
        <f t="shared" si="15"/>
        <v>147.47408551214264</v>
      </c>
      <c r="K40" s="111" t="s">
        <v>139</v>
      </c>
      <c r="L40" s="111" t="s">
        <v>139</v>
      </c>
      <c r="M40" s="65">
        <v>5.803774539376736E-5</v>
      </c>
      <c r="N40" s="65">
        <v>4.2554714442690834E-4</v>
      </c>
      <c r="O40" s="111" t="s">
        <v>139</v>
      </c>
      <c r="P40" s="111" t="s">
        <v>139</v>
      </c>
      <c r="Q40" s="101">
        <f t="shared" si="21"/>
        <v>44.472997120460739</v>
      </c>
      <c r="R40" s="101">
        <f t="shared" si="22"/>
        <v>326.08704559964809</v>
      </c>
      <c r="S40" s="4"/>
      <c r="T40" s="5"/>
      <c r="U40" s="14"/>
      <c r="V40" s="4"/>
      <c r="W40" s="7"/>
    </row>
    <row r="41" spans="1:23" ht="20" customHeight="1" x14ac:dyDescent="0.2">
      <c r="A41" s="21" t="s">
        <v>138</v>
      </c>
      <c r="B41" s="34" t="s">
        <v>176</v>
      </c>
      <c r="C41" s="34">
        <f>'Model interface'!$B$15</f>
        <v>25</v>
      </c>
      <c r="D41" s="34">
        <f>'Drop-down lists'!$Q$9</f>
        <v>0</v>
      </c>
      <c r="E41" s="65">
        <f>'Drop-down lists'!$R$9</f>
        <v>1.6895999999999999E-6</v>
      </c>
      <c r="F41" s="65">
        <f>'Drop-down lists'!$S$9</f>
        <v>38500</v>
      </c>
      <c r="G41" s="111" t="s">
        <v>139</v>
      </c>
      <c r="H41" s="65">
        <f t="shared" si="18"/>
        <v>1.081371886808901E-4</v>
      </c>
      <c r="I41" s="111" t="s">
        <v>139</v>
      </c>
      <c r="J41" s="101">
        <f t="shared" si="15"/>
        <v>175.01247405798938</v>
      </c>
      <c r="K41" s="111" t="s">
        <v>139</v>
      </c>
      <c r="L41" s="111" t="s">
        <v>139</v>
      </c>
      <c r="M41" s="65">
        <v>4.7705149722021326E-5</v>
      </c>
      <c r="N41" s="65">
        <v>3.3303909101891743E-4</v>
      </c>
      <c r="O41" s="111" t="s">
        <v>139</v>
      </c>
      <c r="P41" s="111" t="s">
        <v>139</v>
      </c>
      <c r="Q41" s="101">
        <f t="shared" si="21"/>
        <v>56.826232832959469</v>
      </c>
      <c r="R41" s="101">
        <f t="shared" si="22"/>
        <v>396.71517727114457</v>
      </c>
      <c r="S41" s="4"/>
      <c r="T41" s="5"/>
      <c r="U41" s="14"/>
      <c r="V41" s="4"/>
      <c r="W41" s="7"/>
    </row>
    <row r="42" spans="1:23" ht="20" customHeight="1" x14ac:dyDescent="0.2">
      <c r="A42" s="21" t="s">
        <v>138</v>
      </c>
      <c r="B42" s="34" t="s">
        <v>249</v>
      </c>
      <c r="C42" s="34">
        <f>'Model interface'!$B$15</f>
        <v>25</v>
      </c>
      <c r="D42" s="34">
        <f>'Drop-down lists'!$Q$10</f>
        <v>0</v>
      </c>
      <c r="E42" s="34">
        <f>'Drop-down lists'!$R$10</f>
        <v>0</v>
      </c>
      <c r="F42" s="65">
        <f>'Drop-down lists'!$S$10</f>
        <v>482000</v>
      </c>
      <c r="G42" s="111" t="s">
        <v>139</v>
      </c>
      <c r="H42" s="65">
        <f t="shared" si="18"/>
        <v>1.3185415997373845E-4</v>
      </c>
      <c r="I42" s="111" t="s">
        <v>139</v>
      </c>
      <c r="J42" s="101">
        <f t="shared" si="15"/>
        <v>143.53249781794952</v>
      </c>
      <c r="K42" s="111" t="s">
        <v>139</v>
      </c>
      <c r="L42" s="111" t="s">
        <v>139</v>
      </c>
      <c r="M42" s="65">
        <v>5.9476387788428719E-5</v>
      </c>
      <c r="N42" s="65">
        <v>4.3450996794595806E-4</v>
      </c>
      <c r="O42" s="111" t="s">
        <v>139</v>
      </c>
      <c r="P42" s="111" t="s">
        <v>139</v>
      </c>
      <c r="Q42" s="101">
        <f t="shared" si="21"/>
        <v>43.555633529383186</v>
      </c>
      <c r="R42" s="101">
        <f t="shared" si="22"/>
        <v>318.19950122122515</v>
      </c>
      <c r="S42" s="4"/>
      <c r="T42" s="5"/>
      <c r="U42" s="14"/>
      <c r="V42" s="4"/>
      <c r="W42" s="7"/>
    </row>
    <row r="43" spans="1:23" ht="20" customHeight="1" x14ac:dyDescent="0.2">
      <c r="A43" s="21" t="s">
        <v>190</v>
      </c>
      <c r="B43" s="34" t="s">
        <v>607</v>
      </c>
      <c r="C43" s="34">
        <f>'Model interface'!$B$15</f>
        <v>25</v>
      </c>
      <c r="D43" s="34">
        <f>'Drop-down lists'!$Q$4</f>
        <v>10</v>
      </c>
      <c r="E43" s="166">
        <f>'Drop-down lists'!$R$4</f>
        <v>4.042500000000001E-3</v>
      </c>
      <c r="F43" s="34">
        <f>'Drop-down lists'!$S$4</f>
        <v>0.5</v>
      </c>
      <c r="G43" s="111" t="s">
        <v>139</v>
      </c>
      <c r="H43" s="65">
        <f>$B$10*C43^$C$10*($D$10*D43^$E$10+$F$10*F43^$G$10)</f>
        <v>4.7932639507214858E-5</v>
      </c>
      <c r="I43" s="111" t="s">
        <v>139</v>
      </c>
      <c r="J43" s="101">
        <f t="shared" si="15"/>
        <v>394.83235480636375</v>
      </c>
      <c r="K43" s="111" t="s">
        <v>139</v>
      </c>
      <c r="L43" s="111" t="s">
        <v>139</v>
      </c>
      <c r="M43" s="65">
        <v>3.1434683285200113E-5</v>
      </c>
      <c r="N43" s="65">
        <v>1.851490901506442E-4</v>
      </c>
      <c r="O43" s="111" t="s">
        <v>139</v>
      </c>
      <c r="P43" s="111" t="s">
        <v>139</v>
      </c>
      <c r="Q43" s="101">
        <f t="shared" si="21"/>
        <v>102.21685082718909</v>
      </c>
      <c r="R43" s="101">
        <f t="shared" si="22"/>
        <v>602.05336751805305</v>
      </c>
      <c r="S43" s="4"/>
      <c r="T43" s="5"/>
      <c r="U43" s="14"/>
      <c r="V43" s="4"/>
      <c r="W43" s="7"/>
    </row>
    <row r="44" spans="1:23" ht="20" customHeight="1" x14ac:dyDescent="0.2">
      <c r="A44" s="21" t="s">
        <v>190</v>
      </c>
      <c r="B44" s="34" t="s">
        <v>750</v>
      </c>
      <c r="C44" s="34">
        <f>'Model interface'!$B$15</f>
        <v>25</v>
      </c>
      <c r="D44" s="34">
        <f>'Drop-down lists'!$Q$5</f>
        <v>0.1</v>
      </c>
      <c r="E44" s="166">
        <f>'Drop-down lists'!$R$5</f>
        <v>1.1533095135726715E-3</v>
      </c>
      <c r="F44" s="65">
        <f>'Drop-down lists'!$S$5</f>
        <v>670000000</v>
      </c>
      <c r="G44" s="111" t="s">
        <v>139</v>
      </c>
      <c r="H44" s="65">
        <f t="shared" ref="H44:H49" si="23">$B$10*C44^$C$10*($D$10*D44^$E$10+$F$10*F44^$G$10)</f>
        <v>3.2713613595746843E-4</v>
      </c>
      <c r="I44" s="111" t="s">
        <v>139</v>
      </c>
      <c r="J44" s="101">
        <f t="shared" si="15"/>
        <v>57.851624594534869</v>
      </c>
      <c r="K44" s="111" t="s">
        <v>139</v>
      </c>
      <c r="L44" s="111" t="s">
        <v>139</v>
      </c>
      <c r="M44" s="65">
        <v>9.8087267353541986E-5</v>
      </c>
      <c r="N44" s="65">
        <v>1.9633844570180461E-3</v>
      </c>
      <c r="O44" s="111" t="s">
        <v>139</v>
      </c>
      <c r="P44" s="111" t="s">
        <v>139</v>
      </c>
      <c r="Q44" s="101">
        <f t="shared" ref="Q44:Q63" si="24">-LN(0.001)/N44/365</f>
        <v>9.6391498165681124</v>
      </c>
      <c r="R44" s="101">
        <f t="shared" ref="R44:R63" si="25">-LN(0.001)/M44/365</f>
        <v>192.94407357179554</v>
      </c>
      <c r="S44" s="4"/>
      <c r="T44" s="5"/>
      <c r="U44" s="14"/>
      <c r="V44" s="4"/>
      <c r="W44" s="7"/>
    </row>
    <row r="45" spans="1:23" ht="20" customHeight="1" x14ac:dyDescent="0.2">
      <c r="A45" s="21" t="s">
        <v>190</v>
      </c>
      <c r="B45" s="34" t="s">
        <v>751</v>
      </c>
      <c r="C45" s="34">
        <f>'Model interface'!$B$15</f>
        <v>25</v>
      </c>
      <c r="D45" s="34">
        <f>'Drop-down lists'!$Q$6</f>
        <v>0</v>
      </c>
      <c r="E45" s="34">
        <f>'Drop-down lists'!$R$6</f>
        <v>0</v>
      </c>
      <c r="F45" s="65">
        <f>'Drop-down lists'!$S$6</f>
        <v>121000000</v>
      </c>
      <c r="G45" s="111" t="s">
        <v>139</v>
      </c>
      <c r="H45" s="65">
        <f t="shared" si="23"/>
        <v>2.1808042669434663E-4</v>
      </c>
      <c r="I45" s="111" t="s">
        <v>139</v>
      </c>
      <c r="J45" s="101">
        <f t="shared" si="15"/>
        <v>86.781547595022161</v>
      </c>
      <c r="K45" s="111" t="s">
        <v>139</v>
      </c>
      <c r="L45" s="111" t="s">
        <v>139</v>
      </c>
      <c r="M45" s="65">
        <v>6.7298007156842236E-5</v>
      </c>
      <c r="N45" s="65">
        <v>1.1094484667293644E-3</v>
      </c>
      <c r="O45" s="111" t="s">
        <v>139</v>
      </c>
      <c r="P45" s="111" t="s">
        <v>139</v>
      </c>
      <c r="Q45" s="101">
        <f t="shared" si="24"/>
        <v>17.058347004173903</v>
      </c>
      <c r="R45" s="101">
        <f t="shared" si="25"/>
        <v>281.21719688684766</v>
      </c>
      <c r="S45" s="4"/>
      <c r="T45" s="5"/>
      <c r="U45" s="14"/>
      <c r="V45" s="4"/>
      <c r="W45" s="7"/>
    </row>
    <row r="46" spans="1:23" ht="20" customHeight="1" x14ac:dyDescent="0.2">
      <c r="A46" s="21" t="s">
        <v>190</v>
      </c>
      <c r="B46" s="34" t="s">
        <v>608</v>
      </c>
      <c r="C46" s="34">
        <f>'Model interface'!$B$15</f>
        <v>25</v>
      </c>
      <c r="D46" s="34">
        <f>'Drop-down lists'!$Q$7</f>
        <v>12.5</v>
      </c>
      <c r="E46" s="166">
        <f>'Drop-down lists'!$R$7</f>
        <v>2.6361360310232489E-2</v>
      </c>
      <c r="F46" s="65">
        <f>'Drop-down lists'!$S$7</f>
        <v>12500000</v>
      </c>
      <c r="G46" s="111" t="s">
        <v>139</v>
      </c>
      <c r="H46" s="65">
        <f t="shared" si="23"/>
        <v>1.8108037752790349E-4</v>
      </c>
      <c r="I46" s="111" t="s">
        <v>139</v>
      </c>
      <c r="J46" s="101">
        <f t="shared" si="15"/>
        <v>104.51357119465851</v>
      </c>
      <c r="K46" s="111" t="s">
        <v>139</v>
      </c>
      <c r="L46" s="111" t="s">
        <v>139</v>
      </c>
      <c r="M46" s="65">
        <v>9.1934338253668515E-5</v>
      </c>
      <c r="N46" s="65">
        <v>6.5709459776274078E-4</v>
      </c>
      <c r="O46" s="111" t="s">
        <v>139</v>
      </c>
      <c r="P46" s="111" t="s">
        <v>139</v>
      </c>
      <c r="Q46" s="101">
        <f t="shared" si="24"/>
        <v>28.80157133106065</v>
      </c>
      <c r="R46" s="101">
        <f t="shared" si="25"/>
        <v>205.85732478433314</v>
      </c>
      <c r="S46" s="4"/>
      <c r="T46" s="5"/>
      <c r="U46" s="14"/>
      <c r="V46" s="4"/>
      <c r="W46" s="7"/>
    </row>
    <row r="47" spans="1:23" ht="20" customHeight="1" x14ac:dyDescent="0.2">
      <c r="A47" s="21" t="s">
        <v>190</v>
      </c>
      <c r="B47" s="34" t="s">
        <v>175</v>
      </c>
      <c r="C47" s="34">
        <f>'Model interface'!$B$15</f>
        <v>25</v>
      </c>
      <c r="D47" s="34">
        <f>'Drop-down lists'!$Q$8</f>
        <v>10</v>
      </c>
      <c r="E47" s="166">
        <f>'Drop-down lists'!$R$8</f>
        <v>3.3000000000000008E-3</v>
      </c>
      <c r="F47" s="65">
        <f>'Drop-down lists'!$S$8</f>
        <v>250000</v>
      </c>
      <c r="G47" s="111" t="s">
        <v>139</v>
      </c>
      <c r="H47" s="65">
        <f t="shared" si="23"/>
        <v>1.0179154269301648E-4</v>
      </c>
      <c r="I47" s="111" t="s">
        <v>139</v>
      </c>
      <c r="J47" s="101">
        <f t="shared" si="15"/>
        <v>185.92268500923879</v>
      </c>
      <c r="K47" s="111" t="s">
        <v>139</v>
      </c>
      <c r="L47" s="111" t="s">
        <v>139</v>
      </c>
      <c r="M47" s="65">
        <v>6.3973631863741673E-5</v>
      </c>
      <c r="N47" s="65">
        <v>2.9877566159024085E-4</v>
      </c>
      <c r="O47" s="111" t="s">
        <v>139</v>
      </c>
      <c r="P47" s="111" t="s">
        <v>139</v>
      </c>
      <c r="Q47" s="101">
        <f t="shared" si="24"/>
        <v>63.34303412797248</v>
      </c>
      <c r="R47" s="101">
        <f t="shared" si="25"/>
        <v>295.83058484201058</v>
      </c>
      <c r="S47" s="4"/>
      <c r="T47" s="5"/>
      <c r="U47" s="14"/>
      <c r="V47" s="4"/>
      <c r="W47" s="7"/>
    </row>
    <row r="48" spans="1:23" ht="20" customHeight="1" x14ac:dyDescent="0.2">
      <c r="A48" s="21" t="s">
        <v>190</v>
      </c>
      <c r="B48" s="34" t="s">
        <v>176</v>
      </c>
      <c r="C48" s="34">
        <f>'Model interface'!$B$15</f>
        <v>25</v>
      </c>
      <c r="D48" s="34">
        <f>'Drop-down lists'!$Q$9</f>
        <v>0</v>
      </c>
      <c r="E48" s="65">
        <f>'Drop-down lists'!$R$9</f>
        <v>1.6895999999999999E-6</v>
      </c>
      <c r="F48" s="65">
        <f>'Drop-down lists'!$S$9</f>
        <v>38500</v>
      </c>
      <c r="G48" s="111" t="s">
        <v>139</v>
      </c>
      <c r="H48" s="65">
        <f t="shared" si="23"/>
        <v>3.8149484780774622E-5</v>
      </c>
      <c r="I48" s="111" t="s">
        <v>139</v>
      </c>
      <c r="J48" s="101">
        <f t="shared" si="15"/>
        <v>496.08420762357429</v>
      </c>
      <c r="K48" s="111" t="s">
        <v>139</v>
      </c>
      <c r="L48" s="111" t="s">
        <v>139</v>
      </c>
      <c r="M48" s="65">
        <v>1.9894224036175146E-5</v>
      </c>
      <c r="N48" s="65">
        <v>9.9097893457795625E-5</v>
      </c>
      <c r="O48" s="111" t="s">
        <v>139</v>
      </c>
      <c r="P48" s="111" t="s">
        <v>139</v>
      </c>
      <c r="Q48" s="101">
        <f t="shared" si="24"/>
        <v>190.97637970254354</v>
      </c>
      <c r="R48" s="101">
        <f t="shared" si="25"/>
        <v>951.29907526449881</v>
      </c>
      <c r="S48" s="4"/>
      <c r="T48" s="5"/>
      <c r="U48" s="14"/>
      <c r="V48" s="4"/>
      <c r="W48" s="7"/>
    </row>
    <row r="49" spans="1:23" ht="20" customHeight="1" x14ac:dyDescent="0.2">
      <c r="A49" s="21" t="s">
        <v>190</v>
      </c>
      <c r="B49" s="34" t="s">
        <v>249</v>
      </c>
      <c r="C49" s="34">
        <f>'Model interface'!$B$15</f>
        <v>25</v>
      </c>
      <c r="D49" s="34">
        <f>'Drop-down lists'!$Q$10</f>
        <v>0</v>
      </c>
      <c r="E49" s="34">
        <f>'Drop-down lists'!$R$10</f>
        <v>0</v>
      </c>
      <c r="F49" s="65">
        <f>'Drop-down lists'!$S$10</f>
        <v>482000</v>
      </c>
      <c r="G49" s="111" t="s">
        <v>139</v>
      </c>
      <c r="H49" s="65">
        <f t="shared" si="23"/>
        <v>6.5932977547506611E-5</v>
      </c>
      <c r="I49" s="111" t="s">
        <v>139</v>
      </c>
      <c r="J49" s="101">
        <f t="shared" si="15"/>
        <v>287.03931829988898</v>
      </c>
      <c r="K49" s="111" t="s">
        <v>139</v>
      </c>
      <c r="L49" s="111" t="s">
        <v>139</v>
      </c>
      <c r="M49" s="65">
        <v>2.8824552163838273E-5</v>
      </c>
      <c r="N49" s="65">
        <v>2.0105940850928728E-4</v>
      </c>
      <c r="O49" s="111" t="s">
        <v>139</v>
      </c>
      <c r="P49" s="111" t="s">
        <v>139</v>
      </c>
      <c r="Q49" s="101">
        <f t="shared" si="24"/>
        <v>94.128183649978197</v>
      </c>
      <c r="R49" s="101">
        <f t="shared" si="25"/>
        <v>656.57071864106581</v>
      </c>
      <c r="S49" s="4"/>
      <c r="T49" s="5"/>
      <c r="U49" s="14"/>
      <c r="V49" s="4"/>
      <c r="W49" s="7"/>
    </row>
    <row r="50" spans="1:23" ht="20" customHeight="1" x14ac:dyDescent="0.2">
      <c r="A50" s="21" t="s">
        <v>127</v>
      </c>
      <c r="B50" s="34" t="s">
        <v>607</v>
      </c>
      <c r="C50" s="34">
        <f>'Model interface'!$B$15</f>
        <v>25</v>
      </c>
      <c r="D50" s="34">
        <f>'Drop-down lists'!$Q$4</f>
        <v>10</v>
      </c>
      <c r="E50" s="166">
        <f>'Drop-down lists'!$R$4</f>
        <v>4.042500000000001E-3</v>
      </c>
      <c r="F50" s="34">
        <f>'Drop-down lists'!$S$4</f>
        <v>0.5</v>
      </c>
      <c r="G50" s="111" t="s">
        <v>139</v>
      </c>
      <c r="H50" s="65">
        <f>$B$11*C50^$C$11*($D$11*D50^$E$11+$F$11*F50^$G$11)</f>
        <v>1.1605728953996314E-4</v>
      </c>
      <c r="I50" s="111" t="s">
        <v>139</v>
      </c>
      <c r="J50" s="101">
        <f t="shared" si="15"/>
        <v>163.06909289141575</v>
      </c>
      <c r="K50" s="111" t="s">
        <v>139</v>
      </c>
      <c r="L50" s="111" t="s">
        <v>139</v>
      </c>
      <c r="M50" s="65">
        <v>1.1414932413472508E-4</v>
      </c>
      <c r="N50" s="65">
        <v>1.1795616067888373E-4</v>
      </c>
      <c r="O50" s="111" t="s">
        <v>139</v>
      </c>
      <c r="P50" s="111" t="s">
        <v>139</v>
      </c>
      <c r="Q50" s="101">
        <f t="shared" si="24"/>
        <v>160.44398884971645</v>
      </c>
      <c r="R50" s="101">
        <f t="shared" si="25"/>
        <v>165.79473485433408</v>
      </c>
      <c r="S50" s="4"/>
      <c r="T50" s="5"/>
      <c r="U50" s="14"/>
      <c r="V50" s="4"/>
      <c r="W50" s="7"/>
    </row>
    <row r="51" spans="1:23" ht="20" customHeight="1" x14ac:dyDescent="0.2">
      <c r="A51" s="21" t="s">
        <v>127</v>
      </c>
      <c r="B51" s="34" t="s">
        <v>750</v>
      </c>
      <c r="C51" s="34">
        <f>'Model interface'!$B$15</f>
        <v>25</v>
      </c>
      <c r="D51" s="34">
        <f>'Drop-down lists'!$Q$5</f>
        <v>0.1</v>
      </c>
      <c r="E51" s="166">
        <f>'Drop-down lists'!$R$5</f>
        <v>1.1533095135726715E-3</v>
      </c>
      <c r="F51" s="65">
        <f>'Drop-down lists'!$S$5</f>
        <v>670000000</v>
      </c>
      <c r="G51" s="111" t="s">
        <v>139</v>
      </c>
      <c r="H51" s="65">
        <f t="shared" ref="H51:H56" si="26">$B$11*C51^$C$11*($D$11*D51^$E$11+$F$11*F51^$G$11)</f>
        <v>9.5179530877877129E-4</v>
      </c>
      <c r="I51" s="111" t="s">
        <v>139</v>
      </c>
      <c r="J51" s="101">
        <f t="shared" si="15"/>
        <v>19.883851868319159</v>
      </c>
      <c r="K51" s="111" t="s">
        <v>139</v>
      </c>
      <c r="L51" s="111" t="s">
        <v>139</v>
      </c>
      <c r="M51" s="65">
        <v>2.1720874250980566E-4</v>
      </c>
      <c r="N51" s="65">
        <v>1.8154993417255554E-2</v>
      </c>
      <c r="O51" s="111" t="s">
        <v>139</v>
      </c>
      <c r="P51" s="111" t="s">
        <v>139</v>
      </c>
      <c r="Q51" s="101">
        <f t="shared" si="24"/>
        <v>1.0424325965731516</v>
      </c>
      <c r="R51" s="101">
        <f t="shared" si="25"/>
        <v>87.129812133891505</v>
      </c>
      <c r="S51" s="4"/>
      <c r="T51" s="5"/>
      <c r="U51" s="14"/>
      <c r="V51" s="4"/>
      <c r="W51" s="7"/>
    </row>
    <row r="52" spans="1:23" ht="20" customHeight="1" x14ac:dyDescent="0.2">
      <c r="A52" s="21" t="s">
        <v>127</v>
      </c>
      <c r="B52" s="34" t="s">
        <v>751</v>
      </c>
      <c r="C52" s="34">
        <f>'Model interface'!$B$15</f>
        <v>25</v>
      </c>
      <c r="D52" s="34">
        <f>'Drop-down lists'!$Q$6</f>
        <v>0</v>
      </c>
      <c r="E52" s="34">
        <f>'Drop-down lists'!$R$6</f>
        <v>0</v>
      </c>
      <c r="F52" s="65">
        <f>'Drop-down lists'!$S$6</f>
        <v>121000000</v>
      </c>
      <c r="G52" s="111" t="s">
        <v>139</v>
      </c>
      <c r="H52" s="65">
        <f t="shared" si="26"/>
        <v>4.8180041600635393E-4</v>
      </c>
      <c r="I52" s="111" t="s">
        <v>139</v>
      </c>
      <c r="J52" s="101">
        <f t="shared" si="15"/>
        <v>39.280491049780657</v>
      </c>
      <c r="K52" s="111" t="s">
        <v>139</v>
      </c>
      <c r="L52" s="111" t="s">
        <v>139</v>
      </c>
      <c r="M52" s="65">
        <v>7.1352226123464073E-5</v>
      </c>
      <c r="N52" s="65">
        <v>7.4392928205524811E-3</v>
      </c>
      <c r="O52" s="111" t="s">
        <v>139</v>
      </c>
      <c r="P52" s="111" t="s">
        <v>139</v>
      </c>
      <c r="Q52" s="101">
        <f t="shared" si="24"/>
        <v>2.5439725771290025</v>
      </c>
      <c r="R52" s="101">
        <f t="shared" si="25"/>
        <v>265.2384929934878</v>
      </c>
      <c r="S52" s="4"/>
      <c r="T52" s="5"/>
      <c r="U52" s="14"/>
      <c r="V52" s="4"/>
      <c r="W52" s="7"/>
    </row>
    <row r="53" spans="1:23" ht="20" customHeight="1" x14ac:dyDescent="0.2">
      <c r="A53" s="21" t="s">
        <v>127</v>
      </c>
      <c r="B53" s="34" t="s">
        <v>608</v>
      </c>
      <c r="C53" s="34">
        <f>'Model interface'!$B$15</f>
        <v>25</v>
      </c>
      <c r="D53" s="34">
        <f>'Drop-down lists'!$Q$7</f>
        <v>12.5</v>
      </c>
      <c r="E53" s="166">
        <f>'Drop-down lists'!$R$7</f>
        <v>2.6361360310232489E-2</v>
      </c>
      <c r="F53" s="65">
        <f>'Drop-down lists'!$S$7</f>
        <v>12500000</v>
      </c>
      <c r="G53" s="111" t="s">
        <v>139</v>
      </c>
      <c r="H53" s="65">
        <f t="shared" si="26"/>
        <v>3.4612381905738983E-4</v>
      </c>
      <c r="I53" s="111" t="s">
        <v>139</v>
      </c>
      <c r="J53" s="101">
        <f t="shared" si="15"/>
        <v>54.677996389437226</v>
      </c>
      <c r="K53" s="111" t="s">
        <v>139</v>
      </c>
      <c r="L53" s="111" t="s">
        <v>139</v>
      </c>
      <c r="M53" s="65">
        <v>1.5934353067754517E-4</v>
      </c>
      <c r="N53" s="65">
        <v>2.5774806574873953E-3</v>
      </c>
      <c r="O53" s="111" t="s">
        <v>139</v>
      </c>
      <c r="P53" s="111" t="s">
        <v>139</v>
      </c>
      <c r="Q53" s="101">
        <f t="shared" si="24"/>
        <v>7.3425796130579624</v>
      </c>
      <c r="R53" s="101">
        <f t="shared" si="25"/>
        <v>118.77078942738126</v>
      </c>
      <c r="S53" s="4"/>
      <c r="T53" s="5"/>
      <c r="U53" s="14"/>
      <c r="V53" s="4"/>
      <c r="W53" s="7"/>
    </row>
    <row r="54" spans="1:23" ht="20" customHeight="1" x14ac:dyDescent="0.2">
      <c r="A54" s="21" t="s">
        <v>127</v>
      </c>
      <c r="B54" s="34" t="s">
        <v>175</v>
      </c>
      <c r="C54" s="34">
        <f>'Model interface'!$B$15</f>
        <v>25</v>
      </c>
      <c r="D54" s="34">
        <f>'Drop-down lists'!$Q$8</f>
        <v>10</v>
      </c>
      <c r="E54" s="166">
        <f>'Drop-down lists'!$R$8</f>
        <v>3.3000000000000008E-3</v>
      </c>
      <c r="F54" s="65">
        <f>'Drop-down lists'!$S$8</f>
        <v>250000</v>
      </c>
      <c r="G54" s="111" t="s">
        <v>139</v>
      </c>
      <c r="H54" s="65">
        <f t="shared" si="26"/>
        <v>1.8011813921870457E-4</v>
      </c>
      <c r="I54" s="111" t="s">
        <v>139</v>
      </c>
      <c r="J54" s="101">
        <f t="shared" si="15"/>
        <v>105.07191008529395</v>
      </c>
      <c r="K54" s="111" t="s">
        <v>139</v>
      </c>
      <c r="L54" s="111" t="s">
        <v>139</v>
      </c>
      <c r="M54" s="65">
        <v>1.3287509766958587E-4</v>
      </c>
      <c r="N54" s="65">
        <v>5.1776028683971629E-4</v>
      </c>
      <c r="O54" s="111" t="s">
        <v>139</v>
      </c>
      <c r="P54" s="111" t="s">
        <v>139</v>
      </c>
      <c r="Q54" s="101">
        <f t="shared" si="24"/>
        <v>36.55235329892524</v>
      </c>
      <c r="R54" s="101">
        <f t="shared" si="25"/>
        <v>142.42967463910327</v>
      </c>
      <c r="S54" s="4"/>
      <c r="T54" s="5"/>
      <c r="U54" s="14"/>
      <c r="V54" s="4"/>
      <c r="W54" s="7"/>
    </row>
    <row r="55" spans="1:23" ht="20" customHeight="1" x14ac:dyDescent="0.2">
      <c r="A55" s="21" t="s">
        <v>127</v>
      </c>
      <c r="B55" s="34" t="s">
        <v>176</v>
      </c>
      <c r="C55" s="34">
        <f>'Model interface'!$B$15</f>
        <v>25</v>
      </c>
      <c r="D55" s="34">
        <f>'Drop-down lists'!$Q$9</f>
        <v>0</v>
      </c>
      <c r="E55" s="65">
        <f>'Drop-down lists'!$R$9</f>
        <v>1.6895999999999999E-6</v>
      </c>
      <c r="F55" s="65">
        <f>'Drop-down lists'!$S$9</f>
        <v>38500</v>
      </c>
      <c r="G55" s="111" t="s">
        <v>139</v>
      </c>
      <c r="H55" s="65">
        <f t="shared" si="26"/>
        <v>3.5442563194153494E-5</v>
      </c>
      <c r="I55" s="111" t="s">
        <v>139</v>
      </c>
      <c r="J55" s="101">
        <f t="shared" si="15"/>
        <v>533.9725805113344</v>
      </c>
      <c r="K55" s="111" t="s">
        <v>139</v>
      </c>
      <c r="L55" s="111" t="s">
        <v>139</v>
      </c>
      <c r="M55" s="65">
        <v>1.2357206811526795E-5</v>
      </c>
      <c r="N55" s="65">
        <v>1.7655531551618667E-4</v>
      </c>
      <c r="O55" s="111" t="s">
        <v>139</v>
      </c>
      <c r="P55" s="111" t="s">
        <v>139</v>
      </c>
      <c r="Q55" s="101">
        <f t="shared" si="24"/>
        <v>107.19222399726105</v>
      </c>
      <c r="R55" s="101">
        <f t="shared" si="25"/>
        <v>1531.5238481777794</v>
      </c>
      <c r="S55" s="4"/>
      <c r="T55" s="5"/>
      <c r="U55" s="14"/>
      <c r="V55" s="4"/>
      <c r="W55" s="7"/>
    </row>
    <row r="56" spans="1:23" ht="20" customHeight="1" x14ac:dyDescent="0.2">
      <c r="A56" s="21" t="s">
        <v>127</v>
      </c>
      <c r="B56" s="34" t="s">
        <v>249</v>
      </c>
      <c r="C56" s="34">
        <f>'Model interface'!$B$15</f>
        <v>25</v>
      </c>
      <c r="D56" s="34">
        <f>'Drop-down lists'!$Q$10</f>
        <v>0</v>
      </c>
      <c r="E56" s="34">
        <f>'Drop-down lists'!$R$10</f>
        <v>0</v>
      </c>
      <c r="F56" s="65">
        <f>'Drop-down lists'!$S$10</f>
        <v>482000</v>
      </c>
      <c r="G56" s="111" t="s">
        <v>139</v>
      </c>
      <c r="H56" s="65">
        <f t="shared" si="26"/>
        <v>8.0391222994679142E-5</v>
      </c>
      <c r="I56" s="111" t="s">
        <v>139</v>
      </c>
      <c r="J56" s="101">
        <f t="shared" si="15"/>
        <v>235.41571111526437</v>
      </c>
      <c r="K56" s="111" t="s">
        <v>139</v>
      </c>
      <c r="L56" s="111" t="s">
        <v>139</v>
      </c>
      <c r="M56" s="65">
        <v>2.0997317752507106E-5</v>
      </c>
      <c r="N56" s="65">
        <v>5.2668250070995505E-4</v>
      </c>
      <c r="O56" s="111" t="s">
        <v>139</v>
      </c>
      <c r="P56" s="111" t="s">
        <v>139</v>
      </c>
      <c r="Q56" s="101">
        <f t="shared" si="24"/>
        <v>35.933141699614602</v>
      </c>
      <c r="R56" s="101">
        <f t="shared" si="25"/>
        <v>901.32259518997239</v>
      </c>
      <c r="S56" s="4"/>
      <c r="T56" s="5"/>
      <c r="U56" s="14"/>
      <c r="V56" s="4"/>
      <c r="W56" s="7"/>
    </row>
    <row r="57" spans="1:23" ht="20" customHeight="1" x14ac:dyDescent="0.2">
      <c r="A57" s="21" t="s">
        <v>137</v>
      </c>
      <c r="B57" s="34" t="s">
        <v>607</v>
      </c>
      <c r="C57" s="34">
        <f>'Model interface'!$B$15</f>
        <v>25</v>
      </c>
      <c r="D57" s="34">
        <f>'Drop-down lists'!$Q$4</f>
        <v>10</v>
      </c>
      <c r="E57" s="166">
        <f>'Drop-down lists'!$R$4</f>
        <v>4.042500000000001E-3</v>
      </c>
      <c r="F57" s="34">
        <f>'Drop-down lists'!$S$4</f>
        <v>0.5</v>
      </c>
      <c r="G57" s="111" t="s">
        <v>139</v>
      </c>
      <c r="H57" s="65">
        <f>$B$12*C57^$C$12*($D$12*D57^$E$12+$F$12*F57^$G$12)</f>
        <v>1.2985715092538608E-5</v>
      </c>
      <c r="I57" s="111" t="s">
        <v>139</v>
      </c>
      <c r="J57" s="101">
        <f t="shared" si="15"/>
        <v>1457.3981327830304</v>
      </c>
      <c r="K57" s="111" t="s">
        <v>139</v>
      </c>
      <c r="L57" s="111" t="s">
        <v>139</v>
      </c>
      <c r="M57" s="77">
        <v>1.2985666626657392E-5</v>
      </c>
      <c r="N57" s="77">
        <v>1.2985763058899872E-5</v>
      </c>
      <c r="O57" s="111" t="s">
        <v>139</v>
      </c>
      <c r="P57" s="111" t="s">
        <v>139</v>
      </c>
      <c r="Q57" s="101">
        <f t="shared" si="24"/>
        <v>1457.3927494963475</v>
      </c>
      <c r="R57" s="101">
        <f t="shared" si="25"/>
        <v>1457.403572171459</v>
      </c>
      <c r="S57" s="4"/>
      <c r="T57" s="5"/>
      <c r="U57" s="14"/>
      <c r="V57" s="4"/>
      <c r="W57" s="7"/>
    </row>
    <row r="58" spans="1:23" ht="20" customHeight="1" x14ac:dyDescent="0.2">
      <c r="A58" s="21" t="s">
        <v>137</v>
      </c>
      <c r="B58" s="34" t="s">
        <v>750</v>
      </c>
      <c r="C58" s="34">
        <f>'Model interface'!$B$15</f>
        <v>25</v>
      </c>
      <c r="D58" s="34">
        <f>'Drop-down lists'!$Q$5</f>
        <v>0.1</v>
      </c>
      <c r="E58" s="166">
        <f>'Drop-down lists'!$R$5</f>
        <v>1.1533095135726715E-3</v>
      </c>
      <c r="F58" s="65">
        <f>'Drop-down lists'!$S$5</f>
        <v>670000000</v>
      </c>
      <c r="G58" s="111" t="s">
        <v>139</v>
      </c>
      <c r="H58" s="65">
        <f t="shared" ref="H58:H63" si="27">$B$12*C58^$C$12*($D$12*D58^$E$12+$F$12*F58^$G$12)</f>
        <v>1.0699013575525776E-5</v>
      </c>
      <c r="I58" s="111" t="s">
        <v>139</v>
      </c>
      <c r="J58" s="101">
        <f t="shared" si="15"/>
        <v>1768.8880189861936</v>
      </c>
      <c r="K58" s="111" t="s">
        <v>139</v>
      </c>
      <c r="L58" s="111" t="s">
        <v>139</v>
      </c>
      <c r="M58" s="77">
        <v>1.0698738471173617E-5</v>
      </c>
      <c r="N58" s="77">
        <v>1.0699293351999202E-5</v>
      </c>
      <c r="O58" s="111" t="s">
        <v>139</v>
      </c>
      <c r="P58" s="111" t="s">
        <v>139</v>
      </c>
      <c r="Q58" s="101">
        <f t="shared" si="24"/>
        <v>1768.8417642256638</v>
      </c>
      <c r="R58" s="101">
        <f t="shared" si="25"/>
        <v>1768.9335036752359</v>
      </c>
      <c r="S58" s="4"/>
      <c r="T58" s="5"/>
      <c r="U58" s="14"/>
      <c r="V58" s="4"/>
      <c r="W58" s="7"/>
    </row>
    <row r="59" spans="1:23" ht="20" customHeight="1" x14ac:dyDescent="0.2">
      <c r="A59" s="21" t="s">
        <v>137</v>
      </c>
      <c r="B59" s="34" t="s">
        <v>751</v>
      </c>
      <c r="C59" s="34">
        <f>'Model interface'!$B$15</f>
        <v>25</v>
      </c>
      <c r="D59" s="34">
        <f>'Drop-down lists'!$Q$6</f>
        <v>0</v>
      </c>
      <c r="E59" s="34">
        <f>'Drop-down lists'!$R$6</f>
        <v>0</v>
      </c>
      <c r="F59" s="65">
        <f>'Drop-down lists'!$S$6</f>
        <v>121000000</v>
      </c>
      <c r="G59" s="111" t="s">
        <v>139</v>
      </c>
      <c r="H59" s="65">
        <f t="shared" si="27"/>
        <v>3.5121544468163498E-6</v>
      </c>
      <c r="I59" s="111" t="s">
        <v>139</v>
      </c>
      <c r="J59" s="101">
        <f t="shared" si="15"/>
        <v>5388.5320863020088</v>
      </c>
      <c r="K59" s="111" t="s">
        <v>139</v>
      </c>
      <c r="L59" s="111" t="s">
        <v>139</v>
      </c>
      <c r="M59" s="77">
        <v>3.5120629966579831E-6</v>
      </c>
      <c r="N59" s="77">
        <v>3.5122479025319129E-6</v>
      </c>
      <c r="O59" s="111" t="s">
        <v>139</v>
      </c>
      <c r="P59" s="111" t="s">
        <v>139</v>
      </c>
      <c r="Q59" s="101">
        <f t="shared" si="24"/>
        <v>5388.3887054428169</v>
      </c>
      <c r="R59" s="101">
        <f t="shared" si="25"/>
        <v>5388.6723975985678</v>
      </c>
      <c r="S59" s="4"/>
      <c r="T59" s="5"/>
      <c r="U59" s="14"/>
      <c r="V59" s="4"/>
      <c r="W59" s="7"/>
    </row>
    <row r="60" spans="1:23" ht="20" customHeight="1" x14ac:dyDescent="0.2">
      <c r="A60" s="21" t="s">
        <v>137</v>
      </c>
      <c r="B60" s="34" t="s">
        <v>608</v>
      </c>
      <c r="C60" s="34">
        <f>'Model interface'!$B$15</f>
        <v>25</v>
      </c>
      <c r="D60" s="34">
        <f>'Drop-down lists'!$Q$7</f>
        <v>12.5</v>
      </c>
      <c r="E60" s="166">
        <f>'Drop-down lists'!$R$7</f>
        <v>2.6361360310232489E-2</v>
      </c>
      <c r="F60" s="65">
        <f>'Drop-down lists'!$S$7</f>
        <v>12500000</v>
      </c>
      <c r="G60" s="111" t="s">
        <v>139</v>
      </c>
      <c r="H60" s="65">
        <f t="shared" si="27"/>
        <v>4.0340327231610058E-5</v>
      </c>
      <c r="I60" s="111" t="s">
        <v>139</v>
      </c>
      <c r="J60" s="101">
        <f t="shared" si="15"/>
        <v>469.14237507445324</v>
      </c>
      <c r="K60" s="111" t="s">
        <v>139</v>
      </c>
      <c r="L60" s="111" t="s">
        <v>139</v>
      </c>
      <c r="M60" s="77">
        <v>4.0340176071999167E-5</v>
      </c>
      <c r="N60" s="77">
        <v>4.0340476491166758E-5</v>
      </c>
      <c r="O60" s="111" t="s">
        <v>139</v>
      </c>
      <c r="P60" s="111" t="s">
        <v>139</v>
      </c>
      <c r="Q60" s="101">
        <f t="shared" si="24"/>
        <v>469.14063925006479</v>
      </c>
      <c r="R60" s="101">
        <f t="shared" si="25"/>
        <v>469.14413300874531</v>
      </c>
      <c r="S60" s="4"/>
      <c r="T60" s="5"/>
      <c r="U60" s="14"/>
      <c r="V60" s="4"/>
      <c r="W60" s="7"/>
    </row>
    <row r="61" spans="1:23" ht="20" customHeight="1" x14ac:dyDescent="0.2">
      <c r="A61" s="21" t="s">
        <v>137</v>
      </c>
      <c r="B61" s="34" t="s">
        <v>175</v>
      </c>
      <c r="C61" s="34">
        <f>'Model interface'!$B$15</f>
        <v>25</v>
      </c>
      <c r="D61" s="34">
        <f>'Drop-down lists'!$Q$8</f>
        <v>10</v>
      </c>
      <c r="E61" s="166">
        <f>'Drop-down lists'!$R$8</f>
        <v>3.3000000000000008E-3</v>
      </c>
      <c r="F61" s="65">
        <f>'Drop-down lists'!$S$8</f>
        <v>250000</v>
      </c>
      <c r="G61" s="111" t="s">
        <v>139</v>
      </c>
      <c r="H61" s="65">
        <f t="shared" si="27"/>
        <v>1.3048529086620376E-5</v>
      </c>
      <c r="I61" s="111" t="s">
        <v>139</v>
      </c>
      <c r="J61" s="101">
        <f t="shared" si="15"/>
        <v>1450.3823996624842</v>
      </c>
      <c r="K61" s="111" t="s">
        <v>139</v>
      </c>
      <c r="L61" s="111" t="s">
        <v>139</v>
      </c>
      <c r="M61" s="77">
        <v>1.3048480453330687E-5</v>
      </c>
      <c r="N61" s="77">
        <v>1.3048577189200322E-5</v>
      </c>
      <c r="O61" s="111" t="s">
        <v>139</v>
      </c>
      <c r="P61" s="111" t="s">
        <v>139</v>
      </c>
      <c r="Q61" s="101">
        <f t="shared" si="24"/>
        <v>1450.3770529389051</v>
      </c>
      <c r="R61" s="101">
        <f t="shared" si="25"/>
        <v>1450.3878054158708</v>
      </c>
      <c r="S61" s="4"/>
      <c r="T61" s="5"/>
      <c r="U61" s="14"/>
      <c r="V61" s="4"/>
      <c r="W61" s="7"/>
    </row>
    <row r="62" spans="1:23" ht="20" customHeight="1" x14ac:dyDescent="0.2">
      <c r="A62" s="21" t="s">
        <v>137</v>
      </c>
      <c r="B62" s="34" t="s">
        <v>176</v>
      </c>
      <c r="C62" s="34">
        <f>'Model interface'!$B$15</f>
        <v>25</v>
      </c>
      <c r="D62" s="34">
        <f>'Drop-down lists'!$Q$9</f>
        <v>0</v>
      </c>
      <c r="E62" s="65">
        <f>'Drop-down lists'!$R$9</f>
        <v>1.6895999999999999E-6</v>
      </c>
      <c r="F62" s="65">
        <f>'Drop-down lists'!$S$9</f>
        <v>38500</v>
      </c>
      <c r="G62" s="111" t="s">
        <v>139</v>
      </c>
      <c r="H62" s="65">
        <f t="shared" si="27"/>
        <v>1.8592547311877612E-8</v>
      </c>
      <c r="I62" s="111" t="s">
        <v>139</v>
      </c>
      <c r="J62" s="65">
        <f t="shared" si="15"/>
        <v>1017900.1624284135</v>
      </c>
      <c r="K62" s="111" t="s">
        <v>139</v>
      </c>
      <c r="L62" s="111" t="s">
        <v>139</v>
      </c>
      <c r="M62" s="77">
        <v>1.8592060602074048E-8</v>
      </c>
      <c r="N62" s="77">
        <v>1.8593025301625466E-8</v>
      </c>
      <c r="O62" s="111" t="s">
        <v>139</v>
      </c>
      <c r="P62" s="111" t="s">
        <v>139</v>
      </c>
      <c r="Q62" s="65">
        <f t="shared" si="24"/>
        <v>1017873.9942371651</v>
      </c>
      <c r="R62" s="65">
        <f t="shared" si="25"/>
        <v>1017926.8093934115</v>
      </c>
      <c r="S62" s="4"/>
      <c r="T62" s="5"/>
      <c r="U62" s="14"/>
      <c r="V62" s="4"/>
      <c r="W62" s="7"/>
    </row>
    <row r="63" spans="1:23" ht="20" customHeight="1" x14ac:dyDescent="0.2">
      <c r="A63" s="21" t="s">
        <v>137</v>
      </c>
      <c r="B63" s="34" t="s">
        <v>249</v>
      </c>
      <c r="C63" s="34">
        <f>'Model interface'!$B$15</f>
        <v>25</v>
      </c>
      <c r="D63" s="34">
        <f>'Drop-down lists'!$Q$10</f>
        <v>0</v>
      </c>
      <c r="E63" s="34">
        <f>'Drop-down lists'!$R$10</f>
        <v>0</v>
      </c>
      <c r="F63" s="65">
        <f>'Drop-down lists'!$S$10</f>
        <v>482000</v>
      </c>
      <c r="G63" s="111" t="s">
        <v>139</v>
      </c>
      <c r="H63" s="65">
        <f t="shared" si="27"/>
        <v>9.6317066761208104E-8</v>
      </c>
      <c r="I63" s="111" t="s">
        <v>139</v>
      </c>
      <c r="J63" s="65">
        <f t="shared" si="15"/>
        <v>196490.17110994924</v>
      </c>
      <c r="K63" s="111" t="s">
        <v>139</v>
      </c>
      <c r="L63" s="111" t="s">
        <v>139</v>
      </c>
      <c r="M63" s="77">
        <v>9.6314497041844209E-8</v>
      </c>
      <c r="N63" s="77">
        <v>9.631956585720649E-8</v>
      </c>
      <c r="O63" s="111" t="s">
        <v>139</v>
      </c>
      <c r="P63" s="111" t="s">
        <v>139</v>
      </c>
      <c r="Q63" s="65">
        <f t="shared" si="24"/>
        <v>196485.07299934237</v>
      </c>
      <c r="R63" s="65">
        <f t="shared" si="25"/>
        <v>196495.41356682774</v>
      </c>
      <c r="S63" s="4"/>
      <c r="T63" s="5"/>
      <c r="U63" s="14"/>
      <c r="V63" s="4"/>
      <c r="W63" s="7"/>
    </row>
    <row r="64" spans="1:23" ht="20" customHeight="1" x14ac:dyDescent="0.2">
      <c r="A64" s="5"/>
      <c r="K64" s="5"/>
      <c r="L64" s="4"/>
      <c r="M64" s="6"/>
      <c r="N64" s="4"/>
      <c r="O64" s="4"/>
      <c r="P64" s="4"/>
      <c r="Q64" s="4"/>
      <c r="R64" s="4"/>
      <c r="S64" s="4"/>
      <c r="T64" s="5"/>
      <c r="U64" s="14"/>
      <c r="V64" s="4"/>
      <c r="W64" s="7"/>
    </row>
  </sheetData>
  <mergeCells count="1">
    <mergeCell ref="A13:R13"/>
  </mergeCells>
  <phoneticPr fontId="7" type="noConversion"/>
  <dataValidations disablePrompts="1" count="1">
    <dataValidation operator="greaterThan" showInputMessage="1" showErrorMessage="1" sqref="C6:D6" xr:uid="{00000000-0002-0000-0500-000000000000}"/>
  </dataValidations>
  <pageMargins left="0.7" right="0.7" top="0.75" bottom="0.75" header="0.3" footer="0.3"/>
  <pageSetup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067F2-6E8A-CF46-B340-E42B6546B399}">
  <dimension ref="A1:U68"/>
  <sheetViews>
    <sheetView workbookViewId="0">
      <selection activeCell="I4" sqref="I4"/>
    </sheetView>
  </sheetViews>
  <sheetFormatPr baseColWidth="10" defaultColWidth="15.83203125" defaultRowHeight="20" customHeight="1" x14ac:dyDescent="0.2"/>
  <cols>
    <col min="1" max="2" width="15.83203125" style="4" customWidth="1"/>
    <col min="3" max="5" width="15.83203125" style="4"/>
    <col min="6" max="6" width="15.83203125" style="4" customWidth="1"/>
    <col min="7" max="11" width="15.83203125" style="4"/>
    <col min="12" max="17" width="15.83203125" style="4" customWidth="1"/>
    <col min="18" max="16384" width="15.83203125" style="4"/>
  </cols>
  <sheetData>
    <row r="1" spans="1:21" ht="20" customHeight="1" x14ac:dyDescent="0.2">
      <c r="A1" s="162" t="s">
        <v>997</v>
      </c>
      <c r="B1" s="162"/>
      <c r="C1" s="162"/>
      <c r="D1" s="162"/>
      <c r="E1" s="162"/>
      <c r="F1" s="162"/>
      <c r="G1" s="162"/>
      <c r="H1" s="162"/>
      <c r="I1" s="162"/>
      <c r="J1" s="162"/>
      <c r="K1" s="162"/>
      <c r="L1" s="162"/>
      <c r="M1" s="162"/>
      <c r="N1" s="162"/>
      <c r="O1" s="162"/>
      <c r="P1" s="162"/>
      <c r="Q1" s="162"/>
      <c r="R1" s="162"/>
    </row>
    <row r="2" spans="1:21" ht="20" customHeight="1" x14ac:dyDescent="0.2">
      <c r="A2" s="240" t="s">
        <v>668</v>
      </c>
      <c r="B2" s="240"/>
      <c r="C2" s="240"/>
      <c r="D2" s="240"/>
      <c r="E2" s="240"/>
      <c r="F2" s="241" t="s">
        <v>669</v>
      </c>
      <c r="G2" s="241"/>
      <c r="H2" s="241"/>
      <c r="I2" s="241"/>
      <c r="J2" s="241"/>
      <c r="K2" s="243" t="s">
        <v>983</v>
      </c>
      <c r="L2" s="243"/>
      <c r="M2" s="243"/>
      <c r="N2" s="243"/>
      <c r="O2" s="243"/>
      <c r="P2" s="243"/>
      <c r="Q2" s="243"/>
      <c r="R2" s="243"/>
      <c r="S2" s="243"/>
      <c r="T2" s="243"/>
      <c r="U2" s="243"/>
    </row>
    <row r="3" spans="1:21" ht="20" customHeight="1" x14ac:dyDescent="0.2">
      <c r="A3" s="50" t="s">
        <v>151</v>
      </c>
      <c r="B3" s="50" t="s">
        <v>152</v>
      </c>
      <c r="C3" s="50" t="s">
        <v>121</v>
      </c>
      <c r="D3" s="50" t="s">
        <v>664</v>
      </c>
      <c r="E3" s="50" t="s">
        <v>665</v>
      </c>
      <c r="F3" s="54" t="s">
        <v>151</v>
      </c>
      <c r="G3" s="54" t="s">
        <v>152</v>
      </c>
      <c r="H3" s="54" t="s">
        <v>223</v>
      </c>
      <c r="I3" s="54" t="s">
        <v>666</v>
      </c>
      <c r="J3" s="54" t="s">
        <v>667</v>
      </c>
      <c r="K3" s="64" t="s">
        <v>679</v>
      </c>
      <c r="L3" s="64" t="s">
        <v>120</v>
      </c>
      <c r="M3" s="64" t="s">
        <v>125</v>
      </c>
      <c r="N3" s="64" t="s">
        <v>138</v>
      </c>
      <c r="O3" s="64" t="s">
        <v>190</v>
      </c>
      <c r="P3" s="64" t="s">
        <v>127</v>
      </c>
      <c r="Q3" s="64" t="s">
        <v>137</v>
      </c>
      <c r="R3" s="64" t="s">
        <v>693</v>
      </c>
      <c r="S3" s="64" t="s">
        <v>985</v>
      </c>
      <c r="T3" s="64" t="s">
        <v>986</v>
      </c>
      <c r="U3" s="177" t="s">
        <v>987</v>
      </c>
    </row>
    <row r="4" spans="1:21" ht="20" customHeight="1" x14ac:dyDescent="0.2">
      <c r="A4" s="83" t="s">
        <v>120</v>
      </c>
      <c r="B4" s="83" t="s">
        <v>607</v>
      </c>
      <c r="C4" s="45">
        <f>Results!G15</f>
        <v>2.4807691143516192E-5</v>
      </c>
      <c r="D4" s="45">
        <f>Results!K15</f>
        <v>1.1300458986080742E-8</v>
      </c>
      <c r="E4" s="45">
        <f>Results!L15</f>
        <v>3.0928052905691081</v>
      </c>
      <c r="F4" s="34" t="s">
        <v>120</v>
      </c>
      <c r="G4" s="34" t="s">
        <v>607</v>
      </c>
      <c r="H4" s="65">
        <f>Results!H15</f>
        <v>5.0306199606234682E-4</v>
      </c>
      <c r="I4" s="65">
        <f>Results!M15</f>
        <v>2.1347749996580601E-4</v>
      </c>
      <c r="J4" s="65">
        <f>Results!N15</f>
        <v>3.0701967116340085E-3</v>
      </c>
      <c r="K4" s="92" t="s">
        <v>902</v>
      </c>
      <c r="L4" s="156">
        <f>$H$4/H5</f>
        <v>0.66135828378281247</v>
      </c>
      <c r="M4" s="156">
        <f>$H$11/H12</f>
        <v>9.9039478500110037E-2</v>
      </c>
      <c r="N4" s="156">
        <f>$H$18/H19</f>
        <v>0.20555684077823819</v>
      </c>
      <c r="O4" s="156">
        <f>$H$25/H26</f>
        <v>0.14652199570348495</v>
      </c>
      <c r="P4" s="156">
        <f>$H$32/H33</f>
        <v>0.12193513507528611</v>
      </c>
      <c r="Q4" s="156">
        <f>$H$39/H40</f>
        <v>1.2137301257607254</v>
      </c>
      <c r="R4" s="156">
        <f>GEOMEAN(L4:Q4)</f>
        <v>0.25756597004514448</v>
      </c>
      <c r="S4" s="156">
        <f t="shared" ref="S4:S45" si="0">MIN(L4:Q4)</f>
        <v>9.9039478500110037E-2</v>
      </c>
      <c r="T4" s="156">
        <f t="shared" ref="T4:T45" si="1">MAX(L4:Q4)</f>
        <v>1.2137301257607254</v>
      </c>
      <c r="U4" s="244">
        <v>2</v>
      </c>
    </row>
    <row r="5" spans="1:21" ht="20" customHeight="1" x14ac:dyDescent="0.2">
      <c r="A5" s="83" t="s">
        <v>120</v>
      </c>
      <c r="B5" s="83" t="s">
        <v>770</v>
      </c>
      <c r="C5" s="45">
        <f>Results!G16</f>
        <v>7.0837602015600554E-6</v>
      </c>
      <c r="D5" s="45">
        <f>Results!K16</f>
        <v>7.512556335250684E-9</v>
      </c>
      <c r="E5" s="45">
        <f>Results!L16</f>
        <v>1.0438854400492812</v>
      </c>
      <c r="F5" s="34" t="s">
        <v>120</v>
      </c>
      <c r="G5" s="34" t="s">
        <v>770</v>
      </c>
      <c r="H5" s="65">
        <f>Results!H16</f>
        <v>7.6064972405721074E-4</v>
      </c>
      <c r="I5" s="65">
        <f>Results!M16</f>
        <v>1.4442165099077045E-4</v>
      </c>
      <c r="J5" s="65">
        <f>Results!N16</f>
        <v>6.9068296374883934E-3</v>
      </c>
      <c r="K5" s="92" t="s">
        <v>903</v>
      </c>
      <c r="L5" s="156">
        <f t="shared" ref="L5:L9" si="2">$H$4/H6</f>
        <v>1.4465882086993251</v>
      </c>
      <c r="M5" s="156">
        <f t="shared" ref="M5:M9" si="3">$H$11/H13</f>
        <v>0.2316966965856779</v>
      </c>
      <c r="N5" s="156">
        <f t="shared" ref="N5:N9" si="4">$H$18/H20</f>
        <v>0.23510014323924283</v>
      </c>
      <c r="O5" s="156">
        <f t="shared" ref="O5:O9" si="5">$H$25/H27</f>
        <v>0.21979340481755133</v>
      </c>
      <c r="P5" s="156">
        <f t="shared" ref="P5:P9" si="6">$H$32/H34</f>
        <v>0.24088250172542935</v>
      </c>
      <c r="Q5" s="156">
        <f t="shared" ref="Q5:Q9" si="7">$H$39/H41</f>
        <v>3.6973644778946788</v>
      </c>
      <c r="R5" s="156">
        <f t="shared" ref="R5:R15" si="8">GEOMEAN(L5:Q5)</f>
        <v>0.49892849137797812</v>
      </c>
      <c r="S5" s="156">
        <f t="shared" si="0"/>
        <v>0.21979340481755133</v>
      </c>
      <c r="T5" s="156">
        <f t="shared" si="1"/>
        <v>3.6973644778946788</v>
      </c>
      <c r="U5" s="244"/>
    </row>
    <row r="6" spans="1:21" ht="20" customHeight="1" x14ac:dyDescent="0.2">
      <c r="A6" s="83" t="s">
        <v>120</v>
      </c>
      <c r="B6" s="83" t="s">
        <v>771</v>
      </c>
      <c r="C6" s="45">
        <f>Results!G17</f>
        <v>0</v>
      </c>
      <c r="D6" s="45">
        <f>Results!K17</f>
        <v>0</v>
      </c>
      <c r="E6" s="45">
        <f>Results!L17</f>
        <v>0</v>
      </c>
      <c r="F6" s="34" t="s">
        <v>120</v>
      </c>
      <c r="G6" s="34" t="s">
        <v>771</v>
      </c>
      <c r="H6" s="65">
        <f>Results!H17</f>
        <v>3.4775756710658269E-4</v>
      </c>
      <c r="I6" s="65">
        <f>Results!M17</f>
        <v>6.8290314325122732E-5</v>
      </c>
      <c r="J6" s="65">
        <f>Results!N17</f>
        <v>2.5433686746586695E-3</v>
      </c>
      <c r="K6" s="92" t="s">
        <v>680</v>
      </c>
      <c r="L6" s="156">
        <f t="shared" si="2"/>
        <v>0.70238237366234268</v>
      </c>
      <c r="M6" s="156">
        <f t="shared" si="3"/>
        <v>0.37708730940427981</v>
      </c>
      <c r="N6" s="156">
        <f t="shared" si="4"/>
        <v>0.27337907111618986</v>
      </c>
      <c r="O6" s="156">
        <f t="shared" si="5"/>
        <v>0.2647036645360909</v>
      </c>
      <c r="P6" s="156">
        <f t="shared" si="6"/>
        <v>0.33530570030119772</v>
      </c>
      <c r="Q6" s="156">
        <f t="shared" si="7"/>
        <v>0.32190405937915156</v>
      </c>
      <c r="R6" s="156">
        <f t="shared" si="8"/>
        <v>0.35695874118585064</v>
      </c>
      <c r="S6" s="156">
        <f t="shared" si="0"/>
        <v>0.2647036645360909</v>
      </c>
      <c r="T6" s="156">
        <f t="shared" si="1"/>
        <v>0.70238237366234268</v>
      </c>
      <c r="U6" s="244"/>
    </row>
    <row r="7" spans="1:21" ht="20" customHeight="1" x14ac:dyDescent="0.2">
      <c r="A7" s="83" t="s">
        <v>120</v>
      </c>
      <c r="B7" s="83" t="s">
        <v>608</v>
      </c>
      <c r="C7" s="45">
        <f>Results!G18</f>
        <v>3.1729325888014417E-4</v>
      </c>
      <c r="D7" s="45">
        <f>Results!K18</f>
        <v>5.7483988841252023E-8</v>
      </c>
      <c r="E7" s="45">
        <f>Results!L18</f>
        <v>15.493940678339676</v>
      </c>
      <c r="F7" s="34" t="s">
        <v>120</v>
      </c>
      <c r="G7" s="34" t="s">
        <v>608</v>
      </c>
      <c r="H7" s="65">
        <f>Results!H18</f>
        <v>7.1622240951078387E-4</v>
      </c>
      <c r="I7" s="65">
        <f>Results!M18</f>
        <v>3.2876481405687779E-4</v>
      </c>
      <c r="J7" s="65">
        <f>Results!N18</f>
        <v>4.294645568007828E-3</v>
      </c>
      <c r="K7" s="92" t="s">
        <v>681</v>
      </c>
      <c r="L7" s="156">
        <f t="shared" si="2"/>
        <v>0.95711460837752926</v>
      </c>
      <c r="M7" s="156">
        <f t="shared" si="3"/>
        <v>0.83281440353312364</v>
      </c>
      <c r="N7" s="156">
        <f t="shared" si="4"/>
        <v>0.37265462073027661</v>
      </c>
      <c r="O7" s="156">
        <f t="shared" si="5"/>
        <v>0.47089019617052458</v>
      </c>
      <c r="P7" s="156">
        <f t="shared" si="6"/>
        <v>0.64433982076087892</v>
      </c>
      <c r="Q7" s="156">
        <f t="shared" si="7"/>
        <v>0.99518612453060507</v>
      </c>
      <c r="R7" s="156">
        <f t="shared" si="8"/>
        <v>0.66905158310972856</v>
      </c>
      <c r="S7" s="156">
        <f t="shared" si="0"/>
        <v>0.37265462073027661</v>
      </c>
      <c r="T7" s="156">
        <f t="shared" si="1"/>
        <v>0.99518612453060507</v>
      </c>
      <c r="U7" s="244"/>
    </row>
    <row r="8" spans="1:21" ht="20" customHeight="1" x14ac:dyDescent="0.2">
      <c r="A8" s="83" t="s">
        <v>120</v>
      </c>
      <c r="B8" s="83" t="s">
        <v>670</v>
      </c>
      <c r="C8" s="45">
        <f>Results!G19</f>
        <v>1.9440268164338995E-5</v>
      </c>
      <c r="D8" s="45">
        <f>Results!K19</f>
        <v>9.5911587042162362E-9</v>
      </c>
      <c r="E8" s="45">
        <f>Results!L19</f>
        <v>2.6978563579608066</v>
      </c>
      <c r="F8" s="34" t="s">
        <v>120</v>
      </c>
      <c r="G8" s="34" t="s">
        <v>670</v>
      </c>
      <c r="H8" s="65">
        <f>Results!H19</f>
        <v>5.2560267251078926E-4</v>
      </c>
      <c r="I8" s="65">
        <f>Results!M19</f>
        <v>2.3910895737804219E-4</v>
      </c>
      <c r="J8" s="65">
        <f>Results!N19</f>
        <v>3.2078838205789116E-3</v>
      </c>
      <c r="K8" s="92" t="s">
        <v>920</v>
      </c>
      <c r="L8" s="156">
        <f t="shared" si="2"/>
        <v>50.879668452890385</v>
      </c>
      <c r="M8" s="156">
        <f t="shared" si="3"/>
        <v>12.58118438153476</v>
      </c>
      <c r="N8" s="156">
        <f t="shared" si="4"/>
        <v>0.44224181432728688</v>
      </c>
      <c r="O8" s="156">
        <f t="shared" si="5"/>
        <v>1.2564426435287126</v>
      </c>
      <c r="P8" s="156">
        <f t="shared" si="6"/>
        <v>3.2745173904100597</v>
      </c>
      <c r="Q8" s="156">
        <f t="shared" si="7"/>
        <v>698.43657647937516</v>
      </c>
      <c r="R8" s="156">
        <f t="shared" si="8"/>
        <v>9.6617788170626984</v>
      </c>
      <c r="S8" s="156">
        <f t="shared" si="0"/>
        <v>0.44224181432728688</v>
      </c>
      <c r="T8" s="156">
        <f t="shared" si="1"/>
        <v>698.43657647937516</v>
      </c>
      <c r="U8" s="244"/>
    </row>
    <row r="9" spans="1:21" ht="20" customHeight="1" x14ac:dyDescent="0.2">
      <c r="A9" s="83" t="s">
        <v>120</v>
      </c>
      <c r="B9" s="83" t="s">
        <v>671</v>
      </c>
      <c r="C9" s="45">
        <f>Results!G20</f>
        <v>2.9766220932849148E-10</v>
      </c>
      <c r="D9" s="45">
        <f>Results!K20</f>
        <v>7.3444776317322228E-20</v>
      </c>
      <c r="E9" s="45">
        <f>Results!L20</f>
        <v>3.3547876756806999E-3</v>
      </c>
      <c r="F9" s="34" t="s">
        <v>120</v>
      </c>
      <c r="G9" s="34" t="s">
        <v>671</v>
      </c>
      <c r="H9" s="65">
        <f>Results!H20</f>
        <v>9.8872891934846861E-6</v>
      </c>
      <c r="I9" s="65">
        <f>Results!M20</f>
        <v>4.0216292970091467E-6</v>
      </c>
      <c r="J9" s="65">
        <f>Results!N20</f>
        <v>3.1786465344196265E-5</v>
      </c>
      <c r="K9" s="92" t="s">
        <v>682</v>
      </c>
      <c r="L9" s="156">
        <f t="shared" si="2"/>
        <v>16.645286803766208</v>
      </c>
      <c r="M9" s="156">
        <f t="shared" si="3"/>
        <v>3.5915204099675155</v>
      </c>
      <c r="N9" s="156">
        <f t="shared" si="4"/>
        <v>0.36269455986837207</v>
      </c>
      <c r="O9" s="156">
        <f t="shared" si="5"/>
        <v>0.72699036643200299</v>
      </c>
      <c r="P9" s="156">
        <f t="shared" si="6"/>
        <v>1.4436562253524197</v>
      </c>
      <c r="Q9" s="156">
        <f t="shared" si="7"/>
        <v>134.82257640520913</v>
      </c>
      <c r="R9" s="156">
        <f t="shared" si="8"/>
        <v>3.8119244811639823</v>
      </c>
      <c r="S9" s="156">
        <f t="shared" si="0"/>
        <v>0.36269455986837207</v>
      </c>
      <c r="T9" s="156">
        <f t="shared" si="1"/>
        <v>134.82257640520913</v>
      </c>
      <c r="U9" s="244"/>
    </row>
    <row r="10" spans="1:21" ht="20" customHeight="1" x14ac:dyDescent="0.2">
      <c r="A10" s="83" t="s">
        <v>120</v>
      </c>
      <c r="B10" s="83" t="s">
        <v>672</v>
      </c>
      <c r="C10" s="45">
        <f>Results!G21</f>
        <v>0</v>
      </c>
      <c r="D10" s="45">
        <f>Results!K21</f>
        <v>0</v>
      </c>
      <c r="E10" s="45">
        <f>Results!L21</f>
        <v>0</v>
      </c>
      <c r="F10" s="34" t="s">
        <v>120</v>
      </c>
      <c r="G10" s="34" t="s">
        <v>672</v>
      </c>
      <c r="H10" s="65">
        <f>Results!H21</f>
        <v>3.0222488923923055E-5</v>
      </c>
      <c r="I10" s="65">
        <f>Results!M21</f>
        <v>9.6101014084155863E-6</v>
      </c>
      <c r="J10" s="65">
        <f>Results!N21</f>
        <v>1.1904133473498383E-4</v>
      </c>
      <c r="K10" s="92" t="s">
        <v>904</v>
      </c>
      <c r="L10" s="156">
        <f>$H$5/H4</f>
        <v>1.5120397287234948</v>
      </c>
      <c r="M10" s="156">
        <f>$H$12/H11</f>
        <v>10.096983699271892</v>
      </c>
      <c r="N10" s="156">
        <f>$H$19/H18</f>
        <v>4.8648344478052881</v>
      </c>
      <c r="O10" s="156">
        <f>$H$26/H25</f>
        <v>6.8249138649714389</v>
      </c>
      <c r="P10" s="156">
        <f>$H$33/H32</f>
        <v>8.2010816602005026</v>
      </c>
      <c r="Q10" s="156">
        <f>$H$40/H39</f>
        <v>0.82390638476838796</v>
      </c>
      <c r="R10" s="156">
        <f t="shared" si="8"/>
        <v>3.8825004709462454</v>
      </c>
      <c r="S10" s="156">
        <f t="shared" si="0"/>
        <v>0.82390638476838796</v>
      </c>
      <c r="T10" s="156">
        <f t="shared" si="1"/>
        <v>10.096983699271892</v>
      </c>
      <c r="U10" s="244">
        <v>6</v>
      </c>
    </row>
    <row r="11" spans="1:21" ht="20" customHeight="1" x14ac:dyDescent="0.2">
      <c r="A11" s="83" t="s">
        <v>125</v>
      </c>
      <c r="B11" s="83" t="s">
        <v>607</v>
      </c>
      <c r="C11" s="45">
        <f>Results!G22</f>
        <v>2.5693898253969685E-6</v>
      </c>
      <c r="D11" s="45">
        <f>Results!K22</f>
        <v>2.5014483014397694E-6</v>
      </c>
      <c r="E11" s="45">
        <f>Results!L22</f>
        <v>2.6387319386478145E-6</v>
      </c>
      <c r="F11" s="34" t="s">
        <v>125</v>
      </c>
      <c r="G11" s="34" t="s">
        <v>607</v>
      </c>
      <c r="H11" s="65">
        <f>Results!H22</f>
        <v>8.8237752297822469E-5</v>
      </c>
      <c r="I11" s="65">
        <f>Results!M22</f>
        <v>4.6740718221520062E-5</v>
      </c>
      <c r="J11" s="65">
        <f>Results!N22</f>
        <v>2.1136191576523179E-4</v>
      </c>
      <c r="K11" s="92" t="s">
        <v>905</v>
      </c>
      <c r="L11" s="156">
        <f>$H$5/H6</f>
        <v>2.1872988426563342</v>
      </c>
      <c r="M11" s="156">
        <f>$H$12/H13</f>
        <v>2.3394377686007353</v>
      </c>
      <c r="N11" s="156">
        <f>$H$19/H20</f>
        <v>1.1437232755142261</v>
      </c>
      <c r="O11" s="156">
        <f>$H$26/H27</f>
        <v>1.5000710559685864</v>
      </c>
      <c r="P11" s="156">
        <f>$H$33/H34</f>
        <v>1.9754970671636347</v>
      </c>
      <c r="Q11" s="156">
        <f>$H$40/H41</f>
        <v>3.046282200153263</v>
      </c>
      <c r="R11" s="156">
        <f t="shared" si="8"/>
        <v>1.9370901027434999</v>
      </c>
      <c r="S11" s="156">
        <f t="shared" si="0"/>
        <v>1.1437232755142261</v>
      </c>
      <c r="T11" s="156">
        <f t="shared" si="1"/>
        <v>3.046282200153263</v>
      </c>
      <c r="U11" s="244"/>
    </row>
    <row r="12" spans="1:21" ht="20" customHeight="1" x14ac:dyDescent="0.2">
      <c r="A12" s="83" t="s">
        <v>125</v>
      </c>
      <c r="B12" s="83" t="s">
        <v>770</v>
      </c>
      <c r="C12" s="45">
        <f>Results!G23</f>
        <v>1.9136761547754783E-7</v>
      </c>
      <c r="D12" s="45">
        <f>Results!K23</f>
        <v>1.8645020558344358E-7</v>
      </c>
      <c r="E12" s="45">
        <f>Results!L23</f>
        <v>1.9654272767147113E-7</v>
      </c>
      <c r="F12" s="34" t="s">
        <v>125</v>
      </c>
      <c r="G12" s="34" t="s">
        <v>770</v>
      </c>
      <c r="H12" s="65">
        <f>Results!H23</f>
        <v>8.9093514661150433E-4</v>
      </c>
      <c r="I12" s="65">
        <f>Results!M23</f>
        <v>1.0493079156711342E-4</v>
      </c>
      <c r="J12" s="65">
        <f>Results!N23</f>
        <v>1.4166500202818141E-2</v>
      </c>
      <c r="K12" s="92" t="s">
        <v>906</v>
      </c>
      <c r="L12" s="156">
        <f t="shared" ref="L12:L15" si="9">$H$5/H7</f>
        <v>1.0620300537325731</v>
      </c>
      <c r="M12" s="156">
        <f t="shared" ref="M12:M15" si="10">$H$12/H14</f>
        <v>3.8074444162573093</v>
      </c>
      <c r="N12" s="156">
        <f t="shared" ref="N12:N15" si="11">$H$19/H21</f>
        <v>1.329943922475052</v>
      </c>
      <c r="O12" s="156">
        <f t="shared" ref="O12:O15" si="12">$H$26/H28</f>
        <v>1.8065797102011152</v>
      </c>
      <c r="P12" s="156">
        <f t="shared" ref="P12:P15" si="13">$H$33/H35</f>
        <v>2.7498694293008388</v>
      </c>
      <c r="Q12" s="156">
        <f t="shared" ref="Q12:Q15" si="14">$H$40/H42</f>
        <v>0.26521880980534523</v>
      </c>
      <c r="R12" s="156">
        <f t="shared" si="8"/>
        <v>1.385892480762444</v>
      </c>
      <c r="S12" s="156">
        <f t="shared" si="0"/>
        <v>0.26521880980534523</v>
      </c>
      <c r="T12" s="156">
        <f t="shared" si="1"/>
        <v>3.8074444162573093</v>
      </c>
      <c r="U12" s="244"/>
    </row>
    <row r="13" spans="1:21" ht="20" customHeight="1" x14ac:dyDescent="0.2">
      <c r="A13" s="83" t="s">
        <v>125</v>
      </c>
      <c r="B13" s="83" t="s">
        <v>771</v>
      </c>
      <c r="C13" s="45">
        <f>Results!G24</f>
        <v>0</v>
      </c>
      <c r="D13" s="45">
        <f>Results!K24</f>
        <v>0</v>
      </c>
      <c r="E13" s="45">
        <f>Results!L24</f>
        <v>0</v>
      </c>
      <c r="F13" s="34" t="s">
        <v>125</v>
      </c>
      <c r="G13" s="34" t="s">
        <v>771</v>
      </c>
      <c r="H13" s="65">
        <f>Results!H24</f>
        <v>3.8083301833003689E-4</v>
      </c>
      <c r="I13" s="65">
        <f>Results!M24</f>
        <v>5.2250519844504706E-5</v>
      </c>
      <c r="J13" s="65">
        <f>Results!N24</f>
        <v>4.5441080126775229E-3</v>
      </c>
      <c r="K13" s="92" t="s">
        <v>921</v>
      </c>
      <c r="L13" s="156">
        <f t="shared" si="9"/>
        <v>1.4471953128084534</v>
      </c>
      <c r="M13" s="156">
        <f t="shared" si="10"/>
        <v>8.4089134569927921</v>
      </c>
      <c r="N13" s="156">
        <f t="shared" si="11"/>
        <v>1.8129030360624643</v>
      </c>
      <c r="O13" s="156">
        <f t="shared" si="12"/>
        <v>3.213785028723334</v>
      </c>
      <c r="P13" s="156">
        <f t="shared" si="13"/>
        <v>5.2842834869789232</v>
      </c>
      <c r="Q13" s="156">
        <f t="shared" si="14"/>
        <v>0.81994020203367357</v>
      </c>
      <c r="R13" s="156">
        <f t="shared" si="8"/>
        <v>2.5975930865108521</v>
      </c>
      <c r="S13" s="156">
        <f t="shared" si="0"/>
        <v>0.81994020203367357</v>
      </c>
      <c r="T13" s="156">
        <f t="shared" si="1"/>
        <v>8.4089134569927921</v>
      </c>
      <c r="U13" s="244"/>
    </row>
    <row r="14" spans="1:21" ht="20" customHeight="1" x14ac:dyDescent="0.2">
      <c r="A14" s="83" t="s">
        <v>125</v>
      </c>
      <c r="B14" s="83" t="s">
        <v>608</v>
      </c>
      <c r="C14" s="45">
        <f>Results!G25</f>
        <v>1.7869260297151172E-3</v>
      </c>
      <c r="D14" s="45">
        <f>Results!K25</f>
        <v>1.7311044960603387E-3</v>
      </c>
      <c r="E14" s="45">
        <f>Results!L25</f>
        <v>1.8421963234583887E-3</v>
      </c>
      <c r="F14" s="34" t="s">
        <v>125</v>
      </c>
      <c r="G14" s="34" t="s">
        <v>608</v>
      </c>
      <c r="H14" s="65">
        <f>Results!H25</f>
        <v>2.3399820173534858E-4</v>
      </c>
      <c r="I14" s="65">
        <f>Results!M25</f>
        <v>1.067732857466025E-4</v>
      </c>
      <c r="J14" s="65">
        <f>Results!N25</f>
        <v>1.1917465257058368E-3</v>
      </c>
      <c r="K14" s="92" t="s">
        <v>922</v>
      </c>
      <c r="L14" s="156">
        <f t="shared" si="9"/>
        <v>76.932080085049748</v>
      </c>
      <c r="M14" s="156">
        <f t="shared" si="10"/>
        <v>127.03201361789058</v>
      </c>
      <c r="N14" s="156">
        <f t="shared" si="11"/>
        <v>2.1514332125992954</v>
      </c>
      <c r="O14" s="156">
        <f t="shared" si="12"/>
        <v>8.5751128183604788</v>
      </c>
      <c r="P14" s="156">
        <f t="shared" si="13"/>
        <v>26.85458451649955</v>
      </c>
      <c r="Q14" s="156">
        <f t="shared" si="14"/>
        <v>575.44635471713161</v>
      </c>
      <c r="R14" s="156">
        <f t="shared" si="8"/>
        <v>37.511860807424391</v>
      </c>
      <c r="S14" s="156">
        <f t="shared" si="0"/>
        <v>2.1514332125992954</v>
      </c>
      <c r="T14" s="156">
        <f t="shared" si="1"/>
        <v>575.44635471713161</v>
      </c>
      <c r="U14" s="244"/>
    </row>
    <row r="15" spans="1:21" ht="20" customHeight="1" x14ac:dyDescent="0.2">
      <c r="A15" s="83" t="s">
        <v>125</v>
      </c>
      <c r="B15" s="83" t="s">
        <v>670</v>
      </c>
      <c r="C15" s="45">
        <f>Results!G26</f>
        <v>2.4634835856023474E-6</v>
      </c>
      <c r="D15" s="45">
        <f>Results!K26</f>
        <v>2.3985708168259662E-6</v>
      </c>
      <c r="E15" s="45">
        <f>Results!L26</f>
        <v>2.530553505947559E-6</v>
      </c>
      <c r="F15" s="34" t="s">
        <v>125</v>
      </c>
      <c r="G15" s="34" t="s">
        <v>670</v>
      </c>
      <c r="H15" s="65">
        <f>Results!H26</f>
        <v>1.0595128028944204E-4</v>
      </c>
      <c r="I15" s="65">
        <f>Results!M26</f>
        <v>6.0977409132405481E-5</v>
      </c>
      <c r="J15" s="65">
        <f>Results!N26</f>
        <v>2.5881523557526412E-4</v>
      </c>
      <c r="K15" s="92" t="s">
        <v>907</v>
      </c>
      <c r="L15" s="156">
        <f t="shared" si="9"/>
        <v>25.168334943291427</v>
      </c>
      <c r="M15" s="156">
        <f t="shared" si="10"/>
        <v>36.263523035044301</v>
      </c>
      <c r="N15" s="156">
        <f t="shared" si="11"/>
        <v>1.7644489888792338</v>
      </c>
      <c r="O15" s="156">
        <f t="shared" si="12"/>
        <v>4.9616466315624441</v>
      </c>
      <c r="P15" s="156">
        <f t="shared" si="13"/>
        <v>11.839542593372013</v>
      </c>
      <c r="Q15" s="156">
        <f t="shared" si="14"/>
        <v>111.08118151117561</v>
      </c>
      <c r="R15" s="156">
        <f t="shared" si="8"/>
        <v>14.799798593330683</v>
      </c>
      <c r="S15" s="156">
        <f t="shared" si="0"/>
        <v>1.7644489888792338</v>
      </c>
      <c r="T15" s="156">
        <f t="shared" si="1"/>
        <v>111.08118151117561</v>
      </c>
      <c r="U15" s="244"/>
    </row>
    <row r="16" spans="1:21" ht="20" customHeight="1" x14ac:dyDescent="0.2">
      <c r="A16" s="83" t="s">
        <v>125</v>
      </c>
      <c r="B16" s="83" t="s">
        <v>671</v>
      </c>
      <c r="C16" s="45">
        <f>Results!G27</f>
        <v>3.2238452669840828E-24</v>
      </c>
      <c r="D16" s="45">
        <f>Results!K27</f>
        <v>3.0144430358737586E-24</v>
      </c>
      <c r="E16" s="45">
        <f>Results!L27</f>
        <v>3.4382223707850219E-24</v>
      </c>
      <c r="F16" s="34" t="s">
        <v>125</v>
      </c>
      <c r="G16" s="34" t="s">
        <v>671</v>
      </c>
      <c r="H16" s="65">
        <f>Results!H27</f>
        <v>7.013469449452459E-6</v>
      </c>
      <c r="I16" s="65">
        <f>Results!M27</f>
        <v>2.342030788873136E-6</v>
      </c>
      <c r="J16" s="65">
        <f>Results!N27</f>
        <v>2.9924950682915027E-5</v>
      </c>
      <c r="K16" s="92" t="s">
        <v>908</v>
      </c>
      <c r="L16" s="156">
        <f>$H$6/H4</f>
        <v>0.69128173034061491</v>
      </c>
      <c r="M16" s="156">
        <f>$H$13/H11</f>
        <v>4.3159873003636688</v>
      </c>
      <c r="N16" s="156">
        <f>$H$20/H18</f>
        <v>4.2535065535131515</v>
      </c>
      <c r="O16" s="156">
        <f>$H$27/H25</f>
        <v>4.5497270531392493</v>
      </c>
      <c r="P16" s="156">
        <f>$H$34/H32</f>
        <v>4.1514015872346466</v>
      </c>
      <c r="Q16" s="156">
        <f>$H$41/H39</f>
        <v>0.27046292189441146</v>
      </c>
      <c r="R16" s="156">
        <f t="shared" ref="R16:R21" si="15">GEOMEAN(L16:Q16)</f>
        <v>2.0042952392598887</v>
      </c>
      <c r="S16" s="156">
        <f t="shared" si="0"/>
        <v>0.27046292189441146</v>
      </c>
      <c r="T16" s="156">
        <f t="shared" si="1"/>
        <v>4.5497270531392493</v>
      </c>
      <c r="U16" s="244">
        <v>4</v>
      </c>
    </row>
    <row r="17" spans="1:21" ht="20" customHeight="1" x14ac:dyDescent="0.2">
      <c r="A17" s="83" t="s">
        <v>125</v>
      </c>
      <c r="B17" s="83" t="s">
        <v>672</v>
      </c>
      <c r="C17" s="45">
        <f>Results!G28</f>
        <v>0</v>
      </c>
      <c r="D17" s="45">
        <f>Results!K28</f>
        <v>0</v>
      </c>
      <c r="E17" s="45">
        <f>Results!L28</f>
        <v>0</v>
      </c>
      <c r="F17" s="34" t="s">
        <v>125</v>
      </c>
      <c r="G17" s="34" t="s">
        <v>672</v>
      </c>
      <c r="H17" s="65">
        <f>Results!H28</f>
        <v>2.4568356079207291E-5</v>
      </c>
      <c r="I17" s="65">
        <f>Results!M28</f>
        <v>6.0662325757896293E-6</v>
      </c>
      <c r="J17" s="65">
        <f>Results!N28</f>
        <v>1.3644470357646114E-4</v>
      </c>
      <c r="K17" s="92" t="s">
        <v>909</v>
      </c>
      <c r="L17" s="156">
        <f t="shared" ref="L17" si="16">$H$6/H5</f>
        <v>0.45718489878848206</v>
      </c>
      <c r="M17" s="156">
        <f t="shared" ref="M17" si="17">$H$13/H12</f>
        <v>0.42745313144111552</v>
      </c>
      <c r="N17" s="156">
        <f t="shared" ref="N17" si="18">$H$20/H19</f>
        <v>0.87433736936969564</v>
      </c>
      <c r="O17" s="156">
        <f t="shared" ref="O17" si="19">$H$27/H26</f>
        <v>0.66663508773209834</v>
      </c>
      <c r="P17" s="156">
        <f t="shared" ref="P17" si="20">$H$34/H33</f>
        <v>0.50620171329121388</v>
      </c>
      <c r="Q17" s="156">
        <f t="shared" ref="Q17" si="21">$H$41/H40</f>
        <v>0.32826899620451727</v>
      </c>
      <c r="R17" s="156">
        <f t="shared" si="15"/>
        <v>0.51623824755683811</v>
      </c>
      <c r="S17" s="156">
        <f t="shared" si="0"/>
        <v>0.32826899620451727</v>
      </c>
      <c r="T17" s="156">
        <f t="shared" si="1"/>
        <v>0.87433736936969564</v>
      </c>
      <c r="U17" s="244"/>
    </row>
    <row r="18" spans="1:21" ht="20" customHeight="1" x14ac:dyDescent="0.2">
      <c r="A18" s="83" t="s">
        <v>126</v>
      </c>
      <c r="B18" s="83" t="s">
        <v>607</v>
      </c>
      <c r="C18" s="45">
        <f>Results!G29</f>
        <v>7.8039176378872515E-4</v>
      </c>
      <c r="D18" s="45">
        <f>Results!K29</f>
        <v>7.3726609056759193E-6</v>
      </c>
      <c r="E18" s="45">
        <f>Results!L29</f>
        <v>7.8089662230771371E-3</v>
      </c>
      <c r="F18" s="34" t="s">
        <v>138</v>
      </c>
      <c r="G18" s="34" t="s">
        <v>607</v>
      </c>
      <c r="H18" s="77">
        <f>Results!H36</f>
        <v>4.7822786518488986E-5</v>
      </c>
      <c r="I18" s="77">
        <f>Results!M36</f>
        <v>2.1681530842419922E-5</v>
      </c>
      <c r="J18" s="77">
        <f>Results!N36</f>
        <v>1.7666050193814703E-4</v>
      </c>
      <c r="K18" s="92" t="s">
        <v>910</v>
      </c>
      <c r="L18" s="156">
        <f>$H$6/H7</f>
        <v>0.48554410262605258</v>
      </c>
      <c r="M18" s="156">
        <f>$H$13/H14</f>
        <v>1.6275040385171768</v>
      </c>
      <c r="N18" s="156">
        <f>$H$20/H21</f>
        <v>1.1628196705860514</v>
      </c>
      <c r="O18" s="156">
        <f>$H$27/H28</f>
        <v>1.2043294236049493</v>
      </c>
      <c r="P18" s="156">
        <f>$H$34/H35</f>
        <v>1.391988616439217</v>
      </c>
      <c r="Q18" s="156">
        <f>$H$41/H42</f>
        <v>8.7063112469357454E-2</v>
      </c>
      <c r="R18" s="156">
        <f t="shared" si="15"/>
        <v>0.7154507055710031</v>
      </c>
      <c r="S18" s="156">
        <f t="shared" si="0"/>
        <v>8.7063112469357454E-2</v>
      </c>
      <c r="T18" s="156">
        <f t="shared" si="1"/>
        <v>1.6275040385171768</v>
      </c>
      <c r="U18" s="244"/>
    </row>
    <row r="19" spans="1:21" ht="20" customHeight="1" x14ac:dyDescent="0.2">
      <c r="A19" s="83" t="s">
        <v>126</v>
      </c>
      <c r="B19" s="83" t="s">
        <v>770</v>
      </c>
      <c r="C19" s="45">
        <f>Results!G30</f>
        <v>6.4739709971996264E-5</v>
      </c>
      <c r="D19" s="45">
        <f>Results!K30</f>
        <v>1.0434263797572051E-7</v>
      </c>
      <c r="E19" s="45">
        <f>Results!L30</f>
        <v>2.7458511833040682E-3</v>
      </c>
      <c r="F19" s="34" t="s">
        <v>138</v>
      </c>
      <c r="G19" s="34" t="s">
        <v>770</v>
      </c>
      <c r="H19" s="77">
        <f>Results!H37</f>
        <v>2.3264993924518356E-4</v>
      </c>
      <c r="I19" s="77">
        <f>Results!M37</f>
        <v>1.028846045900098E-4</v>
      </c>
      <c r="J19" s="77">
        <f>Results!N37</f>
        <v>7.7429064556557502E-4</v>
      </c>
      <c r="K19" s="92" t="s">
        <v>923</v>
      </c>
      <c r="L19" s="156">
        <f t="shared" ref="L19:L21" si="22">$H$6/H8</f>
        <v>0.66163584261349839</v>
      </c>
      <c r="M19" s="156">
        <f t="shared" ref="M19:M21" si="23">$H$13/H15</f>
        <v>3.5944163892089054</v>
      </c>
      <c r="N19" s="156">
        <f t="shared" ref="N19:N21" si="24">$H$20/H22</f>
        <v>1.5850888714731894</v>
      </c>
      <c r="O19" s="156">
        <f t="shared" ref="O19:O21" si="25">$H$27/H29</f>
        <v>2.1424218645750841</v>
      </c>
      <c r="P19" s="156">
        <f t="shared" ref="P19:P21" si="26">$H$34/H36</f>
        <v>2.6749133546252004</v>
      </c>
      <c r="Q19" s="156">
        <f t="shared" ref="Q19:Q20" si="27">$H$41/H43</f>
        <v>0.26916094706932309</v>
      </c>
      <c r="R19" s="156">
        <f t="shared" si="15"/>
        <v>1.3409769028461205</v>
      </c>
      <c r="S19" s="156">
        <f t="shared" si="0"/>
        <v>0.26916094706932309</v>
      </c>
      <c r="T19" s="156">
        <f t="shared" si="1"/>
        <v>3.5944163892089054</v>
      </c>
      <c r="U19" s="244"/>
    </row>
    <row r="20" spans="1:21" ht="20" customHeight="1" x14ac:dyDescent="0.2">
      <c r="A20" s="83" t="s">
        <v>126</v>
      </c>
      <c r="B20" s="83" t="s">
        <v>771</v>
      </c>
      <c r="C20" s="45">
        <f>Results!G31</f>
        <v>0</v>
      </c>
      <c r="D20" s="45">
        <f>Results!K31</f>
        <v>0</v>
      </c>
      <c r="E20" s="45">
        <f>Results!L31</f>
        <v>0</v>
      </c>
      <c r="F20" s="34" t="s">
        <v>138</v>
      </c>
      <c r="G20" s="34" t="s">
        <v>771</v>
      </c>
      <c r="H20" s="77">
        <f>Results!H38</f>
        <v>2.034145358636533E-4</v>
      </c>
      <c r="I20" s="77">
        <f>Results!M38</f>
        <v>9.0150814068523267E-5</v>
      </c>
      <c r="J20" s="77">
        <f>Results!N38</f>
        <v>6.8431457187151672E-4</v>
      </c>
      <c r="K20" s="92" t="s">
        <v>924</v>
      </c>
      <c r="L20" s="156">
        <f t="shared" si="22"/>
        <v>35.17218524727086</v>
      </c>
      <c r="M20" s="156">
        <f t="shared" si="23"/>
        <v>54.300232014237757</v>
      </c>
      <c r="N20" s="156">
        <f t="shared" si="24"/>
        <v>1.881078455478661</v>
      </c>
      <c r="O20" s="156">
        <f t="shared" si="25"/>
        <v>5.7164710859803787</v>
      </c>
      <c r="P20" s="156">
        <f t="shared" si="26"/>
        <v>13.593836691975776</v>
      </c>
      <c r="Q20" s="156">
        <f t="shared" si="27"/>
        <v>188.90119723254139</v>
      </c>
      <c r="R20" s="156">
        <f t="shared" si="15"/>
        <v>19.365057285820807</v>
      </c>
      <c r="S20" s="156">
        <f t="shared" si="0"/>
        <v>1.881078455478661</v>
      </c>
      <c r="T20" s="156">
        <f t="shared" si="1"/>
        <v>188.90119723254139</v>
      </c>
      <c r="U20" s="244"/>
    </row>
    <row r="21" spans="1:21" ht="20" customHeight="1" x14ac:dyDescent="0.2">
      <c r="A21" s="83" t="s">
        <v>126</v>
      </c>
      <c r="B21" s="83" t="s">
        <v>608</v>
      </c>
      <c r="C21" s="45">
        <f>Results!G32</f>
        <v>5.648260889532436E-3</v>
      </c>
      <c r="D21" s="45">
        <f>Results!K32</f>
        <v>3.1738867464653671E-4</v>
      </c>
      <c r="E21" s="45">
        <f>Results!L32</f>
        <v>3.2541613879259079E-2</v>
      </c>
      <c r="F21" s="34" t="s">
        <v>138</v>
      </c>
      <c r="G21" s="34" t="s">
        <v>608</v>
      </c>
      <c r="H21" s="77">
        <f>Results!H39</f>
        <v>1.7493214211033604E-4</v>
      </c>
      <c r="I21" s="77">
        <f>Results!M39</f>
        <v>7.8811741988566374E-5</v>
      </c>
      <c r="J21" s="77">
        <f>Results!N39</f>
        <v>6.004440987265211E-4</v>
      </c>
      <c r="K21" s="92" t="s">
        <v>911</v>
      </c>
      <c r="L21" s="156">
        <f t="shared" si="22"/>
        <v>11.506582663723307</v>
      </c>
      <c r="M21" s="156">
        <f t="shared" si="23"/>
        <v>15.500956478416713</v>
      </c>
      <c r="N21" s="156">
        <f t="shared" si="24"/>
        <v>1.5427236873236885</v>
      </c>
      <c r="O21" s="156">
        <f t="shared" si="25"/>
        <v>3.3076077375273001</v>
      </c>
      <c r="P21" s="156">
        <f t="shared" si="26"/>
        <v>5.9931967453492136</v>
      </c>
      <c r="Q21" s="156">
        <f>$H$41/H45</f>
        <v>36.464507951885402</v>
      </c>
      <c r="R21" s="156">
        <f t="shared" si="15"/>
        <v>7.6402220900151905</v>
      </c>
      <c r="S21" s="156">
        <f t="shared" si="0"/>
        <v>1.5427236873236885</v>
      </c>
      <c r="T21" s="156">
        <f t="shared" si="1"/>
        <v>36.464507951885402</v>
      </c>
      <c r="U21" s="244"/>
    </row>
    <row r="22" spans="1:21" ht="20" customHeight="1" x14ac:dyDescent="0.2">
      <c r="A22" s="83" t="s">
        <v>126</v>
      </c>
      <c r="B22" s="83" t="s">
        <v>670</v>
      </c>
      <c r="C22" s="45">
        <f>Results!G33</f>
        <v>6.9689697752110672E-4</v>
      </c>
      <c r="D22" s="45">
        <f>Results!K33</f>
        <v>5.7437286803497319E-6</v>
      </c>
      <c r="E22" s="45">
        <f>Results!L33</f>
        <v>6.7971956974839281E-3</v>
      </c>
      <c r="F22" s="34" t="s">
        <v>138</v>
      </c>
      <c r="G22" s="34" t="s">
        <v>670</v>
      </c>
      <c r="H22" s="77">
        <f>Results!H40</f>
        <v>1.2833005109334899E-4</v>
      </c>
      <c r="I22" s="77">
        <f>Results!M40</f>
        <v>5.803774539376736E-5</v>
      </c>
      <c r="J22" s="77">
        <f>Results!N40</f>
        <v>4.2554714442690834E-4</v>
      </c>
      <c r="K22" s="92" t="s">
        <v>912</v>
      </c>
      <c r="L22" s="156">
        <f>$H$7/H4</f>
        <v>1.4237259326224656</v>
      </c>
      <c r="M22" s="156">
        <f>$H$14/H11</f>
        <v>2.6519057392299779</v>
      </c>
      <c r="N22" s="156">
        <f>$H$21/H18</f>
        <v>3.6579244925994585</v>
      </c>
      <c r="O22" s="156">
        <f>$H$28/H25</f>
        <v>3.7778094298488849</v>
      </c>
      <c r="P22" s="156">
        <f>$H$35/H32</f>
        <v>2.9823531156843504</v>
      </c>
      <c r="Q22" s="156">
        <f>$H$42/H39</f>
        <v>3.1065156554057611</v>
      </c>
      <c r="R22" s="156">
        <f t="shared" ref="R22:R27" si="28">GEOMEAN(L22:Q22)</f>
        <v>2.8014442136307007</v>
      </c>
      <c r="S22" s="156">
        <f t="shared" si="0"/>
        <v>1.4237259326224656</v>
      </c>
      <c r="T22" s="156">
        <f t="shared" si="1"/>
        <v>3.7778094298488849</v>
      </c>
      <c r="U22" s="244">
        <v>5</v>
      </c>
    </row>
    <row r="23" spans="1:21" ht="20" customHeight="1" x14ac:dyDescent="0.2">
      <c r="A23" s="83" t="s">
        <v>126</v>
      </c>
      <c r="B23" s="83" t="s">
        <v>671</v>
      </c>
      <c r="C23" s="45">
        <f>Results!G34</f>
        <v>1.0006302739763458E-8</v>
      </c>
      <c r="D23" s="45">
        <f>Results!K34</f>
        <v>2.9286028984808094E-14</v>
      </c>
      <c r="E23" s="45">
        <f>Results!L34</f>
        <v>1.3338508114071143E-5</v>
      </c>
      <c r="F23" s="34" t="s">
        <v>138</v>
      </c>
      <c r="G23" s="34" t="s">
        <v>671</v>
      </c>
      <c r="H23" s="77">
        <f>Results!H41</f>
        <v>1.081371886808901E-4</v>
      </c>
      <c r="I23" s="77">
        <f>Results!M41</f>
        <v>4.7705149722021326E-5</v>
      </c>
      <c r="J23" s="77">
        <f>Results!N41</f>
        <v>3.3303909101891743E-4</v>
      </c>
      <c r="K23" s="92" t="s">
        <v>914</v>
      </c>
      <c r="L23" s="156">
        <f t="shared" ref="L23:L24" si="29">$H$7/H5</f>
        <v>0.94159293937627808</v>
      </c>
      <c r="M23" s="156">
        <f t="shared" ref="M23:M24" si="30">$H$14/H12</f>
        <v>0.26264336144478584</v>
      </c>
      <c r="N23" s="156">
        <f t="shared" ref="N23:N24" si="31">$H$21/H19</f>
        <v>0.75191140250408461</v>
      </c>
      <c r="O23" s="156">
        <f t="shared" ref="O23:O24" si="32">$H$28/H26</f>
        <v>0.55353217704890323</v>
      </c>
      <c r="P23" s="156">
        <f t="shared" ref="P23:P24" si="33">$H$35/H33</f>
        <v>0.36365363000317169</v>
      </c>
      <c r="Q23" s="156">
        <f t="shared" ref="Q23:Q24" si="34">$H$42/H40</f>
        <v>3.7704716371132965</v>
      </c>
      <c r="R23" s="156">
        <f t="shared" si="28"/>
        <v>0.72155669641114839</v>
      </c>
      <c r="S23" s="156">
        <f t="shared" si="0"/>
        <v>0.26264336144478584</v>
      </c>
      <c r="T23" s="156">
        <f t="shared" si="1"/>
        <v>3.7704716371132965</v>
      </c>
      <c r="U23" s="244"/>
    </row>
    <row r="24" spans="1:21" ht="20" customHeight="1" x14ac:dyDescent="0.2">
      <c r="A24" s="83" t="s">
        <v>126</v>
      </c>
      <c r="B24" s="83" t="s">
        <v>672</v>
      </c>
      <c r="C24" s="45">
        <f>Results!G35</f>
        <v>0</v>
      </c>
      <c r="D24" s="45">
        <f>Results!K35</f>
        <v>0</v>
      </c>
      <c r="E24" s="45">
        <f>Results!L35</f>
        <v>0</v>
      </c>
      <c r="F24" s="34" t="s">
        <v>138</v>
      </c>
      <c r="G24" s="34" t="s">
        <v>672</v>
      </c>
      <c r="H24" s="77">
        <f>Results!H42</f>
        <v>1.3185415997373845E-4</v>
      </c>
      <c r="I24" s="77">
        <f>Results!M42</f>
        <v>5.9476387788428719E-5</v>
      </c>
      <c r="J24" s="77">
        <f>Results!N42</f>
        <v>4.3450996794595806E-4</v>
      </c>
      <c r="K24" s="92" t="s">
        <v>913</v>
      </c>
      <c r="L24" s="156">
        <f t="shared" si="29"/>
        <v>2.0595451465511085</v>
      </c>
      <c r="M24" s="156">
        <f t="shared" si="30"/>
        <v>0.61443779943618604</v>
      </c>
      <c r="N24" s="156">
        <f t="shared" si="31"/>
        <v>0.85997857216846729</v>
      </c>
      <c r="O24" s="156">
        <f t="shared" si="32"/>
        <v>0.83033759733833878</v>
      </c>
      <c r="P24" s="156">
        <f t="shared" si="33"/>
        <v>0.71839667953467512</v>
      </c>
      <c r="Q24" s="156">
        <f t="shared" si="34"/>
        <v>11.485920634320969</v>
      </c>
      <c r="R24" s="156">
        <f t="shared" si="28"/>
        <v>1.3977203351863317</v>
      </c>
      <c r="S24" s="156">
        <f t="shared" si="0"/>
        <v>0.61443779943618604</v>
      </c>
      <c r="T24" s="156">
        <f t="shared" si="1"/>
        <v>11.485920634320969</v>
      </c>
      <c r="U24" s="244"/>
    </row>
    <row r="25" spans="1:21" ht="20" customHeight="1" x14ac:dyDescent="0.2">
      <c r="A25" s="4" t="s">
        <v>980</v>
      </c>
      <c r="C25" s="5">
        <f>GEOMEAN(C4, C5, C7:C9)</f>
        <v>3.1750268257752451E-6</v>
      </c>
      <c r="F25" s="34" t="s">
        <v>190</v>
      </c>
      <c r="G25" s="34" t="s">
        <v>607</v>
      </c>
      <c r="H25" s="65">
        <f>Results!H43</f>
        <v>4.7932639507214858E-5</v>
      </c>
      <c r="I25" s="65">
        <f>Results!M43</f>
        <v>3.1434683285200113E-5</v>
      </c>
      <c r="J25" s="65">
        <f>Results!N43</f>
        <v>1.851490901506442E-4</v>
      </c>
      <c r="K25" s="92" t="s">
        <v>925</v>
      </c>
      <c r="L25" s="156">
        <f>$H$7/H8</f>
        <v>1.3626688884388838</v>
      </c>
      <c r="M25" s="156">
        <f>$H$14/H15</f>
        <v>2.2085452964428813</v>
      </c>
      <c r="N25" s="156">
        <f>$H$21/H22</f>
        <v>1.3631424644496406</v>
      </c>
      <c r="O25" s="156">
        <f>$H$28/H29</f>
        <v>1.7789334235163989</v>
      </c>
      <c r="P25" s="156">
        <f>$H$35/H36</f>
        <v>1.921648872005703</v>
      </c>
      <c r="Q25" s="156">
        <f>$H$42/H43</f>
        <v>3.091561275896912</v>
      </c>
      <c r="R25" s="156">
        <f t="shared" si="28"/>
        <v>1.8743106861232086</v>
      </c>
      <c r="S25" s="156">
        <f t="shared" si="0"/>
        <v>1.3626688884388838</v>
      </c>
      <c r="T25" s="156">
        <f t="shared" si="1"/>
        <v>3.091561275896912</v>
      </c>
      <c r="U25" s="244"/>
    </row>
    <row r="26" spans="1:21" ht="20" customHeight="1" x14ac:dyDescent="0.2">
      <c r="A26" s="4" t="s">
        <v>981</v>
      </c>
      <c r="C26" s="5">
        <f>GEOMEAN(C11, C12, C14:C16)</f>
        <v>1.4748429498922932E-9</v>
      </c>
      <c r="F26" s="34" t="s">
        <v>190</v>
      </c>
      <c r="G26" s="34" t="s">
        <v>770</v>
      </c>
      <c r="H26" s="65">
        <f>Results!H44</f>
        <v>3.2713613595746843E-4</v>
      </c>
      <c r="I26" s="65">
        <f>Results!M44</f>
        <v>9.8087267353541986E-5</v>
      </c>
      <c r="J26" s="65">
        <f>Results!N44</f>
        <v>1.9633844570180461E-3</v>
      </c>
      <c r="K26" s="92" t="s">
        <v>926</v>
      </c>
      <c r="L26" s="156">
        <f t="shared" ref="L26:L27" si="35">$H$7/H9</f>
        <v>72.438703419613205</v>
      </c>
      <c r="M26" s="156">
        <f t="shared" ref="M26:M27" si="36">$H$14/H16</f>
        <v>33.364115067702592</v>
      </c>
      <c r="N26" s="156">
        <f t="shared" ref="N26:N27" si="37">$H$21/H23</f>
        <v>1.6176871642794046</v>
      </c>
      <c r="O26" s="156">
        <f t="shared" ref="O26:O27" si="38">$H$28/H30</f>
        <v>4.7466008667870314</v>
      </c>
      <c r="P26" s="156">
        <f t="shared" ref="P26:P27" si="39">$H$35/H37</f>
        <v>9.7657671416520309</v>
      </c>
      <c r="Q26" s="156">
        <f t="shared" ref="Q26:Q27" si="40">$H$42/H44</f>
        <v>2169.7041591411821</v>
      </c>
      <c r="R26" s="156">
        <f t="shared" si="28"/>
        <v>27.066934360439973</v>
      </c>
      <c r="S26" s="156">
        <f t="shared" si="0"/>
        <v>1.6176871642794046</v>
      </c>
      <c r="T26" s="156">
        <f t="shared" si="1"/>
        <v>2169.7041591411821</v>
      </c>
      <c r="U26" s="244"/>
    </row>
    <row r="27" spans="1:21" ht="20" customHeight="1" x14ac:dyDescent="0.2">
      <c r="A27" s="4" t="s">
        <v>982</v>
      </c>
      <c r="C27" s="5">
        <f>GEOMEAN(C18, C19, C21:C23)</f>
        <v>7.2404920137367185E-5</v>
      </c>
      <c r="F27" s="34" t="s">
        <v>190</v>
      </c>
      <c r="G27" s="34" t="s">
        <v>771</v>
      </c>
      <c r="H27" s="65">
        <f>Results!H45</f>
        <v>2.1808042669434663E-4</v>
      </c>
      <c r="I27" s="65">
        <f>Results!M45</f>
        <v>6.7298007156842236E-5</v>
      </c>
      <c r="J27" s="65">
        <f>Results!N45</f>
        <v>1.1094484667293644E-3</v>
      </c>
      <c r="K27" s="92" t="s">
        <v>683</v>
      </c>
      <c r="L27" s="156">
        <f t="shared" si="35"/>
        <v>23.698326478460466</v>
      </c>
      <c r="M27" s="156">
        <f t="shared" si="36"/>
        <v>9.5243735877544573</v>
      </c>
      <c r="N27" s="156">
        <f t="shared" si="37"/>
        <v>1.3267093138750987</v>
      </c>
      <c r="O27" s="156">
        <f t="shared" si="38"/>
        <v>2.746431061716117</v>
      </c>
      <c r="P27" s="156">
        <f t="shared" si="39"/>
        <v>4.3054926416568975</v>
      </c>
      <c r="Q27" s="156">
        <f t="shared" si="40"/>
        <v>418.82844430492156</v>
      </c>
      <c r="R27" s="156">
        <f t="shared" si="28"/>
        <v>10.678893780554048</v>
      </c>
      <c r="S27" s="156">
        <f t="shared" si="0"/>
        <v>1.3267093138750987</v>
      </c>
      <c r="T27" s="156">
        <f t="shared" si="1"/>
        <v>418.82844430492156</v>
      </c>
      <c r="U27" s="244"/>
    </row>
    <row r="28" spans="1:21" ht="20" customHeight="1" x14ac:dyDescent="0.2">
      <c r="C28" s="5"/>
      <c r="F28" s="34" t="s">
        <v>190</v>
      </c>
      <c r="G28" s="34" t="s">
        <v>608</v>
      </c>
      <c r="H28" s="65">
        <f>Results!H46</f>
        <v>1.8108037752790349E-4</v>
      </c>
      <c r="I28" s="65">
        <f>Results!M46</f>
        <v>9.1934338253668515E-5</v>
      </c>
      <c r="J28" s="65">
        <f>Results!N46</f>
        <v>6.5709459776274078E-4</v>
      </c>
      <c r="K28" s="92" t="s">
        <v>915</v>
      </c>
      <c r="L28" s="156">
        <f>$H$8/H4</f>
        <v>1.0448069554545498</v>
      </c>
      <c r="M28" s="156">
        <f>$H$15/H11</f>
        <v>1.2007477245321525</v>
      </c>
      <c r="N28" s="156">
        <f>$H$22/H18</f>
        <v>2.6834498872986985</v>
      </c>
      <c r="O28" s="156">
        <f>$H$29/H25</f>
        <v>2.1236373322961848</v>
      </c>
      <c r="P28" s="156">
        <f>$H$36/H32</f>
        <v>1.5519760967421417</v>
      </c>
      <c r="Q28" s="156">
        <f>$H$43/H39</f>
        <v>1.0048371609598812</v>
      </c>
      <c r="R28" s="156">
        <f t="shared" ref="R28:R33" si="41">GEOMEAN(L28:Q28)</f>
        <v>1.4946530659893738</v>
      </c>
      <c r="S28" s="156">
        <f t="shared" si="0"/>
        <v>1.0048371609598812</v>
      </c>
      <c r="T28" s="156">
        <f t="shared" si="1"/>
        <v>2.6834498872986985</v>
      </c>
      <c r="U28" s="244">
        <v>3</v>
      </c>
    </row>
    <row r="29" spans="1:21" ht="20" customHeight="1" x14ac:dyDescent="0.2">
      <c r="F29" s="34" t="s">
        <v>190</v>
      </c>
      <c r="G29" s="34" t="s">
        <v>670</v>
      </c>
      <c r="H29" s="65">
        <f>Results!H47</f>
        <v>1.0179154269301648E-4</v>
      </c>
      <c r="I29" s="65">
        <f>Results!M47</f>
        <v>6.3973631863741673E-5</v>
      </c>
      <c r="J29" s="65">
        <f>Results!N47</f>
        <v>2.9877566159024085E-4</v>
      </c>
      <c r="K29" s="92" t="s">
        <v>916</v>
      </c>
      <c r="L29" s="156">
        <f t="shared" ref="L29:L31" si="42">$H$8/H5</f>
        <v>0.69099173494376642</v>
      </c>
      <c r="M29" s="156">
        <f t="shared" ref="M29:M31" si="43">$H$15/H12</f>
        <v>0.11892142844785816</v>
      </c>
      <c r="N29" s="156">
        <f t="shared" ref="N29:N31" si="44">$H$22/H19</f>
        <v>0.55160148121983987</v>
      </c>
      <c r="O29" s="156">
        <f t="shared" ref="O29:O31" si="45">$H$29/H26</f>
        <v>0.31115958007846184</v>
      </c>
      <c r="P29" s="156">
        <f t="shared" ref="P29:P31" si="46">$H$36/H33</f>
        <v>0.18924041498986835</v>
      </c>
      <c r="Q29" s="156">
        <f t="shared" ref="Q29:Q31" si="47">$H$43/H40</f>
        <v>1.2196011337408867</v>
      </c>
      <c r="R29" s="156">
        <f t="shared" si="41"/>
        <v>0.38497176682250239</v>
      </c>
      <c r="S29" s="156">
        <f t="shared" si="0"/>
        <v>0.11892142844785816</v>
      </c>
      <c r="T29" s="156">
        <f t="shared" si="1"/>
        <v>1.2196011337408867</v>
      </c>
      <c r="U29" s="244"/>
    </row>
    <row r="30" spans="1:21" ht="20" customHeight="1" x14ac:dyDescent="0.2">
      <c r="F30" s="34" t="s">
        <v>190</v>
      </c>
      <c r="G30" s="34" t="s">
        <v>671</v>
      </c>
      <c r="H30" s="65">
        <f>Results!H48</f>
        <v>3.8149484780774622E-5</v>
      </c>
      <c r="I30" s="65">
        <f>Results!M48</f>
        <v>1.9894224036175146E-5</v>
      </c>
      <c r="J30" s="65">
        <f>Results!N48</f>
        <v>9.9097893457795625E-5</v>
      </c>
      <c r="K30" s="92" t="s">
        <v>917</v>
      </c>
      <c r="L30" s="156">
        <f t="shared" si="42"/>
        <v>1.5114054221275928</v>
      </c>
      <c r="M30" s="156">
        <f t="shared" si="43"/>
        <v>0.27820928120686927</v>
      </c>
      <c r="N30" s="156">
        <f t="shared" si="44"/>
        <v>0.63087945287925407</v>
      </c>
      <c r="O30" s="156">
        <f t="shared" si="45"/>
        <v>0.46676147986304012</v>
      </c>
      <c r="P30" s="156">
        <f t="shared" si="46"/>
        <v>0.37384388480131409</v>
      </c>
      <c r="Q30" s="156">
        <f t="shared" si="47"/>
        <v>3.7152492250016027</v>
      </c>
      <c r="R30" s="156">
        <f t="shared" si="41"/>
        <v>0.74572499934754788</v>
      </c>
      <c r="S30" s="156">
        <f t="shared" si="0"/>
        <v>0.27820928120686927</v>
      </c>
      <c r="T30" s="156">
        <f t="shared" si="1"/>
        <v>3.7152492250016027</v>
      </c>
      <c r="U30" s="244"/>
    </row>
    <row r="31" spans="1:21" ht="20" customHeight="1" x14ac:dyDescent="0.2">
      <c r="F31" s="34" t="s">
        <v>190</v>
      </c>
      <c r="G31" s="34" t="s">
        <v>672</v>
      </c>
      <c r="H31" s="65">
        <f>Results!H49</f>
        <v>6.5932977547506611E-5</v>
      </c>
      <c r="I31" s="65">
        <f>Results!M49</f>
        <v>2.8824552163838273E-5</v>
      </c>
      <c r="J31" s="65">
        <f>Results!N49</f>
        <v>2.0105940850928728E-4</v>
      </c>
      <c r="K31" s="92" t="s">
        <v>684</v>
      </c>
      <c r="L31" s="156">
        <f t="shared" si="42"/>
        <v>0.73385398939109214</v>
      </c>
      <c r="M31" s="156">
        <f t="shared" si="43"/>
        <v>0.45278672871714071</v>
      </c>
      <c r="N31" s="156">
        <f t="shared" si="44"/>
        <v>0.73359903757656253</v>
      </c>
      <c r="O31" s="156">
        <f t="shared" si="45"/>
        <v>0.56213458400444827</v>
      </c>
      <c r="P31" s="156">
        <f t="shared" si="46"/>
        <v>0.52038643196884316</v>
      </c>
      <c r="Q31" s="156">
        <f t="shared" si="47"/>
        <v>0.32346116112800766</v>
      </c>
      <c r="R31" s="156">
        <f t="shared" si="41"/>
        <v>0.53352947694513886</v>
      </c>
      <c r="S31" s="156">
        <f t="shared" si="0"/>
        <v>0.32346116112800766</v>
      </c>
      <c r="T31" s="156">
        <f t="shared" si="1"/>
        <v>0.73385398939109214</v>
      </c>
      <c r="U31" s="244"/>
    </row>
    <row r="32" spans="1:21" ht="20" customHeight="1" x14ac:dyDescent="0.2">
      <c r="F32" s="34" t="s">
        <v>127</v>
      </c>
      <c r="G32" s="34" t="s">
        <v>607</v>
      </c>
      <c r="H32" s="65">
        <f>Results!H50</f>
        <v>1.1605728953996314E-4</v>
      </c>
      <c r="I32" s="65">
        <f>Results!M50</f>
        <v>1.1414932413472508E-4</v>
      </c>
      <c r="J32" s="65">
        <f>Results!N50</f>
        <v>1.1795616067888373E-4</v>
      </c>
      <c r="K32" s="92" t="s">
        <v>927</v>
      </c>
      <c r="L32" s="156">
        <f>$H$8/H9</f>
        <v>53.159431490801303</v>
      </c>
      <c r="M32" s="156">
        <f>$H$15/H16</f>
        <v>15.106828518047319</v>
      </c>
      <c r="N32" s="156">
        <f>$H$22/H23</f>
        <v>1.1867337468153301</v>
      </c>
      <c r="O32" s="156">
        <f>$H$29/H30</f>
        <v>2.6682285036864819</v>
      </c>
      <c r="P32" s="156">
        <f>$H$36/H37</f>
        <v>5.0819727182828682</v>
      </c>
      <c r="Q32" s="156">
        <f>$H$43/H44</f>
        <v>701.81502662007426</v>
      </c>
      <c r="R32" s="156">
        <f t="shared" si="41"/>
        <v>14.441007331833948</v>
      </c>
      <c r="S32" s="156">
        <f t="shared" si="0"/>
        <v>1.1867337468153301</v>
      </c>
      <c r="T32" s="156">
        <f t="shared" si="1"/>
        <v>701.81502662007426</v>
      </c>
      <c r="U32" s="244"/>
    </row>
    <row r="33" spans="6:21" ht="20" customHeight="1" x14ac:dyDescent="0.2">
      <c r="F33" s="34" t="s">
        <v>127</v>
      </c>
      <c r="G33" s="34" t="s">
        <v>770</v>
      </c>
      <c r="H33" s="65">
        <f>Results!H51</f>
        <v>9.5179530877877129E-4</v>
      </c>
      <c r="I33" s="65">
        <f>Results!M51</f>
        <v>2.1720874250980566E-4</v>
      </c>
      <c r="J33" s="65">
        <f>Results!N51</f>
        <v>1.8154993417255554E-2</v>
      </c>
      <c r="K33" s="92" t="s">
        <v>685</v>
      </c>
      <c r="L33" s="156">
        <f>$H$8/H10</f>
        <v>17.391111428110765</v>
      </c>
      <c r="M33" s="156">
        <f>$H$15/H17</f>
        <v>4.3125099598792778</v>
      </c>
      <c r="N33" s="156">
        <f>$H$22/H24</f>
        <v>0.97327267580263399</v>
      </c>
      <c r="O33" s="156">
        <f>$H$29/H31</f>
        <v>1.5438638823746846</v>
      </c>
      <c r="P33" s="156">
        <f>$H$36/H38</f>
        <v>2.2405199536599421</v>
      </c>
      <c r="Q33" s="156">
        <f>$H$43/H45</f>
        <v>135.474734908307</v>
      </c>
      <c r="R33" s="156">
        <f t="shared" si="41"/>
        <v>5.6975046130916986</v>
      </c>
      <c r="S33" s="156">
        <f t="shared" si="0"/>
        <v>0.97327267580263399</v>
      </c>
      <c r="T33" s="156">
        <f t="shared" si="1"/>
        <v>135.474734908307</v>
      </c>
      <c r="U33" s="244"/>
    </row>
    <row r="34" spans="6:21" ht="20" customHeight="1" x14ac:dyDescent="0.2">
      <c r="F34" s="34" t="s">
        <v>127</v>
      </c>
      <c r="G34" s="34" t="s">
        <v>771</v>
      </c>
      <c r="H34" s="65">
        <f>Results!H52</f>
        <v>4.8180041600635393E-4</v>
      </c>
      <c r="I34" s="65">
        <f>Results!M52</f>
        <v>7.1352226123464073E-5</v>
      </c>
      <c r="J34" s="65">
        <f>Results!N52</f>
        <v>7.4392928205524811E-3</v>
      </c>
      <c r="K34" s="92" t="s">
        <v>686</v>
      </c>
      <c r="L34" s="156">
        <f>$H$9/H4</f>
        <v>1.9654216122219872E-2</v>
      </c>
      <c r="M34" s="156">
        <f>$H$16/H11</f>
        <v>7.9483772725538221E-2</v>
      </c>
      <c r="N34" s="156">
        <f>$H$23/H18</f>
        <v>2.2612063527306732</v>
      </c>
      <c r="O34" s="156">
        <f>$H$30/H25</f>
        <v>0.7958978510881366</v>
      </c>
      <c r="P34" s="156">
        <f>$H$37/H32</f>
        <v>0.30538851402306111</v>
      </c>
      <c r="Q34" s="49">
        <f>$H$44/H39</f>
        <v>1.4317692309883344E-3</v>
      </c>
      <c r="R34" s="156">
        <f t="shared" ref="R34:R39" si="48">GEOMEAN(L34:Q34)</f>
        <v>0.10350060987051372</v>
      </c>
      <c r="S34" s="49">
        <f t="shared" si="0"/>
        <v>1.4317692309883344E-3</v>
      </c>
      <c r="T34" s="156">
        <f t="shared" si="1"/>
        <v>2.2612063527306732</v>
      </c>
      <c r="U34" s="244">
        <v>0</v>
      </c>
    </row>
    <row r="35" spans="6:21" ht="20" customHeight="1" x14ac:dyDescent="0.2">
      <c r="F35" s="34" t="s">
        <v>127</v>
      </c>
      <c r="G35" s="34" t="s">
        <v>608</v>
      </c>
      <c r="H35" s="65">
        <f>Results!H53</f>
        <v>3.4612381905738983E-4</v>
      </c>
      <c r="I35" s="65">
        <f>Results!M53</f>
        <v>1.5934353067754517E-4</v>
      </c>
      <c r="J35" s="65">
        <f>Results!N53</f>
        <v>2.5774806574873953E-3</v>
      </c>
      <c r="K35" s="92" t="s">
        <v>918</v>
      </c>
      <c r="L35" s="156">
        <f t="shared" ref="L35:L38" si="49">$H$9/H5</f>
        <v>1.2998478643687819E-2</v>
      </c>
      <c r="M35" s="156">
        <f t="shared" ref="M35:M38" si="50">$H$16/H12</f>
        <v>7.8720313999585748E-3</v>
      </c>
      <c r="N35" s="156">
        <f t="shared" ref="N35:N38" si="51">$H$23/H19</f>
        <v>0.46480643421499973</v>
      </c>
      <c r="O35" s="156">
        <f t="shared" ref="O35:O38" si="52">$H$30/H26</f>
        <v>0.11661654151754886</v>
      </c>
      <c r="P35" s="156">
        <f t="shared" ref="P35:P38" si="53">$H$37/H33</f>
        <v>3.7237589707842862E-2</v>
      </c>
      <c r="Q35" s="49">
        <f t="shared" ref="Q35:Q38" si="54">$H$44/H40</f>
        <v>1.7377814487878082E-3</v>
      </c>
      <c r="R35" s="156">
        <f t="shared" si="48"/>
        <v>2.6658234981562921E-2</v>
      </c>
      <c r="S35" s="49">
        <f t="shared" si="0"/>
        <v>1.7377814487878082E-3</v>
      </c>
      <c r="T35" s="156">
        <f t="shared" si="1"/>
        <v>0.46480643421499973</v>
      </c>
      <c r="U35" s="244"/>
    </row>
    <row r="36" spans="6:21" ht="20" customHeight="1" x14ac:dyDescent="0.2">
      <c r="F36" s="34" t="s">
        <v>127</v>
      </c>
      <c r="G36" s="34" t="s">
        <v>670</v>
      </c>
      <c r="H36" s="65">
        <f>Results!H54</f>
        <v>1.8011813921870457E-4</v>
      </c>
      <c r="I36" s="65">
        <f>Results!M54</f>
        <v>1.3287509766958587E-4</v>
      </c>
      <c r="J36" s="65">
        <f>Results!N54</f>
        <v>5.1776028683971629E-4</v>
      </c>
      <c r="K36" s="92" t="s">
        <v>919</v>
      </c>
      <c r="L36" s="156">
        <f t="shared" si="49"/>
        <v>2.8431557293631438E-2</v>
      </c>
      <c r="M36" s="156">
        <f t="shared" si="50"/>
        <v>1.841612757267401E-2</v>
      </c>
      <c r="N36" s="156">
        <f t="shared" si="51"/>
        <v>0.53160993742046714</v>
      </c>
      <c r="O36" s="156">
        <f t="shared" si="52"/>
        <v>0.17493309857763401</v>
      </c>
      <c r="P36" s="156">
        <f t="shared" si="53"/>
        <v>7.3562749256086329E-2</v>
      </c>
      <c r="Q36" s="49">
        <f t="shared" si="54"/>
        <v>5.2937726951988494E-3</v>
      </c>
      <c r="R36" s="156">
        <f t="shared" si="48"/>
        <v>5.1639403139396092E-2</v>
      </c>
      <c r="S36" s="49">
        <f t="shared" si="0"/>
        <v>5.2937726951988494E-3</v>
      </c>
      <c r="T36" s="156">
        <f t="shared" si="1"/>
        <v>0.53160993742046714</v>
      </c>
      <c r="U36" s="244"/>
    </row>
    <row r="37" spans="6:21" ht="20" customHeight="1" x14ac:dyDescent="0.2">
      <c r="F37" s="34" t="s">
        <v>127</v>
      </c>
      <c r="G37" s="34" t="s">
        <v>671</v>
      </c>
      <c r="H37" s="65">
        <f>Results!H55</f>
        <v>3.5442563194153494E-5</v>
      </c>
      <c r="I37" s="65">
        <f>Results!M55</f>
        <v>1.2357206811526795E-5</v>
      </c>
      <c r="J37" s="65">
        <f>Results!N55</f>
        <v>1.7655531551618667E-4</v>
      </c>
      <c r="K37" s="92" t="s">
        <v>687</v>
      </c>
      <c r="L37" s="156">
        <f t="shared" si="49"/>
        <v>1.3804774972397477E-2</v>
      </c>
      <c r="M37" s="156">
        <f t="shared" si="50"/>
        <v>2.9972321998374487E-2</v>
      </c>
      <c r="N37" s="156">
        <f t="shared" si="51"/>
        <v>0.61816649231153897</v>
      </c>
      <c r="O37" s="156">
        <f t="shared" si="52"/>
        <v>0.21067707777942973</v>
      </c>
      <c r="P37" s="156">
        <f t="shared" si="53"/>
        <v>0.10239850955844464</v>
      </c>
      <c r="Q37" s="49">
        <f t="shared" si="54"/>
        <v>4.6089232754931099E-4</v>
      </c>
      <c r="R37" s="156">
        <f t="shared" si="48"/>
        <v>3.6945447411346401E-2</v>
      </c>
      <c r="S37" s="49">
        <f t="shared" si="0"/>
        <v>4.6089232754931099E-4</v>
      </c>
      <c r="T37" s="156">
        <f t="shared" si="1"/>
        <v>0.61816649231153897</v>
      </c>
      <c r="U37" s="244"/>
    </row>
    <row r="38" spans="6:21" ht="20" customHeight="1" x14ac:dyDescent="0.2">
      <c r="F38" s="34" t="s">
        <v>127</v>
      </c>
      <c r="G38" s="34" t="s">
        <v>672</v>
      </c>
      <c r="H38" s="65">
        <f>Results!H56</f>
        <v>8.0391222994679142E-5</v>
      </c>
      <c r="I38" s="65">
        <f>Results!M56</f>
        <v>2.0997317752507106E-5</v>
      </c>
      <c r="J38" s="65">
        <f>Results!N56</f>
        <v>5.2668250070995505E-4</v>
      </c>
      <c r="K38" s="92" t="s">
        <v>928</v>
      </c>
      <c r="L38" s="156">
        <f t="shared" si="49"/>
        <v>1.8811337366785794E-2</v>
      </c>
      <c r="M38" s="156">
        <f t="shared" si="50"/>
        <v>6.6195230772981478E-2</v>
      </c>
      <c r="N38" s="156">
        <f t="shared" si="51"/>
        <v>0.84264899576974117</v>
      </c>
      <c r="O38" s="156">
        <f t="shared" si="52"/>
        <v>0.37478049523059159</v>
      </c>
      <c r="P38" s="156">
        <f t="shared" si="53"/>
        <v>0.19677398038805036</v>
      </c>
      <c r="Q38" s="49">
        <f t="shared" si="54"/>
        <v>1.4248768722094453E-3</v>
      </c>
      <c r="R38" s="156">
        <f t="shared" si="48"/>
        <v>6.9247246886689595E-2</v>
      </c>
      <c r="S38" s="49">
        <f t="shared" si="0"/>
        <v>1.4248768722094453E-3</v>
      </c>
      <c r="T38" s="156">
        <f t="shared" si="1"/>
        <v>0.84264899576974117</v>
      </c>
      <c r="U38" s="244"/>
    </row>
    <row r="39" spans="6:21" ht="20" customHeight="1" x14ac:dyDescent="0.2">
      <c r="F39" s="34" t="s">
        <v>137</v>
      </c>
      <c r="G39" s="34" t="s">
        <v>607</v>
      </c>
      <c r="H39" s="65">
        <f>Results!H57</f>
        <v>1.2985715092538608E-5</v>
      </c>
      <c r="I39" s="65">
        <f>Results!M57</f>
        <v>1.2985666626657392E-5</v>
      </c>
      <c r="J39" s="65">
        <f>Results!N57</f>
        <v>1.2985763058899872E-5</v>
      </c>
      <c r="K39" s="92" t="s">
        <v>688</v>
      </c>
      <c r="L39" s="156">
        <f>$H$9/H10</f>
        <v>0.3271500642575555</v>
      </c>
      <c r="M39" s="156">
        <f>$H$16/H17</f>
        <v>0.28546759200498983</v>
      </c>
      <c r="N39" s="156">
        <f>$H$23/H24</f>
        <v>0.82012724287521843</v>
      </c>
      <c r="O39" s="156">
        <f>$H$30/H31</f>
        <v>0.57861007040500811</v>
      </c>
      <c r="P39" s="156">
        <f>$H$37/H38</f>
        <v>0.4408760294205169</v>
      </c>
      <c r="Q39" s="49">
        <f>$H$44/H45</f>
        <v>0.19303481653955223</v>
      </c>
      <c r="R39" s="156">
        <f t="shared" si="48"/>
        <v>0.39453650858081379</v>
      </c>
      <c r="S39" s="49">
        <f t="shared" si="0"/>
        <v>0.19303481653955223</v>
      </c>
      <c r="T39" s="156">
        <f t="shared" si="1"/>
        <v>0.82012724287521843</v>
      </c>
      <c r="U39" s="244"/>
    </row>
    <row r="40" spans="6:21" ht="20" customHeight="1" x14ac:dyDescent="0.2">
      <c r="F40" s="34" t="s">
        <v>137</v>
      </c>
      <c r="G40" s="34" t="s">
        <v>770</v>
      </c>
      <c r="H40" s="65">
        <f>Results!H58</f>
        <v>1.0699013575525776E-5</v>
      </c>
      <c r="I40" s="65">
        <f>Results!M58</f>
        <v>1.0698738471173617E-5</v>
      </c>
      <c r="J40" s="65">
        <f>Results!N58</f>
        <v>1.0699293351999202E-5</v>
      </c>
      <c r="K40" s="92" t="s">
        <v>689</v>
      </c>
      <c r="L40" s="156">
        <f>$H$10/H4</f>
        <v>6.0077066366542704E-2</v>
      </c>
      <c r="M40" s="156">
        <f>$H$17/H11</f>
        <v>0.27843361191118632</v>
      </c>
      <c r="N40" s="156">
        <f>$H$24/H18</f>
        <v>2.7571408856061055</v>
      </c>
      <c r="O40" s="156">
        <f>$H$31/H25</f>
        <v>1.3755340458057255</v>
      </c>
      <c r="P40" s="156">
        <f>$H$38/H32</f>
        <v>0.69268568405603903</v>
      </c>
      <c r="Q40" s="156">
        <f>$H$45/H39</f>
        <v>7.4171553953582738E-3</v>
      </c>
      <c r="R40" s="156">
        <f t="shared" ref="R40:R45" si="55">GEOMEAN(L40:Q40)</f>
        <v>0.26233468289871448</v>
      </c>
      <c r="S40" s="49">
        <f t="shared" si="0"/>
        <v>7.4171553953582738E-3</v>
      </c>
      <c r="T40" s="156">
        <f t="shared" si="1"/>
        <v>2.7571408856061055</v>
      </c>
      <c r="U40" s="244">
        <v>1</v>
      </c>
    </row>
    <row r="41" spans="6:21" ht="20" customHeight="1" x14ac:dyDescent="0.2">
      <c r="F41" s="34" t="s">
        <v>137</v>
      </c>
      <c r="G41" s="34" t="s">
        <v>771</v>
      </c>
      <c r="H41" s="65">
        <f>Results!H59</f>
        <v>3.5121544468163498E-6</v>
      </c>
      <c r="I41" s="65">
        <f>Results!M59</f>
        <v>3.5120629966579831E-6</v>
      </c>
      <c r="J41" s="65">
        <f>Results!N59</f>
        <v>3.5122479025319129E-6</v>
      </c>
      <c r="K41" s="92" t="s">
        <v>929</v>
      </c>
      <c r="L41" s="156">
        <f t="shared" ref="L41:L45" si="56">$H$10/H5</f>
        <v>3.9732465506882815E-2</v>
      </c>
      <c r="M41" s="156">
        <f t="shared" ref="M41:M45" si="57">$H$17/H12</f>
        <v>2.7575919720585922E-2</v>
      </c>
      <c r="N41" s="156">
        <f t="shared" ref="N41:N45" si="58">$H$24/H19</f>
        <v>0.56674917002570491</v>
      </c>
      <c r="O41" s="156">
        <f t="shared" ref="O41:O45" si="59">$H$31/H26</f>
        <v>0.20154599354954378</v>
      </c>
      <c r="P41" s="156">
        <f t="shared" ref="P41:P45" si="60">$H$38/H33</f>
        <v>8.446272245009008E-2</v>
      </c>
      <c r="Q41" s="156">
        <f t="shared" ref="Q41:Q45" si="61">$H$45/H40</f>
        <v>9.0024249507950401E-3</v>
      </c>
      <c r="R41" s="156">
        <f t="shared" si="55"/>
        <v>6.7568487077292766E-2</v>
      </c>
      <c r="S41" s="49">
        <f t="shared" si="0"/>
        <v>9.0024249507950401E-3</v>
      </c>
      <c r="T41" s="156">
        <f t="shared" si="1"/>
        <v>0.56674917002570491</v>
      </c>
      <c r="U41" s="244"/>
    </row>
    <row r="42" spans="6:21" ht="20" customHeight="1" x14ac:dyDescent="0.2">
      <c r="F42" s="34" t="s">
        <v>137</v>
      </c>
      <c r="G42" s="34" t="s">
        <v>608</v>
      </c>
      <c r="H42" s="65">
        <f>Results!H60</f>
        <v>4.0340327231610058E-5</v>
      </c>
      <c r="I42" s="65">
        <f>Results!M60</f>
        <v>4.0340176071999167E-5</v>
      </c>
      <c r="J42" s="65">
        <f>Results!N60</f>
        <v>4.0340476491166758E-5</v>
      </c>
      <c r="K42" s="92" t="s">
        <v>930</v>
      </c>
      <c r="L42" s="156">
        <f t="shared" si="56"/>
        <v>8.6906775819087484E-2</v>
      </c>
      <c r="M42" s="156">
        <f t="shared" si="57"/>
        <v>6.4512148098240532E-2</v>
      </c>
      <c r="N42" s="156">
        <f t="shared" si="58"/>
        <v>0.64820421713676823</v>
      </c>
      <c r="O42" s="156">
        <f t="shared" si="59"/>
        <v>0.30233331137010205</v>
      </c>
      <c r="P42" s="156">
        <f t="shared" si="60"/>
        <v>0.16685586048480902</v>
      </c>
      <c r="Q42" s="156">
        <f t="shared" si="61"/>
        <v>2.7423926885822545E-2</v>
      </c>
      <c r="R42" s="156">
        <f t="shared" si="55"/>
        <v>0.13088624757477588</v>
      </c>
      <c r="S42" s="49">
        <f t="shared" si="0"/>
        <v>2.7423926885822545E-2</v>
      </c>
      <c r="T42" s="156">
        <f t="shared" si="1"/>
        <v>0.64820421713676823</v>
      </c>
      <c r="U42" s="244"/>
    </row>
    <row r="43" spans="6:21" ht="20" customHeight="1" x14ac:dyDescent="0.2">
      <c r="F43" s="34" t="s">
        <v>137</v>
      </c>
      <c r="G43" s="34" t="s">
        <v>670</v>
      </c>
      <c r="H43" s="65">
        <f>Results!H61</f>
        <v>1.3048529086620376E-5</v>
      </c>
      <c r="I43" s="65">
        <f>Results!M61</f>
        <v>1.3048480453330687E-5</v>
      </c>
      <c r="J43" s="65">
        <f>Results!N61</f>
        <v>1.3048577189200322E-5</v>
      </c>
      <c r="K43" s="92" t="s">
        <v>690</v>
      </c>
      <c r="L43" s="156">
        <f t="shared" si="56"/>
        <v>4.2197072477202356E-2</v>
      </c>
      <c r="M43" s="156">
        <f t="shared" si="57"/>
        <v>0.10499378156330468</v>
      </c>
      <c r="N43" s="156">
        <f t="shared" si="58"/>
        <v>0.75374461424346617</v>
      </c>
      <c r="O43" s="156">
        <f t="shared" si="59"/>
        <v>0.36410890261893064</v>
      </c>
      <c r="P43" s="156">
        <f t="shared" si="60"/>
        <v>0.23226145838102433</v>
      </c>
      <c r="Q43" s="156">
        <f t="shared" si="61"/>
        <v>2.3876124308118041E-3</v>
      </c>
      <c r="R43" s="156">
        <f t="shared" si="55"/>
        <v>9.3642658176914403E-2</v>
      </c>
      <c r="S43" s="49">
        <f t="shared" si="0"/>
        <v>2.3876124308118041E-3</v>
      </c>
      <c r="T43" s="156">
        <f t="shared" si="1"/>
        <v>0.75374461424346617</v>
      </c>
      <c r="U43" s="244"/>
    </row>
    <row r="44" spans="6:21" ht="20" customHeight="1" x14ac:dyDescent="0.2">
      <c r="F44" s="34" t="s">
        <v>137</v>
      </c>
      <c r="G44" s="34" t="s">
        <v>671</v>
      </c>
      <c r="H44" s="65">
        <f>Results!H62</f>
        <v>1.8592547311877612E-8</v>
      </c>
      <c r="I44" s="65">
        <f>Results!M62</f>
        <v>1.8592060602074048E-8</v>
      </c>
      <c r="J44" s="65">
        <f>Results!N62</f>
        <v>1.8593025301625466E-8</v>
      </c>
      <c r="K44" s="92" t="s">
        <v>691</v>
      </c>
      <c r="L44" s="156">
        <f t="shared" si="56"/>
        <v>5.7500637847884353E-2</v>
      </c>
      <c r="M44" s="156">
        <f t="shared" si="57"/>
        <v>0.23188352242738788</v>
      </c>
      <c r="N44" s="156">
        <f t="shared" si="58"/>
        <v>1.0274612910254823</v>
      </c>
      <c r="O44" s="156">
        <f t="shared" si="59"/>
        <v>0.6477254966686935</v>
      </c>
      <c r="P44" s="156">
        <f t="shared" si="60"/>
        <v>0.44632496950829498</v>
      </c>
      <c r="Q44" s="156">
        <f t="shared" si="61"/>
        <v>7.3814501329478683E-3</v>
      </c>
      <c r="R44" s="156">
        <f t="shared" si="55"/>
        <v>0.17551543489797355</v>
      </c>
      <c r="S44" s="49">
        <f t="shared" si="0"/>
        <v>7.3814501329478683E-3</v>
      </c>
      <c r="T44" s="156">
        <f t="shared" si="1"/>
        <v>1.0274612910254823</v>
      </c>
      <c r="U44" s="244"/>
    </row>
    <row r="45" spans="6:21" ht="20" customHeight="1" x14ac:dyDescent="0.2">
      <c r="F45" s="34" t="s">
        <v>137</v>
      </c>
      <c r="G45" s="34" t="s">
        <v>672</v>
      </c>
      <c r="H45" s="65">
        <f>Results!H63</f>
        <v>9.6317066761208104E-8</v>
      </c>
      <c r="I45" s="65">
        <f>Results!M63</f>
        <v>9.6314497041844209E-8</v>
      </c>
      <c r="J45" s="65">
        <f>Results!N63</f>
        <v>9.631956585720649E-8</v>
      </c>
      <c r="K45" s="92" t="s">
        <v>692</v>
      </c>
      <c r="L45" s="156">
        <f t="shared" si="56"/>
        <v>3.0567012183519848</v>
      </c>
      <c r="M45" s="156">
        <f t="shared" si="57"/>
        <v>3.503024609471328</v>
      </c>
      <c r="N45" s="156">
        <f t="shared" si="58"/>
        <v>1.2193229876063867</v>
      </c>
      <c r="O45" s="156">
        <f t="shared" si="59"/>
        <v>1.7282796327758911</v>
      </c>
      <c r="P45" s="156">
        <f t="shared" si="60"/>
        <v>2.268211318529588</v>
      </c>
      <c r="Q45" s="156">
        <f t="shared" si="61"/>
        <v>5.1804126215495589</v>
      </c>
      <c r="R45" s="156">
        <f t="shared" si="55"/>
        <v>2.5346196822116598</v>
      </c>
      <c r="S45" s="49">
        <f t="shared" si="0"/>
        <v>1.2193229876063867</v>
      </c>
      <c r="T45" s="156">
        <f t="shared" si="1"/>
        <v>5.1804126215495589</v>
      </c>
      <c r="U45" s="244"/>
    </row>
    <row r="46" spans="6:21" ht="20" customHeight="1" x14ac:dyDescent="0.2">
      <c r="F46" s="4" t="s">
        <v>785</v>
      </c>
      <c r="H46" s="5">
        <f>GEOMEAN(H4:H10)</f>
        <v>2.0452304464973529E-4</v>
      </c>
      <c r="K46" s="242" t="s">
        <v>984</v>
      </c>
      <c r="L46" s="242"/>
      <c r="M46" s="242"/>
      <c r="N46" s="242"/>
      <c r="O46" s="242"/>
      <c r="P46" s="242"/>
      <c r="Q46" s="242"/>
      <c r="R46" s="242"/>
      <c r="S46" s="8"/>
      <c r="T46" s="8"/>
    </row>
    <row r="47" spans="6:21" ht="20" customHeight="1" x14ac:dyDescent="0.2">
      <c r="F47" s="4" t="s">
        <v>786</v>
      </c>
      <c r="H47" s="5">
        <f>GEOMEAN(H11:H17)</f>
        <v>1.0357766655347278E-4</v>
      </c>
      <c r="K47" s="39" t="s">
        <v>701</v>
      </c>
      <c r="L47" s="39" t="s">
        <v>2</v>
      </c>
      <c r="M47" s="39" t="s">
        <v>43</v>
      </c>
      <c r="N47" s="39" t="s">
        <v>126</v>
      </c>
      <c r="O47" s="39" t="s">
        <v>702</v>
      </c>
      <c r="P47" s="39" t="s">
        <v>985</v>
      </c>
      <c r="Q47" s="39" t="s">
        <v>986</v>
      </c>
      <c r="R47" s="176" t="s">
        <v>987</v>
      </c>
      <c r="S47" s="8"/>
      <c r="T47" s="8"/>
    </row>
    <row r="48" spans="6:21" ht="20" customHeight="1" x14ac:dyDescent="0.2">
      <c r="F48" s="4" t="s">
        <v>787</v>
      </c>
      <c r="H48" s="5">
        <f>GEOMEAN(H18:H24)</f>
        <v>1.326952089155586E-4</v>
      </c>
      <c r="K48" s="157" t="s">
        <v>902</v>
      </c>
      <c r="L48" s="157">
        <f>$C$4/C5</f>
        <v>3.5020512323458943</v>
      </c>
      <c r="M48" s="157">
        <f>$C$11/C12</f>
        <v>13.426460997516173</v>
      </c>
      <c r="N48" s="157">
        <f>$C$18/C19</f>
        <v>12.054298113573424</v>
      </c>
      <c r="O48" s="157">
        <f>GEOMEAN(L48:N48)</f>
        <v>8.2757747053133581</v>
      </c>
      <c r="P48" s="157">
        <f>MIN(L48:N48)</f>
        <v>3.5020512323458943</v>
      </c>
      <c r="Q48" s="157">
        <f>MAX(L48:N48)</f>
        <v>13.426460997516173</v>
      </c>
      <c r="R48" s="245">
        <v>3</v>
      </c>
    </row>
    <row r="49" spans="6:18" ht="20" customHeight="1" x14ac:dyDescent="0.2">
      <c r="F49" s="4" t="s">
        <v>788</v>
      </c>
      <c r="H49" s="5">
        <f>GEOMEAN(H25:H31)</f>
        <v>1.0680534837381728E-4</v>
      </c>
      <c r="K49" s="157" t="s">
        <v>680</v>
      </c>
      <c r="L49" s="157">
        <f>$C$4/C7</f>
        <v>7.8185370943815627E-2</v>
      </c>
      <c r="M49" s="157">
        <f>$C$11/C14</f>
        <v>1.4378825886858879E-3</v>
      </c>
      <c r="N49" s="157">
        <f>$C$18/C21</f>
        <v>0.1381649642343851</v>
      </c>
      <c r="O49" s="157">
        <f t="shared" ref="O49:O51" si="62">GEOMEAN(L49:N49)</f>
        <v>2.4950674177274618E-2</v>
      </c>
      <c r="P49" s="157">
        <f t="shared" ref="P49:P51" si="63">MIN(L49:N49)</f>
        <v>1.4378825886858879E-3</v>
      </c>
      <c r="Q49" s="157">
        <f t="shared" ref="Q49:Q51" si="64">MAX(L49:N49)</f>
        <v>0.1381649642343851</v>
      </c>
      <c r="R49" s="245"/>
    </row>
    <row r="50" spans="6:18" ht="20" customHeight="1" x14ac:dyDescent="0.2">
      <c r="F50" s="4" t="s">
        <v>789</v>
      </c>
      <c r="H50" s="5">
        <f>GEOMEAN(H32:H38)</f>
        <v>1.9152673590595249E-4</v>
      </c>
      <c r="K50" s="157" t="s">
        <v>681</v>
      </c>
      <c r="L50" s="157">
        <f t="shared" ref="L50:L51" si="65">$C$4/C8</f>
        <v>1.2760981964756606</v>
      </c>
      <c r="M50" s="157">
        <f t="shared" ref="M50:M51" si="66">$C$11/C15</f>
        <v>1.0429904385860667</v>
      </c>
      <c r="N50" s="157">
        <f t="shared" ref="N50:N51" si="67">$C$18/C22</f>
        <v>1.1198093677556373</v>
      </c>
      <c r="O50" s="157">
        <f t="shared" si="62"/>
        <v>1.1422719338001091</v>
      </c>
      <c r="P50" s="157">
        <f t="shared" si="63"/>
        <v>1.0429904385860667</v>
      </c>
      <c r="Q50" s="157">
        <f t="shared" si="64"/>
        <v>1.2760981964756606</v>
      </c>
      <c r="R50" s="245"/>
    </row>
    <row r="51" spans="6:18" ht="20" customHeight="1" x14ac:dyDescent="0.2">
      <c r="F51" s="4" t="s">
        <v>790</v>
      </c>
      <c r="H51" s="5">
        <f>GEOMEAN(H39:H45)</f>
        <v>2.4009851617664389E-6</v>
      </c>
      <c r="K51" s="157" t="s">
        <v>920</v>
      </c>
      <c r="L51" s="154">
        <f t="shared" si="65"/>
        <v>83341.755742124238</v>
      </c>
      <c r="M51" s="154">
        <f t="shared" si="66"/>
        <v>7.9699539295837248E+17</v>
      </c>
      <c r="N51" s="154">
        <f t="shared" si="67"/>
        <v>77990.021298033709</v>
      </c>
      <c r="O51" s="154">
        <f t="shared" si="62"/>
        <v>1730291064.8176675</v>
      </c>
      <c r="P51" s="154">
        <f t="shared" si="63"/>
        <v>77990.021298033709</v>
      </c>
      <c r="Q51" s="154">
        <f t="shared" si="64"/>
        <v>7.9699539295837248E+17</v>
      </c>
      <c r="R51" s="245"/>
    </row>
    <row r="52" spans="6:18" ht="20" customHeight="1" x14ac:dyDescent="0.2">
      <c r="K52" s="157" t="s">
        <v>904</v>
      </c>
      <c r="L52" s="157">
        <f>$C$5/C4</f>
        <v>0.28554693625373867</v>
      </c>
      <c r="M52" s="157">
        <f>$C$12/C11</f>
        <v>7.4479790332314291E-2</v>
      </c>
      <c r="N52" s="157">
        <f>$C$19/C18</f>
        <v>8.2957961598276425E-2</v>
      </c>
      <c r="O52" s="157">
        <f t="shared" ref="O52:O55" si="68">GEOMEAN(L52:N52)</f>
        <v>0.12083460891678968</v>
      </c>
      <c r="P52" s="157">
        <f t="shared" ref="P52:P55" si="69">MIN(L52:N52)</f>
        <v>7.4479790332314291E-2</v>
      </c>
      <c r="Q52" s="157">
        <f t="shared" ref="Q52:Q55" si="70">MAX(L52:N52)</f>
        <v>0.28554693625373867</v>
      </c>
      <c r="R52" s="245">
        <v>1</v>
      </c>
    </row>
    <row r="53" spans="6:18" ht="20" customHeight="1" x14ac:dyDescent="0.2">
      <c r="K53" s="157" t="s">
        <v>906</v>
      </c>
      <c r="L53" s="157">
        <f>$C$5/C7</f>
        <v>2.2325593132868631E-2</v>
      </c>
      <c r="M53" s="157">
        <f>$C$12/C14</f>
        <v>1.0709319372781024E-4</v>
      </c>
      <c r="N53" s="157">
        <f>$C$19/C21</f>
        <v>1.1461883797183353E-2</v>
      </c>
      <c r="O53" s="154">
        <f t="shared" si="68"/>
        <v>3.0149049564212214E-3</v>
      </c>
      <c r="P53" s="157">
        <f t="shared" si="69"/>
        <v>1.0709319372781024E-4</v>
      </c>
      <c r="Q53" s="157">
        <f t="shared" si="70"/>
        <v>2.2325593132868631E-2</v>
      </c>
      <c r="R53" s="245"/>
    </row>
    <row r="54" spans="6:18" ht="20" customHeight="1" x14ac:dyDescent="0.2">
      <c r="K54" s="157" t="s">
        <v>921</v>
      </c>
      <c r="L54" s="157">
        <f t="shared" ref="L54:L55" si="71">$C$5/C8</f>
        <v>0.36438593036254635</v>
      </c>
      <c r="M54" s="157">
        <f t="shared" ref="M54:M55" si="72">$C$12/C15</f>
        <v>7.7681709184498765E-2</v>
      </c>
      <c r="N54" s="157">
        <f t="shared" ref="N54:N55" si="73">$C$19/C22</f>
        <v>9.2897102527662367E-2</v>
      </c>
      <c r="O54" s="157">
        <f t="shared" si="68"/>
        <v>0.13802598239736125</v>
      </c>
      <c r="P54" s="157">
        <f t="shared" si="69"/>
        <v>7.7681709184498765E-2</v>
      </c>
      <c r="Q54" s="157">
        <f t="shared" si="70"/>
        <v>0.36438593036254635</v>
      </c>
      <c r="R54" s="245"/>
    </row>
    <row r="55" spans="6:18" ht="20" customHeight="1" x14ac:dyDescent="0.2">
      <c r="K55" s="157" t="s">
        <v>922</v>
      </c>
      <c r="L55" s="154">
        <f t="shared" si="71"/>
        <v>23797.983014171008</v>
      </c>
      <c r="M55" s="154">
        <f t="shared" si="72"/>
        <v>5.9360049763360024E+16</v>
      </c>
      <c r="N55" s="154">
        <f t="shared" si="73"/>
        <v>6469.8931918910403</v>
      </c>
      <c r="O55" s="154">
        <f t="shared" si="68"/>
        <v>209079044.12945846</v>
      </c>
      <c r="P55" s="154">
        <f t="shared" si="69"/>
        <v>6469.8931918910403</v>
      </c>
      <c r="Q55" s="154">
        <f t="shared" si="70"/>
        <v>5.9360049763360024E+16</v>
      </c>
      <c r="R55" s="245"/>
    </row>
    <row r="56" spans="6:18" ht="20" customHeight="1" x14ac:dyDescent="0.2">
      <c r="K56" s="157" t="s">
        <v>912</v>
      </c>
      <c r="L56" s="157">
        <f>$C$7/C4</f>
        <v>12.79011646205023</v>
      </c>
      <c r="M56" s="157">
        <f>$C$14/C11</f>
        <v>695.4670762888378</v>
      </c>
      <c r="N56" s="157">
        <f>$C$21/C18</f>
        <v>7.2377248859094641</v>
      </c>
      <c r="O56" s="157">
        <f t="shared" ref="O56:O59" si="74">GEOMEAN(L56:N56)</f>
        <v>40.079077338551933</v>
      </c>
      <c r="P56" s="157">
        <f t="shared" ref="P56:P59" si="75">MIN(L56:N56)</f>
        <v>7.2377248859094641</v>
      </c>
      <c r="Q56" s="157">
        <f t="shared" ref="Q56:Q59" si="76">MAX(L56:N56)</f>
        <v>695.4670762888378</v>
      </c>
      <c r="R56" s="245">
        <v>4</v>
      </c>
    </row>
    <row r="57" spans="6:18" ht="20" customHeight="1" x14ac:dyDescent="0.2">
      <c r="K57" s="157" t="s">
        <v>914</v>
      </c>
      <c r="L57" s="157">
        <f>$C$7/C5</f>
        <v>44.791643117770519</v>
      </c>
      <c r="M57" s="157">
        <f>$C$14/C12</f>
        <v>9337.6615748486856</v>
      </c>
      <c r="N57" s="157">
        <f t="shared" ref="N57" si="77">$C$21/C19</f>
        <v>87.245693438781871</v>
      </c>
      <c r="O57" s="157">
        <f t="shared" si="74"/>
        <v>331.68541445068593</v>
      </c>
      <c r="P57" s="157">
        <f t="shared" si="75"/>
        <v>44.791643117770519</v>
      </c>
      <c r="Q57" s="157">
        <f t="shared" si="76"/>
        <v>9337.6615748486856</v>
      </c>
      <c r="R57" s="245"/>
    </row>
    <row r="58" spans="6:18" ht="20" customHeight="1" x14ac:dyDescent="0.2">
      <c r="K58" s="157" t="s">
        <v>925</v>
      </c>
      <c r="L58" s="157">
        <f>$C$7/C8</f>
        <v>16.321444549935958</v>
      </c>
      <c r="M58" s="157">
        <f>$C$14/C15</f>
        <v>725.36551092066441</v>
      </c>
      <c r="N58" s="157">
        <f>$C$21/C22</f>
        <v>8.1048721284795189</v>
      </c>
      <c r="O58" s="157">
        <f t="shared" si="74"/>
        <v>45.781205176431847</v>
      </c>
      <c r="P58" s="157">
        <f t="shared" si="75"/>
        <v>8.1048721284795189</v>
      </c>
      <c r="Q58" s="157">
        <f t="shared" si="76"/>
        <v>725.36551092066441</v>
      </c>
      <c r="R58" s="245"/>
    </row>
    <row r="59" spans="6:18" ht="20" customHeight="1" x14ac:dyDescent="0.2">
      <c r="K59" s="157" t="s">
        <v>926</v>
      </c>
      <c r="L59" s="154">
        <f>$C$7/C9</f>
        <v>1065950.7620935126</v>
      </c>
      <c r="M59" s="154">
        <f>$C$14/C16</f>
        <v>5.5428405575643274E+20</v>
      </c>
      <c r="N59" s="154">
        <f>$C$21/C23</f>
        <v>564470.31800138764</v>
      </c>
      <c r="O59" s="154">
        <f t="shared" si="74"/>
        <v>69348469405.032669</v>
      </c>
      <c r="P59" s="154">
        <f t="shared" si="75"/>
        <v>564470.31800138764</v>
      </c>
      <c r="Q59" s="154">
        <f t="shared" si="76"/>
        <v>5.5428405575643274E+20</v>
      </c>
      <c r="R59" s="245"/>
    </row>
    <row r="60" spans="6:18" ht="20" customHeight="1" x14ac:dyDescent="0.2">
      <c r="K60" s="157" t="s">
        <v>915</v>
      </c>
      <c r="L60" s="157">
        <f>$C$8/C4</f>
        <v>0.78363875347665946</v>
      </c>
      <c r="M60" s="157">
        <f>$C$15/C11</f>
        <v>0.9587815602179951</v>
      </c>
      <c r="N60" s="157">
        <f>$C$22/C18</f>
        <v>0.89300913958617467</v>
      </c>
      <c r="O60" s="157">
        <f t="shared" ref="O60:O67" si="78">GEOMEAN(L60:N60)</f>
        <v>0.87544828022973575</v>
      </c>
      <c r="P60" s="157">
        <f t="shared" ref="P60:P67" si="79">MIN(L60:N60)</f>
        <v>0.78363875347665946</v>
      </c>
      <c r="Q60" s="157">
        <f t="shared" ref="Q60:Q67" si="80">MAX(L60:N60)</f>
        <v>0.9587815602179951</v>
      </c>
      <c r="R60" s="245">
        <v>2</v>
      </c>
    </row>
    <row r="61" spans="6:18" ht="20" customHeight="1" x14ac:dyDescent="0.2">
      <c r="K61" s="157" t="s">
        <v>916</v>
      </c>
      <c r="L61" s="157">
        <f t="shared" ref="L61" si="81">$C$8/C5</f>
        <v>2.7443430623269358</v>
      </c>
      <c r="M61" s="157">
        <f t="shared" ref="M61" si="82">$C$15/C12</f>
        <v>12.873043223404617</v>
      </c>
      <c r="N61" s="157">
        <f t="shared" ref="N61" si="83">$C$22/C19</f>
        <v>10.764598386717452</v>
      </c>
      <c r="O61" s="157">
        <f t="shared" si="78"/>
        <v>7.2450127333353276</v>
      </c>
      <c r="P61" s="157">
        <f t="shared" si="79"/>
        <v>2.7443430623269358</v>
      </c>
      <c r="Q61" s="157">
        <f t="shared" si="80"/>
        <v>12.873043223404617</v>
      </c>
      <c r="R61" s="245"/>
    </row>
    <row r="62" spans="6:18" ht="20" customHeight="1" x14ac:dyDescent="0.2">
      <c r="K62" s="157" t="s">
        <v>684</v>
      </c>
      <c r="L62" s="157">
        <f>$C$8/C7</f>
        <v>6.1269086626521911E-2</v>
      </c>
      <c r="M62" s="157">
        <f>$C$15/C14</f>
        <v>1.3786153117905453E-3</v>
      </c>
      <c r="N62" s="157">
        <f>$C$22/C21</f>
        <v>0.12338257583190283</v>
      </c>
      <c r="O62" s="157">
        <f t="shared" si="78"/>
        <v>2.184302479906754E-2</v>
      </c>
      <c r="P62" s="157">
        <f t="shared" si="79"/>
        <v>1.3786153117905453E-3</v>
      </c>
      <c r="Q62" s="157">
        <f t="shared" si="80"/>
        <v>0.12338257583190283</v>
      </c>
      <c r="R62" s="245"/>
    </row>
    <row r="63" spans="6:18" ht="20" customHeight="1" x14ac:dyDescent="0.2">
      <c r="K63" s="157" t="s">
        <v>927</v>
      </c>
      <c r="L63" s="154">
        <f>$C$8/C9</f>
        <v>65309.829582314473</v>
      </c>
      <c r="M63" s="154">
        <f>$C$15/C16</f>
        <v>7.6414448634718246E+17</v>
      </c>
      <c r="N63" s="154">
        <f>$C$22/C23</f>
        <v>69645.801815664527</v>
      </c>
      <c r="O63" s="154">
        <f t="shared" si="78"/>
        <v>1514780336.9915054</v>
      </c>
      <c r="P63" s="154">
        <f t="shared" si="79"/>
        <v>65309.829582314473</v>
      </c>
      <c r="Q63" s="154">
        <f t="shared" si="80"/>
        <v>7.6414448634718246E+17</v>
      </c>
      <c r="R63" s="245"/>
    </row>
    <row r="64" spans="6:18" ht="20" customHeight="1" x14ac:dyDescent="0.2">
      <c r="K64" s="157" t="s">
        <v>686</v>
      </c>
      <c r="L64" s="154">
        <f>$C$9/C4</f>
        <v>1.1998787295700805E-5</v>
      </c>
      <c r="M64" s="154">
        <f>$C$16/C11</f>
        <v>1.2547123971295408E-18</v>
      </c>
      <c r="N64" s="154">
        <f>$C$23/C18</f>
        <v>1.2822153185194888E-5</v>
      </c>
      <c r="O64" s="154">
        <f t="shared" si="78"/>
        <v>5.7793744667194281E-10</v>
      </c>
      <c r="P64" s="154">
        <f t="shared" si="79"/>
        <v>1.2547123971295408E-18</v>
      </c>
      <c r="Q64" s="154">
        <f t="shared" si="80"/>
        <v>1.2822153185194888E-5</v>
      </c>
      <c r="R64" s="245">
        <v>0</v>
      </c>
    </row>
    <row r="65" spans="11:18" ht="20" customHeight="1" x14ac:dyDescent="0.2">
      <c r="K65" s="157" t="s">
        <v>918</v>
      </c>
      <c r="L65" s="154">
        <f t="shared" ref="L65" si="84">$C$9/C5</f>
        <v>4.2020367835565264E-5</v>
      </c>
      <c r="M65" s="154">
        <f t="shared" ref="M65" si="85">$C$16/C12</f>
        <v>1.6846347063159806E-17</v>
      </c>
      <c r="N65" s="154">
        <f t="shared" ref="N65" si="86">$C$23/C19</f>
        <v>1.5456205695224421E-4</v>
      </c>
      <c r="O65" s="154">
        <f t="shared" si="78"/>
        <v>4.782880102421053E-9</v>
      </c>
      <c r="P65" s="154">
        <f t="shared" si="79"/>
        <v>1.6846347063159806E-17</v>
      </c>
      <c r="Q65" s="154">
        <f t="shared" si="80"/>
        <v>1.5456205695224421E-4</v>
      </c>
      <c r="R65" s="245"/>
    </row>
    <row r="66" spans="11:18" ht="20" customHeight="1" x14ac:dyDescent="0.2">
      <c r="K66" s="157" t="s">
        <v>687</v>
      </c>
      <c r="L66" s="154">
        <f>$C$9/C7</f>
        <v>9.3812963559030975E-7</v>
      </c>
      <c r="M66" s="154">
        <f>$C$16/C14</f>
        <v>1.8041291096409002E-21</v>
      </c>
      <c r="N66" s="154">
        <f>$C$23/C21</f>
        <v>1.7715723362402585E-6</v>
      </c>
      <c r="O66" s="154">
        <f t="shared" si="78"/>
        <v>1.441992892675767E-11</v>
      </c>
      <c r="P66" s="154">
        <f t="shared" si="79"/>
        <v>1.8041291096409002E-21</v>
      </c>
      <c r="Q66" s="154">
        <f t="shared" si="80"/>
        <v>1.7715723362402585E-6</v>
      </c>
      <c r="R66" s="245"/>
    </row>
    <row r="67" spans="11:18" ht="20" customHeight="1" x14ac:dyDescent="0.2">
      <c r="K67" s="157" t="s">
        <v>928</v>
      </c>
      <c r="L67" s="154">
        <f>$C$9/C8</f>
        <v>1.5311630827938866E-5</v>
      </c>
      <c r="M67" s="154">
        <f>$C$16/C15</f>
        <v>1.308653033381515E-18</v>
      </c>
      <c r="N67" s="154">
        <f>$C$23/C22</f>
        <v>1.4358367251579019E-5</v>
      </c>
      <c r="O67" s="154">
        <f t="shared" si="78"/>
        <v>6.601617248254575E-10</v>
      </c>
      <c r="P67" s="154">
        <f t="shared" si="79"/>
        <v>1.308653033381515E-18</v>
      </c>
      <c r="Q67" s="154">
        <f t="shared" si="80"/>
        <v>1.5311630827938866E-5</v>
      </c>
      <c r="R67" s="245"/>
    </row>
    <row r="68" spans="11:18" ht="20" customHeight="1" x14ac:dyDescent="0.2">
      <c r="L68" s="6"/>
      <c r="M68" s="6"/>
      <c r="N68" s="6"/>
      <c r="O68" s="6"/>
      <c r="P68" s="6"/>
      <c r="Q68" s="6"/>
    </row>
  </sheetData>
  <mergeCells count="16">
    <mergeCell ref="R48:R51"/>
    <mergeCell ref="R52:R55"/>
    <mergeCell ref="R56:R59"/>
    <mergeCell ref="R60:R63"/>
    <mergeCell ref="R64:R67"/>
    <mergeCell ref="A2:E2"/>
    <mergeCell ref="F2:J2"/>
    <mergeCell ref="K46:R46"/>
    <mergeCell ref="K2:U2"/>
    <mergeCell ref="U4:U9"/>
    <mergeCell ref="U10:U15"/>
    <mergeCell ref="U16:U21"/>
    <mergeCell ref="U22:U27"/>
    <mergeCell ref="U28:U33"/>
    <mergeCell ref="U34:U39"/>
    <mergeCell ref="U40:U45"/>
  </mergeCells>
  <phoneticPr fontId="7" type="noConversion"/>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Model interface</vt:lpstr>
      <vt:lpstr>Drop-down lists</vt:lpstr>
      <vt:lpstr>Env. stresses</vt:lpstr>
      <vt:lpstr>Calibration</vt:lpstr>
      <vt:lpstr>Scatterplot</vt:lpstr>
      <vt:lpstr>Uncertainty</vt:lpstr>
      <vt:lpstr>Results</vt:lpstr>
      <vt:lpstr>Rate constants</vt:lpstr>
      <vt:lpstr>Elena2023</vt:lpstr>
      <vt:lpstr>Sankey</vt:lpstr>
      <vt:lpstr>Comparison</vt:lpstr>
      <vt:lpstr>Fig.S2</vt:lpstr>
      <vt:lpstr>EQS 2</vt:lpstr>
      <vt:lpstr>References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Yibo Tang</dc:creator>
  <cp:lastModifiedBy>Nadim Saadi</cp:lastModifiedBy>
  <dcterms:created xsi:type="dcterms:W3CDTF">2024-04-11T14:16:34Z</dcterms:created>
  <dcterms:modified xsi:type="dcterms:W3CDTF">2026-04-07T15:15:07Z</dcterms:modified>
</cp:coreProperties>
</file>