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im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<sst xmlns="http://schemas.openxmlformats.org/spreadsheetml/2006/main" count="107" uniqueCount="100">
  <si>
    <t>Variables</t>
  </si>
  <si>
    <t>Implications</t>
  </si>
  <si>
    <t>Initial value</t>
  </si>
  <si>
    <r>
      <rPr>
        <i/>
        <sz val="10"/>
        <color theme="1"/>
        <rFont val="Times New Roman"/>
        <charset val="134"/>
      </rPr>
      <t>R</t>
    </r>
    <r>
      <rPr>
        <i/>
        <vertAlign val="subscript"/>
        <sz val="10"/>
        <color theme="1"/>
        <rFont val="Times New Roman"/>
        <charset val="134"/>
      </rPr>
      <t>L</t>
    </r>
  </si>
  <si>
    <t>the loan interest rate</t>
  </si>
  <si>
    <t>L</t>
  </si>
  <si>
    <t>the loan volume</t>
  </si>
  <si>
    <t>K</t>
  </si>
  <si>
    <t>the bank equity</t>
  </si>
  <si>
    <t>B</t>
  </si>
  <si>
    <t>the risk-default liquid assets</t>
  </si>
  <si>
    <r>
      <rPr>
        <i/>
        <sz val="10"/>
        <color theme="1"/>
        <rFont val="Times New Roman"/>
        <charset val="134"/>
      </rPr>
      <t>c</t>
    </r>
    <r>
      <rPr>
        <i/>
        <vertAlign val="subscript"/>
        <sz val="10"/>
        <color theme="1"/>
        <rFont val="Times New Roman"/>
        <charset val="134"/>
      </rPr>
      <t>M</t>
    </r>
  </si>
  <si>
    <t>the actual marginal cost of carbon emissions</t>
  </si>
  <si>
    <r>
      <rPr>
        <i/>
        <sz val="10"/>
        <color theme="1"/>
        <rFont val="Times New Roman"/>
        <charset val="134"/>
      </rPr>
      <t>μ</t>
    </r>
    <r>
      <rPr>
        <i/>
        <vertAlign val="subscript"/>
        <sz val="10"/>
        <color theme="1"/>
        <rFont val="Times New Roman"/>
        <charset val="134"/>
      </rPr>
      <t>M</t>
    </r>
  </si>
  <si>
    <t>the manufacturer’s underlying assets with an instantaneous drift</t>
  </si>
  <si>
    <r>
      <rPr>
        <i/>
        <sz val="10"/>
        <color theme="1"/>
        <rFont val="Times New Roman"/>
        <charset val="134"/>
      </rPr>
      <t>σ</t>
    </r>
    <r>
      <rPr>
        <i/>
        <vertAlign val="subscript"/>
        <sz val="10"/>
        <color theme="1"/>
        <rFont val="Times New Roman"/>
        <charset val="134"/>
      </rPr>
      <t>M</t>
    </r>
  </si>
  <si>
    <t>the manufacturer’s underlying assets with an instantaneous volatility</t>
  </si>
  <si>
    <t>ω</t>
  </si>
  <si>
    <t>the degree of greenwashing-related pollutant intensity in production</t>
  </si>
  <si>
    <r>
      <rPr>
        <i/>
        <sz val="10"/>
        <color theme="1"/>
        <rFont val="Times New Roman"/>
        <charset val="134"/>
      </rPr>
      <t>R</t>
    </r>
    <r>
      <rPr>
        <i/>
        <vertAlign val="subscript"/>
        <sz val="10"/>
        <color theme="1"/>
        <rFont val="Times New Roman"/>
        <charset val="134"/>
      </rPr>
      <t>B</t>
    </r>
  </si>
  <si>
    <t>the liquid-asset interest rate</t>
  </si>
  <si>
    <t>δ</t>
  </si>
  <si>
    <t>the barrier ratio of the knock-out value relative to total costs</t>
  </si>
  <si>
    <r>
      <rPr>
        <i/>
        <sz val="10"/>
        <color theme="1"/>
        <rFont val="Times New Roman"/>
        <charset val="134"/>
      </rPr>
      <t>R</t>
    </r>
    <r>
      <rPr>
        <i/>
        <vertAlign val="subscript"/>
        <sz val="10"/>
        <color theme="1"/>
        <rFont val="Times New Roman"/>
        <charset val="134"/>
      </rPr>
      <t>D</t>
    </r>
  </si>
  <si>
    <t>the deposit interest rate</t>
  </si>
  <si>
    <r>
      <rPr>
        <i/>
        <sz val="10"/>
        <color theme="1"/>
        <rFont val="Times New Roman"/>
        <charset val="134"/>
      </rPr>
      <t>K</t>
    </r>
    <r>
      <rPr>
        <i/>
        <vertAlign val="subscript"/>
        <sz val="10"/>
        <color theme="1"/>
        <rFont val="Times New Roman"/>
        <charset val="134"/>
      </rPr>
      <t>M</t>
    </r>
  </si>
  <si>
    <t>the manufacturer equity</t>
  </si>
  <si>
    <t>a</t>
  </si>
  <si>
    <t>the intercept of the demand curve</t>
  </si>
  <si>
    <t>F</t>
  </si>
  <si>
    <t>the fixed cost</t>
  </si>
  <si>
    <t>P</t>
  </si>
  <si>
    <t>the market price</t>
  </si>
  <si>
    <t>Q</t>
  </si>
  <si>
    <t>the product quantity</t>
  </si>
  <si>
    <t>λ</t>
  </si>
  <si>
    <t>the correlation coefficient between products and pollutants</t>
  </si>
  <si>
    <r>
      <rPr>
        <i/>
        <sz val="10"/>
        <color theme="1"/>
        <rFont val="Times New Roman"/>
        <charset val="134"/>
      </rPr>
      <t>Q</t>
    </r>
    <r>
      <rPr>
        <i/>
        <vertAlign val="subscript"/>
        <sz val="10"/>
        <color theme="1"/>
        <rFont val="Times New Roman"/>
        <charset val="134"/>
      </rPr>
      <t>PT</t>
    </r>
  </si>
  <si>
    <t>the pollutant quantity</t>
  </si>
  <si>
    <t>θ</t>
  </si>
  <si>
    <t>the production correlation coefficient</t>
  </si>
  <si>
    <t>TC</t>
  </si>
  <si>
    <t>the total manufacturing cost</t>
  </si>
  <si>
    <t>TC(Q,0)</t>
  </si>
  <si>
    <r>
      <rPr>
        <i/>
        <sz val="10"/>
        <color theme="1"/>
        <rFont val="Times New Roman"/>
        <charset val="134"/>
      </rPr>
      <t>∂TC(Q,Q</t>
    </r>
    <r>
      <rPr>
        <i/>
        <vertAlign val="subscript"/>
        <sz val="10"/>
        <color theme="1"/>
        <rFont val="Times New Roman"/>
        <charset val="134"/>
      </rPr>
      <t>PT</t>
    </r>
    <r>
      <rPr>
        <i/>
        <sz val="10"/>
        <color theme="1"/>
        <rFont val="Times New Roman"/>
        <charset val="134"/>
      </rPr>
      <t>)/∂Q</t>
    </r>
    <r>
      <rPr>
        <i/>
        <vertAlign val="subscript"/>
        <sz val="10"/>
        <color theme="1"/>
        <rFont val="Times New Roman"/>
        <charset val="134"/>
      </rPr>
      <t>PT</t>
    </r>
  </si>
  <si>
    <t xml:space="preserve"> </t>
  </si>
  <si>
    <t>TR</t>
  </si>
  <si>
    <t>the total manufacturing revenue</t>
  </si>
  <si>
    <r>
      <rPr>
        <i/>
        <sz val="10"/>
        <color theme="1"/>
        <rFont val="Times New Roman"/>
        <charset val="134"/>
      </rPr>
      <t>V</t>
    </r>
    <r>
      <rPr>
        <i/>
        <vertAlign val="subscript"/>
        <sz val="10"/>
        <color theme="1"/>
        <rFont val="Times New Roman"/>
        <charset val="134"/>
      </rPr>
      <t>M</t>
    </r>
  </si>
  <si>
    <t>the market value of the manufacturer’s underlying assets</t>
  </si>
  <si>
    <r>
      <rPr>
        <i/>
        <sz val="10"/>
        <color theme="1"/>
        <rFont val="Times New Roman"/>
        <charset val="134"/>
      </rPr>
      <t>ωQ</t>
    </r>
    <r>
      <rPr>
        <i/>
        <vertAlign val="subscript"/>
        <sz val="10"/>
        <color theme="1"/>
        <rFont val="Times New Roman"/>
        <charset val="134"/>
      </rPr>
      <t>PT</t>
    </r>
  </si>
  <si>
    <t>the greenwashing amount conducted by the manufacturer</t>
  </si>
  <si>
    <r>
      <rPr>
        <i/>
        <sz val="10"/>
        <color theme="1"/>
        <rFont val="Times New Roman"/>
        <charset val="134"/>
      </rPr>
      <t>d</t>
    </r>
    <r>
      <rPr>
        <i/>
        <vertAlign val="subscript"/>
        <sz val="10"/>
        <color theme="1"/>
        <rFont val="Times New Roman"/>
        <charset val="134"/>
      </rPr>
      <t>1</t>
    </r>
  </si>
  <si>
    <r>
      <rPr>
        <i/>
        <sz val="10"/>
        <color theme="1"/>
        <rFont val="Times New Roman"/>
        <charset val="134"/>
      </rPr>
      <t>d</t>
    </r>
    <r>
      <rPr>
        <i/>
        <vertAlign val="subscript"/>
        <sz val="10"/>
        <color theme="1"/>
        <rFont val="Times New Roman"/>
        <charset val="134"/>
      </rPr>
      <t>2</t>
    </r>
  </si>
  <si>
    <r>
      <rPr>
        <i/>
        <sz val="10"/>
        <color theme="1"/>
        <rFont val="Times New Roman"/>
        <charset val="134"/>
      </rPr>
      <t>d</t>
    </r>
    <r>
      <rPr>
        <i/>
        <vertAlign val="subscript"/>
        <sz val="10"/>
        <color theme="1"/>
        <rFont val="Times New Roman"/>
        <charset val="134"/>
      </rPr>
      <t>1</t>
    </r>
    <r>
      <rPr>
        <i/>
        <sz val="10"/>
        <color theme="1"/>
        <rFont val="Times New Roman"/>
        <charset val="134"/>
      </rPr>
      <t>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sz val="10"/>
        <color theme="1"/>
        <rFont val="Times New Roman"/>
        <charset val="134"/>
      </rPr>
      <t>+ωσ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vertAlign val="superscript"/>
        <sz val="10"/>
        <color theme="1"/>
        <rFont val="Times New Roman"/>
        <charset val="134"/>
      </rPr>
      <t>2</t>
    </r>
    <r>
      <rPr>
        <i/>
        <sz val="10"/>
        <color theme="1"/>
        <rFont val="宋体"/>
        <charset val="134"/>
      </rPr>
      <t>）</t>
    </r>
  </si>
  <si>
    <r>
      <rPr>
        <i/>
        <sz val="10"/>
        <color theme="1"/>
        <rFont val="Times New Roman"/>
        <charset val="134"/>
      </rPr>
      <t>d</t>
    </r>
    <r>
      <rPr>
        <i/>
        <vertAlign val="subscript"/>
        <sz val="10"/>
        <color theme="1"/>
        <rFont val="Times New Roman"/>
        <charset val="134"/>
      </rPr>
      <t>2</t>
    </r>
    <r>
      <rPr>
        <i/>
        <sz val="10"/>
        <color theme="1"/>
        <rFont val="Times New Roman"/>
        <charset val="134"/>
      </rPr>
      <t>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sz val="10"/>
        <color theme="1"/>
        <rFont val="Times New Roman"/>
        <charset val="134"/>
      </rPr>
      <t>+ωσ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vertAlign val="superscript"/>
        <sz val="10"/>
        <color theme="1"/>
        <rFont val="Times New Roman"/>
        <charset val="134"/>
      </rPr>
      <t>2</t>
    </r>
    <r>
      <rPr>
        <i/>
        <sz val="10"/>
        <color theme="1"/>
        <rFont val="宋体"/>
        <charset val="134"/>
      </rPr>
      <t>）</t>
    </r>
  </si>
  <si>
    <r>
      <rPr>
        <i/>
        <sz val="10"/>
        <color theme="1"/>
        <rFont val="Times New Roman"/>
        <charset val="134"/>
      </rPr>
      <t>N(d1-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σM+ωσM2</t>
    </r>
    <r>
      <rPr>
        <i/>
        <sz val="10"/>
        <color theme="1"/>
        <rFont val="宋体"/>
        <charset val="134"/>
      </rPr>
      <t>）</t>
    </r>
    <r>
      <rPr>
        <i/>
        <sz val="10"/>
        <color theme="1"/>
        <rFont val="Times New Roman"/>
        <charset val="134"/>
      </rPr>
      <t>)</t>
    </r>
  </si>
  <si>
    <r>
      <rPr>
        <i/>
        <sz val="10"/>
        <color theme="1"/>
        <rFont val="Times New Roman"/>
        <charset val="134"/>
      </rPr>
      <t>N(d2-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σM+ωσM2</t>
    </r>
    <r>
      <rPr>
        <i/>
        <sz val="10"/>
        <color theme="1"/>
        <rFont val="宋体"/>
        <charset val="134"/>
      </rPr>
      <t>）</t>
    </r>
    <r>
      <rPr>
        <i/>
        <sz val="10"/>
        <color theme="1"/>
        <rFont val="Times New Roman"/>
        <charset val="134"/>
      </rPr>
      <t>)</t>
    </r>
  </si>
  <si>
    <t>η</t>
  </si>
  <si>
    <r>
      <rPr>
        <sz val="10"/>
        <color theme="1"/>
        <rFont val="Times New Roman"/>
        <charset val="0"/>
      </rPr>
      <t>equal to (R</t>
    </r>
    <r>
      <rPr>
        <vertAlign val="subscript"/>
        <sz val="10"/>
        <color theme="1"/>
        <rFont val="Times New Roman"/>
        <charset val="0"/>
      </rPr>
      <t>B</t>
    </r>
    <r>
      <rPr>
        <sz val="10"/>
        <color theme="1"/>
        <rFont val="Times New Roman"/>
        <charset val="0"/>
      </rPr>
      <t>/(σ</t>
    </r>
    <r>
      <rPr>
        <vertAlign val="subscript"/>
        <sz val="10"/>
        <color theme="1"/>
        <rFont val="Times New Roman"/>
        <charset val="0"/>
      </rPr>
      <t>M</t>
    </r>
    <r>
      <rPr>
        <sz val="10"/>
        <color theme="1"/>
        <rFont val="Times New Roman"/>
        <charset val="0"/>
      </rPr>
      <t>+ωσ</t>
    </r>
    <r>
      <rPr>
        <vertAlign val="subscript"/>
        <sz val="10"/>
        <color theme="1"/>
        <rFont val="Times New Roman"/>
        <charset val="0"/>
      </rPr>
      <t>M</t>
    </r>
    <r>
      <rPr>
        <vertAlign val="superscript"/>
        <sz val="10"/>
        <color theme="1"/>
        <rFont val="Times New Roman"/>
        <charset val="0"/>
      </rPr>
      <t>2)</t>
    </r>
    <r>
      <rPr>
        <sz val="10"/>
        <color theme="1"/>
        <rFont val="Times New Roman"/>
        <charset val="0"/>
      </rPr>
      <t>^2+1/2)</t>
    </r>
  </si>
  <si>
    <t>H</t>
  </si>
  <si>
    <t>the value of the manufacturer’s assets that triggers bankruptcy</t>
  </si>
  <si>
    <r>
      <rPr>
        <i/>
        <sz val="10"/>
        <color theme="1"/>
        <rFont val="Times New Roman"/>
        <charset val="134"/>
      </rPr>
      <t>V</t>
    </r>
    <r>
      <rPr>
        <i/>
        <vertAlign val="subscript"/>
        <sz val="10"/>
        <color theme="1"/>
        <rFont val="Times New Roman"/>
        <charset val="134"/>
      </rPr>
      <t>B</t>
    </r>
  </si>
  <si>
    <r>
      <rPr>
        <i/>
        <sz val="10"/>
        <color theme="1"/>
        <rFont val="Times New Roman"/>
        <charset val="134"/>
      </rPr>
      <t>Z</t>
    </r>
    <r>
      <rPr>
        <i/>
        <vertAlign val="subscript"/>
        <sz val="10"/>
        <color theme="1"/>
        <rFont val="Times New Roman"/>
        <charset val="134"/>
      </rPr>
      <t>B</t>
    </r>
  </si>
  <si>
    <r>
      <rPr>
        <i/>
        <sz val="10"/>
        <color theme="1"/>
        <rFont val="Times New Roman"/>
        <charset val="134"/>
      </rPr>
      <t>c</t>
    </r>
    <r>
      <rPr>
        <i/>
        <vertAlign val="subscript"/>
        <sz val="10"/>
        <color theme="1"/>
        <rFont val="Times New Roman"/>
        <charset val="134"/>
      </rPr>
      <t>1</t>
    </r>
  </si>
  <si>
    <r>
      <rPr>
        <i/>
        <sz val="10"/>
        <color theme="1"/>
        <rFont val="Times New Roman"/>
        <charset val="134"/>
      </rPr>
      <t>c</t>
    </r>
    <r>
      <rPr>
        <i/>
        <vertAlign val="subscript"/>
        <sz val="10"/>
        <color theme="1"/>
        <rFont val="Times New Roman"/>
        <charset val="134"/>
      </rPr>
      <t>2</t>
    </r>
  </si>
  <si>
    <r>
      <rPr>
        <i/>
        <sz val="10"/>
        <color theme="1"/>
        <rFont val="Times New Roman"/>
        <charset val="134"/>
      </rPr>
      <t>c</t>
    </r>
    <r>
      <rPr>
        <i/>
        <vertAlign val="subscript"/>
        <sz val="10"/>
        <color theme="1"/>
        <rFont val="Times New Roman"/>
        <charset val="134"/>
      </rPr>
      <t>3</t>
    </r>
  </si>
  <si>
    <r>
      <rPr>
        <i/>
        <sz val="10"/>
        <color theme="1"/>
        <rFont val="Times New Roman"/>
        <charset val="134"/>
      </rPr>
      <t>c</t>
    </r>
    <r>
      <rPr>
        <i/>
        <vertAlign val="subscript"/>
        <sz val="10"/>
        <color theme="1"/>
        <rFont val="Times New Roman"/>
        <charset val="134"/>
      </rPr>
      <t>4</t>
    </r>
  </si>
  <si>
    <r>
      <rPr>
        <i/>
        <sz val="10"/>
        <color theme="1"/>
        <rFont val="Times New Roman"/>
        <charset val="134"/>
      </rPr>
      <t>c</t>
    </r>
    <r>
      <rPr>
        <i/>
        <vertAlign val="subscript"/>
        <sz val="10"/>
        <color theme="1"/>
        <rFont val="Times New Roman"/>
        <charset val="134"/>
      </rPr>
      <t>1</t>
    </r>
    <r>
      <rPr>
        <i/>
        <sz val="10"/>
        <color theme="1"/>
        <rFont val="Times New Roman"/>
        <charset val="134"/>
      </rPr>
      <t>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sz val="10"/>
        <color theme="1"/>
        <rFont val="Times New Roman"/>
        <charset val="134"/>
      </rPr>
      <t>+ωσ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vertAlign val="superscript"/>
        <sz val="10"/>
        <color theme="1"/>
        <rFont val="Times New Roman"/>
        <charset val="134"/>
      </rPr>
      <t>2</t>
    </r>
    <r>
      <rPr>
        <i/>
        <sz val="10"/>
        <color theme="1"/>
        <rFont val="宋体"/>
        <charset val="134"/>
      </rPr>
      <t>）</t>
    </r>
  </si>
  <si>
    <r>
      <rPr>
        <i/>
        <sz val="10"/>
        <color theme="1"/>
        <rFont val="Times New Roman"/>
        <charset val="134"/>
      </rPr>
      <t>c</t>
    </r>
    <r>
      <rPr>
        <i/>
        <vertAlign val="subscript"/>
        <sz val="10"/>
        <color theme="1"/>
        <rFont val="Times New Roman"/>
        <charset val="134"/>
      </rPr>
      <t>2</t>
    </r>
    <r>
      <rPr>
        <i/>
        <sz val="10"/>
        <color theme="1"/>
        <rFont val="Times New Roman"/>
        <charset val="134"/>
      </rPr>
      <t>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sz val="10"/>
        <color theme="1"/>
        <rFont val="Times New Roman"/>
        <charset val="134"/>
      </rPr>
      <t>+ωσ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vertAlign val="superscript"/>
        <sz val="10"/>
        <color theme="1"/>
        <rFont val="Times New Roman"/>
        <charset val="134"/>
      </rPr>
      <t>2</t>
    </r>
    <r>
      <rPr>
        <i/>
        <sz val="10"/>
        <color theme="1"/>
        <rFont val="宋体"/>
        <charset val="134"/>
      </rPr>
      <t>）</t>
    </r>
  </si>
  <si>
    <r>
      <rPr>
        <i/>
        <sz val="10"/>
        <color theme="1"/>
        <rFont val="Times New Roman"/>
        <charset val="134"/>
      </rPr>
      <t>c</t>
    </r>
    <r>
      <rPr>
        <i/>
        <vertAlign val="subscript"/>
        <sz val="10"/>
        <color theme="1"/>
        <rFont val="Times New Roman"/>
        <charset val="134"/>
      </rPr>
      <t>3</t>
    </r>
    <r>
      <rPr>
        <i/>
        <sz val="10"/>
        <color theme="1"/>
        <rFont val="Times New Roman"/>
        <charset val="134"/>
      </rPr>
      <t>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sz val="10"/>
        <color theme="1"/>
        <rFont val="Times New Roman"/>
        <charset val="134"/>
      </rPr>
      <t>+ωσ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vertAlign val="superscript"/>
        <sz val="10"/>
        <color theme="1"/>
        <rFont val="Times New Roman"/>
        <charset val="134"/>
      </rPr>
      <t>2</t>
    </r>
    <r>
      <rPr>
        <i/>
        <sz val="10"/>
        <color theme="1"/>
        <rFont val="宋体"/>
        <charset val="134"/>
      </rPr>
      <t>）</t>
    </r>
  </si>
  <si>
    <r>
      <rPr>
        <i/>
        <sz val="10"/>
        <color theme="1"/>
        <rFont val="Times New Roman"/>
        <charset val="134"/>
      </rPr>
      <t>c</t>
    </r>
    <r>
      <rPr>
        <i/>
        <vertAlign val="subscript"/>
        <sz val="10"/>
        <color theme="1"/>
        <rFont val="Times New Roman"/>
        <charset val="134"/>
      </rPr>
      <t>4</t>
    </r>
    <r>
      <rPr>
        <i/>
        <sz val="10"/>
        <color theme="1"/>
        <rFont val="Times New Roman"/>
        <charset val="134"/>
      </rPr>
      <t>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sz val="10"/>
        <color theme="1"/>
        <rFont val="Times New Roman"/>
        <charset val="134"/>
      </rPr>
      <t>+ωσ</t>
    </r>
    <r>
      <rPr>
        <i/>
        <vertAlign val="subscript"/>
        <sz val="10"/>
        <color theme="1"/>
        <rFont val="Times New Roman"/>
        <charset val="134"/>
      </rPr>
      <t>M</t>
    </r>
    <r>
      <rPr>
        <i/>
        <vertAlign val="superscript"/>
        <sz val="10"/>
        <color theme="1"/>
        <rFont val="Times New Roman"/>
        <charset val="134"/>
      </rPr>
      <t>2</t>
    </r>
    <r>
      <rPr>
        <i/>
        <sz val="10"/>
        <color theme="1"/>
        <rFont val="宋体"/>
        <charset val="134"/>
      </rPr>
      <t>）</t>
    </r>
  </si>
  <si>
    <t>N(C1)</t>
  </si>
  <si>
    <t>N(C2)</t>
  </si>
  <si>
    <t>N(C3)</t>
  </si>
  <si>
    <t>N(C4)</t>
  </si>
  <si>
    <r>
      <rPr>
        <i/>
        <sz val="10"/>
        <color theme="1"/>
        <rFont val="Times New Roman"/>
        <charset val="134"/>
      </rPr>
      <t>N(c1-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σM+ωσM2</t>
    </r>
    <r>
      <rPr>
        <i/>
        <sz val="10"/>
        <color theme="1"/>
        <rFont val="宋体"/>
        <charset val="134"/>
      </rPr>
      <t>）</t>
    </r>
    <r>
      <rPr>
        <i/>
        <sz val="10"/>
        <color theme="1"/>
        <rFont val="Times New Roman"/>
        <charset val="134"/>
      </rPr>
      <t>)</t>
    </r>
  </si>
  <si>
    <r>
      <rPr>
        <i/>
        <sz val="10"/>
        <color theme="1"/>
        <rFont val="Times New Roman"/>
        <charset val="134"/>
      </rPr>
      <t>N(c2-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σM+ωσM2</t>
    </r>
    <r>
      <rPr>
        <i/>
        <sz val="10"/>
        <color theme="1"/>
        <rFont val="宋体"/>
        <charset val="134"/>
      </rPr>
      <t>）</t>
    </r>
    <r>
      <rPr>
        <i/>
        <sz val="10"/>
        <color theme="1"/>
        <rFont val="Times New Roman"/>
        <charset val="134"/>
      </rPr>
      <t>)</t>
    </r>
  </si>
  <si>
    <r>
      <rPr>
        <i/>
        <sz val="10"/>
        <color theme="1"/>
        <rFont val="Times New Roman"/>
        <charset val="134"/>
      </rPr>
      <t>N(c3-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σM+ωσM2</t>
    </r>
    <r>
      <rPr>
        <i/>
        <sz val="10"/>
        <color theme="1"/>
        <rFont val="宋体"/>
        <charset val="134"/>
      </rPr>
      <t>）</t>
    </r>
    <r>
      <rPr>
        <i/>
        <sz val="10"/>
        <color theme="1"/>
        <rFont val="Times New Roman"/>
        <charset val="134"/>
      </rPr>
      <t>)</t>
    </r>
  </si>
  <si>
    <r>
      <rPr>
        <i/>
        <sz val="10"/>
        <color theme="1"/>
        <rFont val="Times New Roman"/>
        <charset val="134"/>
      </rPr>
      <t>N(c4-</t>
    </r>
    <r>
      <rPr>
        <i/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σM+ωσM2</t>
    </r>
    <r>
      <rPr>
        <i/>
        <sz val="10"/>
        <color theme="1"/>
        <rFont val="宋体"/>
        <charset val="134"/>
      </rPr>
      <t>）</t>
    </r>
    <r>
      <rPr>
        <i/>
        <sz val="10"/>
        <color theme="1"/>
        <rFont val="Times New Roman"/>
        <charset val="134"/>
      </rPr>
      <t>)</t>
    </r>
  </si>
  <si>
    <r>
      <rPr>
        <i/>
        <sz val="10"/>
        <color theme="1"/>
        <rFont val="Times New Roman"/>
        <charset val="134"/>
      </rPr>
      <t>b</t>
    </r>
    <r>
      <rPr>
        <i/>
        <vertAlign val="subscript"/>
        <sz val="10"/>
        <color theme="1"/>
        <rFont val="Times New Roman"/>
        <charset val="134"/>
      </rPr>
      <t>1</t>
    </r>
  </si>
  <si>
    <r>
      <rPr>
        <i/>
        <sz val="10"/>
        <color theme="1"/>
        <rFont val="Times New Roman"/>
        <charset val="134"/>
      </rPr>
      <t>b</t>
    </r>
    <r>
      <rPr>
        <i/>
        <vertAlign val="subscript"/>
        <sz val="10"/>
        <color theme="1"/>
        <rFont val="Times New Roman"/>
        <charset val="134"/>
      </rPr>
      <t>2</t>
    </r>
  </si>
  <si>
    <r>
      <rPr>
        <i/>
        <sz val="10"/>
        <color theme="1"/>
        <rFont val="Times New Roman"/>
        <charset val="134"/>
      </rPr>
      <t>b</t>
    </r>
    <r>
      <rPr>
        <i/>
        <vertAlign val="subscript"/>
        <sz val="10"/>
        <color theme="1"/>
        <rFont val="Times New Roman"/>
        <charset val="134"/>
      </rPr>
      <t>3</t>
    </r>
  </si>
  <si>
    <r>
      <rPr>
        <i/>
        <sz val="10"/>
        <color theme="1"/>
        <rFont val="Times New Roman"/>
        <charset val="134"/>
      </rPr>
      <t>b</t>
    </r>
    <r>
      <rPr>
        <i/>
        <vertAlign val="subscript"/>
        <sz val="10"/>
        <color theme="1"/>
        <rFont val="Times New Roman"/>
        <charset val="134"/>
      </rPr>
      <t>4</t>
    </r>
  </si>
  <si>
    <r>
      <rPr>
        <i/>
        <sz val="10"/>
        <color theme="1"/>
        <rFont val="Times New Roman"/>
        <charset val="134"/>
      </rPr>
      <t>b</t>
    </r>
    <r>
      <rPr>
        <i/>
        <vertAlign val="subscript"/>
        <sz val="10"/>
        <color theme="1"/>
        <rFont val="Times New Roman"/>
        <charset val="134"/>
      </rPr>
      <t>5</t>
    </r>
  </si>
  <si>
    <r>
      <rPr>
        <i/>
        <sz val="10"/>
        <color theme="1"/>
        <rFont val="Times New Roman"/>
        <charset val="134"/>
      </rPr>
      <t>b</t>
    </r>
    <r>
      <rPr>
        <i/>
        <vertAlign val="subscript"/>
        <sz val="10"/>
        <color theme="1"/>
        <rFont val="Times New Roman"/>
        <charset val="134"/>
      </rPr>
      <t>6</t>
    </r>
  </si>
  <si>
    <r>
      <rPr>
        <i/>
        <sz val="10"/>
        <color theme="1"/>
        <rFont val="Times New Roman"/>
        <charset val="134"/>
      </rPr>
      <t>S</t>
    </r>
    <r>
      <rPr>
        <i/>
        <vertAlign val="subscript"/>
        <sz val="10"/>
        <color theme="1"/>
        <rFont val="Times New Roman"/>
        <charset val="134"/>
      </rPr>
      <t>M</t>
    </r>
  </si>
  <si>
    <t>the manufacturer’s equity value</t>
  </si>
  <si>
    <r>
      <rPr>
        <i/>
        <sz val="10"/>
        <color theme="1"/>
        <rFont val="Times New Roman"/>
        <charset val="134"/>
      </rPr>
      <t>S</t>
    </r>
    <r>
      <rPr>
        <i/>
        <vertAlign val="subscript"/>
        <sz val="10"/>
        <color theme="1"/>
        <rFont val="Times New Roman"/>
        <charset val="134"/>
      </rPr>
      <t>B</t>
    </r>
  </si>
  <si>
    <t>the bank’s equity value</t>
  </si>
  <si>
    <r>
      <rPr>
        <i/>
        <sz val="10"/>
        <color theme="1"/>
        <rFont val="Times New Roman"/>
        <charset val="134"/>
      </rPr>
      <t>P</t>
    </r>
    <r>
      <rPr>
        <i/>
        <vertAlign val="subscript"/>
        <sz val="10"/>
        <color theme="1"/>
        <rFont val="Times New Roman"/>
        <charset val="134"/>
      </rPr>
      <t>S</t>
    </r>
  </si>
  <si>
    <t>the pollutant-specific economies of scale</t>
  </si>
  <si>
    <r>
      <rPr>
        <i/>
        <sz val="10"/>
        <color theme="1"/>
        <rFont val="Times New Roman"/>
        <charset val="134"/>
      </rPr>
      <t>BP</t>
    </r>
    <r>
      <rPr>
        <i/>
        <vertAlign val="subscript"/>
        <sz val="10"/>
        <color theme="1"/>
        <rFont val="Times New Roman"/>
        <charset val="134"/>
      </rPr>
      <t>B</t>
    </r>
  </si>
  <si>
    <t>the equity valuation generates a risk-neutral probability of failure over a one-period horizon</t>
  </si>
  <si>
    <t>Values for Static Comparative Analyses (Bold for initial values)</t>
  </si>
  <si>
    <r>
      <rPr>
        <i/>
        <sz val="10"/>
        <color theme="1"/>
        <rFont val="Times New Roman"/>
        <charset val="134"/>
      </rPr>
      <t>C</t>
    </r>
    <r>
      <rPr>
        <i/>
        <vertAlign val="subscript"/>
        <sz val="10"/>
        <color theme="1"/>
        <rFont val="Times New Roman"/>
        <charset val="134"/>
      </rPr>
      <t>CAP</t>
    </r>
  </si>
  <si>
    <t>the regulatory cap of the cap-and-trade scheme</t>
  </si>
  <si>
    <t>q</t>
  </si>
  <si>
    <t>the capital-to-deposit ratio</t>
  </si>
  <si>
    <t>The varying barrier levels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</si>
</sst>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000000_ "/>
    <numFmt numFmtId="177" formatCode="0.000000000000_ "/>
    <numFmt numFmtId="178" formatCode="0.00000000000000_ "/>
    <numFmt numFmtId="179" formatCode="0.00_ "/>
    <numFmt numFmtId="180" formatCode="0.000_ "/>
  </numFmts>
  <fonts count="33">
    <font>
      <sz val="11"/>
      <color theme="1"/>
      <name val="宋体"/>
      <charset val="134"/>
      <scheme val="minor"/>
    </font>
    <font>
      <sz val="10"/>
      <color theme="1"/>
      <name val="Times New Roman"/>
      <charset val="0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color theme="1"/>
      <name val="Times New Roman"/>
      <charset val="0"/>
    </font>
    <font>
      <i/>
      <sz val="10"/>
      <color theme="1"/>
      <name val="Times New Roman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vertAlign val="subscript"/>
      <sz val="10"/>
      <color theme="1"/>
      <name val="Times New Roman"/>
      <charset val="134"/>
    </font>
    <font>
      <i/>
      <sz val="10"/>
      <color theme="1"/>
      <name val="宋体"/>
      <charset val="134"/>
    </font>
    <font>
      <i/>
      <vertAlign val="superscript"/>
      <sz val="10"/>
      <color theme="1"/>
      <name val="Times New Roman"/>
      <charset val="134"/>
    </font>
    <font>
      <vertAlign val="subscript"/>
      <sz val="10"/>
      <color theme="1"/>
      <name val="Times New Roman"/>
      <charset val="0"/>
    </font>
    <font>
      <vertAlign val="superscript"/>
      <sz val="10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2" fillId="0" borderId="1" xfId="0" applyNumberFormat="1" applyFont="1" applyFill="1" applyBorder="1">
      <alignment vertical="center"/>
    </xf>
    <xf numFmtId="179" fontId="8" fillId="0" borderId="1" xfId="0" applyNumberFormat="1" applyFont="1" applyFill="1" applyBorder="1">
      <alignment vertical="center"/>
    </xf>
    <xf numFmtId="180" fontId="2" fillId="0" borderId="1" xfId="0" applyNumberFormat="1" applyFont="1" applyFill="1" applyBorder="1">
      <alignment vertical="center"/>
    </xf>
    <xf numFmtId="180" fontId="8" fillId="0" borderId="1" xfId="0" applyNumberFormat="1" applyFont="1" applyFill="1" applyBorder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>
      <alignment vertical="center"/>
    </xf>
    <xf numFmtId="179" fontId="8" fillId="0" borderId="0" xfId="0" applyNumberFormat="1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CEF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25400</xdr:colOff>
      <xdr:row>15</xdr:row>
      <xdr:rowOff>107950</xdr:rowOff>
    </xdr:from>
    <xdr:ext cx="309880" cy="414020"/>
    <xdr:sp>
      <xdr:nvSpPr>
        <xdr:cNvPr id="3" name="文本框 2"/>
        <xdr:cNvSpPr txBox="1"/>
      </xdr:nvSpPr>
      <xdr:spPr>
        <a:xfrm>
          <a:off x="7581900" y="2838450"/>
          <a:ext cx="309880" cy="4140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2"/>
  <sheetViews>
    <sheetView tabSelected="1" workbookViewId="0">
      <selection activeCell="H79" sqref="H79"/>
    </sheetView>
  </sheetViews>
  <sheetFormatPr defaultColWidth="9.02727272727273" defaultRowHeight="13"/>
  <cols>
    <col min="1" max="1" width="14.3636363636364" style="6" customWidth="1"/>
    <col min="2" max="2" width="19.2454545454545" style="6" hidden="1" customWidth="1"/>
    <col min="3" max="9" width="15.6363636363636" style="2" customWidth="1"/>
    <col min="10" max="10" width="5.13636363636364" style="2" customWidth="1"/>
    <col min="11" max="17" width="10.5545454545455" style="2" customWidth="1"/>
    <col min="18" max="16384" width="9.02727272727273" style="2"/>
  </cols>
  <sheetData>
    <row r="1" s="1" customFormat="1" ht="14" customHeight="1" spans="1:10">
      <c r="A1" s="7" t="s">
        <v>0</v>
      </c>
      <c r="B1" s="8" t="s">
        <v>1</v>
      </c>
      <c r="C1" s="9" t="s">
        <v>2</v>
      </c>
      <c r="D1" s="9"/>
      <c r="E1" s="9"/>
      <c r="F1" s="9"/>
      <c r="G1" s="9"/>
      <c r="H1" s="9"/>
      <c r="I1" s="9"/>
    </row>
    <row r="2" s="2" customFormat="1" ht="16" spans="1:10">
      <c r="A2" s="10" t="s">
        <v>3</v>
      </c>
      <c r="B2" s="11" t="s">
        <v>4</v>
      </c>
      <c r="C2" s="2">
        <v>0.046</v>
      </c>
      <c r="D2" s="2">
        <v>0.047</v>
      </c>
      <c r="E2" s="2">
        <v>0.048</v>
      </c>
      <c r="F2" s="2">
        <v>0.049</v>
      </c>
      <c r="G2" s="2">
        <v>0.05</v>
      </c>
      <c r="H2" s="2">
        <v>0.051</v>
      </c>
      <c r="I2" s="2">
        <v>0.052</v>
      </c>
    </row>
    <row r="3" s="2" customFormat="1" spans="1:10">
      <c r="A3" s="12" t="s">
        <v>5</v>
      </c>
      <c r="B3" s="6" t="s">
        <v>6</v>
      </c>
      <c r="C3" s="2">
        <v>400</v>
      </c>
      <c r="D3" s="2">
        <v>399</v>
      </c>
      <c r="E3" s="2">
        <v>396</v>
      </c>
      <c r="F3" s="2">
        <v>391</v>
      </c>
      <c r="G3" s="2">
        <v>384</v>
      </c>
      <c r="H3" s="2">
        <v>375</v>
      </c>
      <c r="I3" s="2">
        <v>364</v>
      </c>
      <c r="J3" s="6"/>
    </row>
    <row r="4" s="2" customFormat="1" spans="1:10">
      <c r="A4" s="12" t="s">
        <v>7</v>
      </c>
      <c r="B4" s="6" t="s">
        <v>8</v>
      </c>
      <c r="C4" s="2">
        <v>50</v>
      </c>
      <c r="D4" s="2">
        <v>50</v>
      </c>
      <c r="E4" s="2">
        <v>50</v>
      </c>
      <c r="F4" s="2">
        <v>50</v>
      </c>
      <c r="G4" s="2">
        <v>50</v>
      </c>
      <c r="H4" s="2">
        <v>50</v>
      </c>
      <c r="I4" s="2">
        <v>50</v>
      </c>
      <c r="J4" s="6"/>
    </row>
    <row r="5" s="2" customFormat="1" spans="1:10">
      <c r="A5" s="12" t="s">
        <v>9</v>
      </c>
      <c r="B5" s="6" t="s">
        <v>10</v>
      </c>
      <c r="C5" s="2">
        <v>50</v>
      </c>
      <c r="D5" s="2">
        <v>50</v>
      </c>
      <c r="E5" s="2">
        <v>50</v>
      </c>
      <c r="F5" s="2">
        <v>50</v>
      </c>
      <c r="G5" s="2">
        <v>50</v>
      </c>
      <c r="H5" s="2">
        <v>50</v>
      </c>
      <c r="I5" s="2">
        <v>50</v>
      </c>
    </row>
    <row r="6" s="2" customFormat="1" ht="16" spans="1:10">
      <c r="A6" s="12" t="s">
        <v>11</v>
      </c>
      <c r="B6" s="6" t="s">
        <v>12</v>
      </c>
      <c r="C6" s="2">
        <v>0.038</v>
      </c>
      <c r="D6" s="2">
        <v>0.038</v>
      </c>
      <c r="E6" s="2">
        <v>0.038</v>
      </c>
      <c r="F6" s="2">
        <v>0.038</v>
      </c>
      <c r="G6" s="2">
        <v>0.038</v>
      </c>
      <c r="H6" s="2">
        <v>0.038</v>
      </c>
      <c r="I6" s="2">
        <v>0.038</v>
      </c>
    </row>
    <row r="7" s="2" customFormat="1" ht="16" spans="1:10">
      <c r="A7" s="12" t="s">
        <v>13</v>
      </c>
      <c r="B7" s="6" t="s">
        <v>14</v>
      </c>
      <c r="C7" s="2">
        <v>0.15</v>
      </c>
      <c r="D7" s="2">
        <v>0.15</v>
      </c>
      <c r="E7" s="2">
        <v>0.15</v>
      </c>
      <c r="F7" s="2">
        <v>0.15</v>
      </c>
      <c r="G7" s="2">
        <v>0.15</v>
      </c>
      <c r="H7" s="2">
        <v>0.15</v>
      </c>
      <c r="I7" s="2">
        <v>0.15</v>
      </c>
    </row>
    <row r="8" s="2" customFormat="1" ht="16" spans="1:10">
      <c r="A8" s="12" t="s">
        <v>15</v>
      </c>
      <c r="B8" s="6" t="s">
        <v>16</v>
      </c>
      <c r="C8" s="2">
        <v>0.09</v>
      </c>
      <c r="D8" s="2">
        <v>0.09</v>
      </c>
      <c r="E8" s="2">
        <v>0.09</v>
      </c>
      <c r="F8" s="2">
        <v>0.09</v>
      </c>
      <c r="G8" s="2">
        <v>0.09</v>
      </c>
      <c r="H8" s="2">
        <v>0.09</v>
      </c>
      <c r="I8" s="2">
        <v>0.09</v>
      </c>
    </row>
    <row r="9" s="2" customFormat="1" customHeight="1" spans="1:10">
      <c r="A9" s="12" t="s">
        <v>17</v>
      </c>
      <c r="B9" s="6" t="s">
        <v>18</v>
      </c>
      <c r="C9" s="2">
        <f t="shared" ref="C9:I9" si="0">C71</f>
        <v>0.07</v>
      </c>
      <c r="D9" s="2">
        <f t="shared" si="0"/>
        <v>0.08</v>
      </c>
      <c r="E9" s="2">
        <f t="shared" si="0"/>
        <v>0.09</v>
      </c>
      <c r="F9" s="2">
        <f t="shared" si="0"/>
        <v>0.1</v>
      </c>
      <c r="G9" s="2">
        <f t="shared" si="0"/>
        <v>0.11</v>
      </c>
      <c r="H9" s="2">
        <f t="shared" si="0"/>
        <v>0.12</v>
      </c>
      <c r="I9" s="2">
        <f t="shared" si="0"/>
        <v>0.13</v>
      </c>
    </row>
    <row r="10" s="2" customFormat="1" ht="14" customHeight="1" spans="1:10">
      <c r="A10" s="12" t="s">
        <v>19</v>
      </c>
      <c r="B10" s="6" t="s">
        <v>20</v>
      </c>
      <c r="C10" s="2">
        <v>0.045</v>
      </c>
      <c r="D10" s="2">
        <v>0.045</v>
      </c>
      <c r="E10" s="2">
        <v>0.045</v>
      </c>
      <c r="F10" s="2">
        <v>0.045</v>
      </c>
      <c r="G10" s="2">
        <v>0.045</v>
      </c>
      <c r="H10" s="2">
        <v>0.045</v>
      </c>
      <c r="I10" s="2">
        <v>0.045</v>
      </c>
    </row>
    <row r="11" s="2" customFormat="1" spans="1:10">
      <c r="A11" s="12" t="s">
        <v>21</v>
      </c>
      <c r="B11" s="6" t="s">
        <v>22</v>
      </c>
      <c r="C11" s="2">
        <v>0.4</v>
      </c>
      <c r="D11" s="2">
        <v>0.4</v>
      </c>
      <c r="E11" s="2">
        <v>0.4</v>
      </c>
      <c r="F11" s="2">
        <v>0.4</v>
      </c>
      <c r="G11" s="2">
        <v>0.4</v>
      </c>
      <c r="H11" s="2">
        <v>0.4</v>
      </c>
      <c r="I11" s="2">
        <v>0.4</v>
      </c>
    </row>
    <row r="12" s="2" customFormat="1" ht="16" spans="1:10">
      <c r="A12" s="12" t="s">
        <v>23</v>
      </c>
      <c r="B12" s="13" t="s">
        <v>24</v>
      </c>
      <c r="C12" s="2">
        <v>0.0175</v>
      </c>
      <c r="D12" s="2">
        <v>0.0175</v>
      </c>
      <c r="E12" s="2">
        <v>0.0175</v>
      </c>
      <c r="F12" s="2">
        <v>0.0175</v>
      </c>
      <c r="G12" s="2">
        <v>0.0175</v>
      </c>
      <c r="H12" s="2">
        <v>0.0175</v>
      </c>
      <c r="I12" s="2">
        <v>0.0175</v>
      </c>
    </row>
    <row r="13" s="2" customFormat="1" ht="16" spans="1:10">
      <c r="A13" s="12" t="s">
        <v>25</v>
      </c>
      <c r="B13" s="6" t="s">
        <v>26</v>
      </c>
      <c r="C13" s="2">
        <v>100</v>
      </c>
      <c r="D13" s="2">
        <v>100</v>
      </c>
      <c r="E13" s="2">
        <v>100</v>
      </c>
      <c r="F13" s="2">
        <v>100</v>
      </c>
      <c r="G13" s="2">
        <v>100</v>
      </c>
      <c r="H13" s="2">
        <v>100</v>
      </c>
      <c r="I13" s="2">
        <v>100</v>
      </c>
    </row>
    <row r="14" s="2" customFormat="1" spans="1:10">
      <c r="A14" s="12" t="s">
        <v>27</v>
      </c>
      <c r="B14" s="6" t="s">
        <v>28</v>
      </c>
      <c r="C14" s="2">
        <v>31</v>
      </c>
      <c r="D14" s="2">
        <v>31</v>
      </c>
      <c r="E14" s="2">
        <v>31</v>
      </c>
      <c r="F14" s="2">
        <v>31</v>
      </c>
      <c r="G14" s="2">
        <v>31</v>
      </c>
      <c r="H14" s="2">
        <v>31</v>
      </c>
      <c r="I14" s="2">
        <v>31</v>
      </c>
    </row>
    <row r="15" s="2" customFormat="1" spans="1:10">
      <c r="A15" s="12" t="s">
        <v>29</v>
      </c>
      <c r="B15" s="6" t="s">
        <v>30</v>
      </c>
      <c r="C15" s="2">
        <v>25</v>
      </c>
      <c r="D15" s="2">
        <v>25</v>
      </c>
      <c r="E15" s="2">
        <v>25</v>
      </c>
      <c r="F15" s="2">
        <v>25</v>
      </c>
      <c r="G15" s="2">
        <v>25</v>
      </c>
      <c r="H15" s="2">
        <v>25</v>
      </c>
      <c r="I15" s="2">
        <v>25</v>
      </c>
    </row>
    <row r="16" s="2" customFormat="1" spans="1:10">
      <c r="A16" s="12" t="s">
        <v>31</v>
      </c>
      <c r="B16" s="6" t="s">
        <v>32</v>
      </c>
      <c r="C16" s="2">
        <v>30</v>
      </c>
      <c r="D16" s="2">
        <v>29.9</v>
      </c>
      <c r="E16" s="2">
        <v>29.8</v>
      </c>
      <c r="F16" s="2">
        <v>29.7</v>
      </c>
      <c r="G16" s="2">
        <v>29.6</v>
      </c>
      <c r="H16" s="2">
        <v>29.5</v>
      </c>
      <c r="I16" s="2">
        <v>29.4</v>
      </c>
    </row>
    <row r="17" s="2" customFormat="1" spans="1:17">
      <c r="A17" s="12" t="s">
        <v>33</v>
      </c>
      <c r="B17" s="6" t="s">
        <v>34</v>
      </c>
      <c r="C17" s="2">
        <v>10</v>
      </c>
      <c r="D17" s="2">
        <v>11</v>
      </c>
      <c r="E17" s="2">
        <v>12</v>
      </c>
      <c r="F17" s="2">
        <v>13</v>
      </c>
      <c r="G17" s="2">
        <v>14</v>
      </c>
      <c r="H17" s="2">
        <v>15</v>
      </c>
      <c r="I17" s="2">
        <v>16</v>
      </c>
    </row>
    <row r="18" s="3" customFormat="1" ht="14" spans="1:17">
      <c r="A18" s="12" t="s">
        <v>35</v>
      </c>
      <c r="B18" s="6" t="s">
        <v>36</v>
      </c>
      <c r="C18" s="2">
        <v>0.4</v>
      </c>
      <c r="D18" s="2">
        <v>0.4</v>
      </c>
      <c r="E18" s="2">
        <v>0.4</v>
      </c>
      <c r="F18" s="2">
        <v>0.4</v>
      </c>
      <c r="G18" s="2">
        <v>0.4</v>
      </c>
      <c r="H18" s="2">
        <v>0.4</v>
      </c>
      <c r="I18" s="2">
        <v>0.4</v>
      </c>
      <c r="K18" s="2"/>
      <c r="L18" s="2"/>
      <c r="M18" s="2"/>
      <c r="N18" s="2"/>
      <c r="O18" s="2"/>
      <c r="P18" s="2"/>
      <c r="Q18" s="2"/>
    </row>
    <row r="19" s="2" customFormat="1" ht="16" spans="1:17">
      <c r="A19" s="12" t="s">
        <v>37</v>
      </c>
      <c r="B19" s="6" t="s">
        <v>38</v>
      </c>
      <c r="C19" s="2">
        <f t="shared" ref="C19:I19" si="1">C17*C18</f>
        <v>4</v>
      </c>
      <c r="D19" s="2">
        <f t="shared" si="1"/>
        <v>4.4</v>
      </c>
      <c r="E19" s="2">
        <f t="shared" si="1"/>
        <v>4.8</v>
      </c>
      <c r="F19" s="2">
        <f t="shared" si="1"/>
        <v>5.2</v>
      </c>
      <c r="G19" s="2">
        <f t="shared" si="1"/>
        <v>5.6</v>
      </c>
      <c r="H19" s="2">
        <f t="shared" si="1"/>
        <v>6</v>
      </c>
      <c r="I19" s="2">
        <f t="shared" si="1"/>
        <v>6.4</v>
      </c>
    </row>
    <row r="20" s="2" customFormat="1" ht="14" customHeight="1" spans="1:17">
      <c r="A20" s="12" t="s">
        <v>39</v>
      </c>
      <c r="B20" s="6" t="s">
        <v>40</v>
      </c>
      <c r="C20" s="2">
        <v>0.4</v>
      </c>
      <c r="D20" s="2">
        <v>0.4</v>
      </c>
      <c r="E20" s="2">
        <v>0.4</v>
      </c>
      <c r="F20" s="2">
        <v>0.4</v>
      </c>
      <c r="G20" s="2">
        <v>0.4</v>
      </c>
      <c r="H20" s="2">
        <v>0.4</v>
      </c>
      <c r="I20" s="2">
        <v>0.4</v>
      </c>
    </row>
    <row r="21" s="2" customFormat="1" spans="1:17">
      <c r="A21" s="12" t="s">
        <v>41</v>
      </c>
      <c r="B21" s="6" t="s">
        <v>42</v>
      </c>
      <c r="C21" s="2">
        <f t="shared" ref="C21:I21" si="2">C15+C17+C19+C17^2+C19^2+C20*C17*C19+C3-C3*EXP(-C2)</f>
        <v>188.983215123714</v>
      </c>
      <c r="D21" s="2">
        <f t="shared" si="2"/>
        <v>218.439128361442</v>
      </c>
      <c r="E21" s="2">
        <f t="shared" si="2"/>
        <v>250.439020317308</v>
      </c>
      <c r="F21" s="2">
        <f t="shared" si="2"/>
        <v>284.977178287885</v>
      </c>
      <c r="G21" s="2">
        <f t="shared" si="2"/>
        <v>322.047900991726</v>
      </c>
      <c r="H21" s="2">
        <f t="shared" si="2"/>
        <v>361.64549855034</v>
      </c>
      <c r="I21" s="2">
        <f t="shared" si="2"/>
        <v>403.764292469188</v>
      </c>
    </row>
    <row r="22" s="2" customFormat="1" hidden="1" spans="1:17">
      <c r="A22" s="12" t="s">
        <v>43</v>
      </c>
      <c r="B22" s="6"/>
      <c r="C22" s="2">
        <f t="shared" ref="C22:I22" si="3">C15+C17+C17^2</f>
        <v>135</v>
      </c>
      <c r="D22" s="2">
        <f t="shared" si="3"/>
        <v>157</v>
      </c>
      <c r="E22" s="2">
        <f t="shared" si="3"/>
        <v>181</v>
      </c>
      <c r="F22" s="2">
        <f t="shared" si="3"/>
        <v>207</v>
      </c>
      <c r="G22" s="2">
        <f t="shared" si="3"/>
        <v>235</v>
      </c>
      <c r="H22" s="2">
        <f t="shared" si="3"/>
        <v>265</v>
      </c>
      <c r="I22" s="2">
        <f t="shared" si="3"/>
        <v>297</v>
      </c>
    </row>
    <row r="23" s="2" customFormat="1" ht="16" hidden="1" spans="1:17">
      <c r="A23" s="12" t="s">
        <v>44</v>
      </c>
      <c r="B23" s="6" t="s">
        <v>45</v>
      </c>
      <c r="C23" s="2">
        <f t="shared" ref="C23:I23" si="4">1+2*C19+C20*C17</f>
        <v>13</v>
      </c>
      <c r="D23" s="2">
        <f t="shared" si="4"/>
        <v>14.2</v>
      </c>
      <c r="E23" s="2">
        <f t="shared" si="4"/>
        <v>15.4</v>
      </c>
      <c r="F23" s="2">
        <f t="shared" si="4"/>
        <v>16.6</v>
      </c>
      <c r="G23" s="2">
        <f t="shared" si="4"/>
        <v>17.8</v>
      </c>
      <c r="H23" s="2">
        <f t="shared" si="4"/>
        <v>19</v>
      </c>
      <c r="I23" s="2">
        <f t="shared" si="4"/>
        <v>20.2</v>
      </c>
    </row>
    <row r="24" s="2" customFormat="1" spans="1:17">
      <c r="A24" s="12" t="s">
        <v>46</v>
      </c>
      <c r="B24" s="6" t="s">
        <v>47</v>
      </c>
      <c r="C24" s="2">
        <f t="shared" ref="C24:I24" si="5">C16*C17</f>
        <v>300</v>
      </c>
      <c r="D24" s="2">
        <f t="shared" si="5"/>
        <v>328.9</v>
      </c>
      <c r="E24" s="2">
        <f t="shared" si="5"/>
        <v>357.6</v>
      </c>
      <c r="F24" s="2">
        <f t="shared" si="5"/>
        <v>386.1</v>
      </c>
      <c r="G24" s="2">
        <f t="shared" si="5"/>
        <v>414.4</v>
      </c>
      <c r="H24" s="2">
        <f t="shared" si="5"/>
        <v>442.5</v>
      </c>
      <c r="I24" s="2">
        <f t="shared" si="5"/>
        <v>470.4</v>
      </c>
    </row>
    <row r="25" s="2" customFormat="1" ht="16" spans="1:17">
      <c r="A25" s="12" t="s">
        <v>48</v>
      </c>
      <c r="B25" s="6" t="s">
        <v>49</v>
      </c>
      <c r="C25" s="2">
        <f t="shared" ref="C25:I25" si="6">C24-(C6-C72)*C26</f>
        <v>299.99468</v>
      </c>
      <c r="D25" s="2">
        <f t="shared" si="6"/>
        <v>328.893664</v>
      </c>
      <c r="E25" s="2">
        <f t="shared" si="6"/>
        <v>357.592656</v>
      </c>
      <c r="F25" s="2">
        <f t="shared" si="6"/>
        <v>386.09168</v>
      </c>
      <c r="G25" s="2">
        <f t="shared" si="6"/>
        <v>414.39076</v>
      </c>
      <c r="H25" s="2">
        <f t="shared" si="6"/>
        <v>442.48992</v>
      </c>
      <c r="I25" s="2">
        <f t="shared" si="6"/>
        <v>470.389184</v>
      </c>
    </row>
    <row r="26" s="2" customFormat="1" ht="16" spans="1:17">
      <c r="A26" s="12" t="s">
        <v>50</v>
      </c>
      <c r="B26" s="6" t="s">
        <v>51</v>
      </c>
      <c r="C26" s="2">
        <f t="shared" ref="C26:I26" si="7">C71*C19</f>
        <v>0.28</v>
      </c>
      <c r="D26" s="2">
        <f t="shared" si="7"/>
        <v>0.352</v>
      </c>
      <c r="E26" s="2">
        <f t="shared" si="7"/>
        <v>0.432</v>
      </c>
      <c r="F26" s="2">
        <f t="shared" si="7"/>
        <v>0.52</v>
      </c>
      <c r="G26" s="2">
        <f t="shared" si="7"/>
        <v>0.616</v>
      </c>
      <c r="H26" s="2">
        <f t="shared" si="7"/>
        <v>0.72</v>
      </c>
      <c r="I26" s="2">
        <f t="shared" si="7"/>
        <v>0.832</v>
      </c>
    </row>
    <row r="27" s="2" customFormat="1" ht="16" hidden="1" spans="1:17">
      <c r="A27" s="12" t="s">
        <v>52</v>
      </c>
      <c r="B27" s="6"/>
      <c r="C27" s="2">
        <f t="shared" ref="C27:I27" si="8">(LN(C25/C21)+C10+(C8+C9*C8^2)/2)/(C8+C9*C8^2)</f>
        <v>6.09924187528533</v>
      </c>
      <c r="D27" s="2">
        <f t="shared" si="8"/>
        <v>5.51088939422417</v>
      </c>
      <c r="E27" s="2">
        <f t="shared" si="8"/>
        <v>4.92172896375119</v>
      </c>
      <c r="F27" s="2">
        <f t="shared" si="8"/>
        <v>4.33950835080874</v>
      </c>
      <c r="G27" s="2">
        <f t="shared" si="8"/>
        <v>3.76885058008942</v>
      </c>
      <c r="H27" s="2">
        <f t="shared" si="8"/>
        <v>3.21240863439152</v>
      </c>
      <c r="I27" s="2">
        <f t="shared" si="8"/>
        <v>2.67158281339411</v>
      </c>
    </row>
    <row r="28" s="2" customFormat="1" ht="16" hidden="1" spans="1:17">
      <c r="A28" s="12" t="s">
        <v>53</v>
      </c>
      <c r="B28" s="6"/>
      <c r="C28" s="2">
        <f t="shared" ref="C28:I28" si="9">(LN(C34^2/(C25*C21))+C10+(C8+C9*C8^2)/2)/(C8+C9*C8^2)</f>
        <v>-24.3400411040145</v>
      </c>
      <c r="D28" s="2">
        <f t="shared" si="9"/>
        <v>-23.7344956927449</v>
      </c>
      <c r="E28" s="2">
        <f t="shared" si="9"/>
        <v>-23.1281730306792</v>
      </c>
      <c r="F28" s="2">
        <f t="shared" si="9"/>
        <v>-22.5288208026126</v>
      </c>
      <c r="G28" s="2">
        <f t="shared" si="9"/>
        <v>-21.9410619513837</v>
      </c>
      <c r="H28" s="2">
        <f t="shared" si="9"/>
        <v>-21.3675493782282</v>
      </c>
      <c r="I28" s="2">
        <f t="shared" si="9"/>
        <v>-20.8096833015528</v>
      </c>
    </row>
    <row r="29" s="2" customFormat="1" ht="16" hidden="1" spans="1:17">
      <c r="A29" s="12" t="s">
        <v>54</v>
      </c>
      <c r="B29" s="6"/>
      <c r="C29" s="2">
        <f t="shared" ref="C29:I29" si="10">C27-(C8+C9*C8^2)</f>
        <v>6.00867487528533</v>
      </c>
      <c r="D29" s="2">
        <f t="shared" si="10"/>
        <v>5.42024139422417</v>
      </c>
      <c r="E29" s="2">
        <f t="shared" si="10"/>
        <v>4.83099996375119</v>
      </c>
      <c r="F29" s="2">
        <f t="shared" si="10"/>
        <v>4.24869835080874</v>
      </c>
      <c r="G29" s="2">
        <f t="shared" si="10"/>
        <v>3.67795958008942</v>
      </c>
      <c r="H29" s="2">
        <f t="shared" si="10"/>
        <v>3.12143663439152</v>
      </c>
      <c r="I29" s="2">
        <f t="shared" si="10"/>
        <v>2.58052981339411</v>
      </c>
    </row>
    <row r="30" s="2" customFormat="1" ht="16" hidden="1" spans="1:17">
      <c r="A30" s="12" t="s">
        <v>55</v>
      </c>
      <c r="B30" s="6"/>
      <c r="C30" s="2">
        <f t="shared" ref="C30:I30" si="11">C28-(C8+C9*C8^2)</f>
        <v>-24.4306081040145</v>
      </c>
      <c r="D30" s="2">
        <f t="shared" si="11"/>
        <v>-23.8251436927449</v>
      </c>
      <c r="E30" s="2">
        <f t="shared" si="11"/>
        <v>-23.2189020306792</v>
      </c>
      <c r="F30" s="2">
        <f t="shared" si="11"/>
        <v>-22.6196308026126</v>
      </c>
      <c r="G30" s="2">
        <f t="shared" si="11"/>
        <v>-22.0319529513837</v>
      </c>
      <c r="H30" s="2">
        <f t="shared" si="11"/>
        <v>-21.4585213782282</v>
      </c>
      <c r="I30" s="2">
        <f t="shared" si="11"/>
        <v>-20.9007363015528</v>
      </c>
    </row>
    <row r="31" s="2" customFormat="1" hidden="1" spans="1:17">
      <c r="A31" s="12" t="s">
        <v>56</v>
      </c>
      <c r="B31" s="6" t="s">
        <v>45</v>
      </c>
      <c r="C31" s="2">
        <f t="shared" ref="C31:I31" si="12">_xlfn.NORM.S.DIST(C29,1)</f>
        <v>0.999999999064771</v>
      </c>
      <c r="D31" s="2">
        <f t="shared" si="12"/>
        <v>0.999999970240694</v>
      </c>
      <c r="E31" s="2">
        <f t="shared" si="12"/>
        <v>0.999999320754854</v>
      </c>
      <c r="F31" s="2">
        <f t="shared" si="12"/>
        <v>0.999989249189196</v>
      </c>
      <c r="G31" s="2">
        <f t="shared" si="12"/>
        <v>0.99988244639754</v>
      </c>
      <c r="H31" s="2">
        <f t="shared" si="12"/>
        <v>0.999100145128864</v>
      </c>
      <c r="I31" s="2">
        <f t="shared" si="12"/>
        <v>0.99506755810262</v>
      </c>
    </row>
    <row r="32" s="2" customFormat="1" hidden="1" spans="1:17">
      <c r="A32" s="12" t="s">
        <v>57</v>
      </c>
      <c r="B32" s="6" t="s">
        <v>45</v>
      </c>
      <c r="C32" s="2">
        <f t="shared" ref="C32:I32" si="13">_xlfn.NORM.S.DIST(C30,1)</f>
        <v>4.04500307213811e-132</v>
      </c>
      <c r="D32" s="2">
        <f t="shared" si="13"/>
        <v>9.16646501919356e-126</v>
      </c>
      <c r="E32" s="2">
        <f t="shared" si="13"/>
        <v>1.46692552144717e-119</v>
      </c>
      <c r="F32" s="2">
        <f t="shared" si="13"/>
        <v>1.38897350991358e-113</v>
      </c>
      <c r="G32" s="2">
        <f t="shared" si="13"/>
        <v>7.11519511776714e-108</v>
      </c>
      <c r="H32" s="2">
        <f t="shared" si="13"/>
        <v>1.90101739162968e-102</v>
      </c>
      <c r="I32" s="2">
        <f t="shared" si="13"/>
        <v>2.63627231413711e-97</v>
      </c>
    </row>
    <row r="33" s="2" customFormat="1" ht="16" spans="1:17">
      <c r="A33" s="12" t="s">
        <v>58</v>
      </c>
      <c r="B33" s="14" t="s">
        <v>59</v>
      </c>
      <c r="C33" s="2">
        <f t="shared" ref="C33:I33" si="14">C10/(C8+C9*C8^2)^2+1/2</f>
        <v>5.98621154238538</v>
      </c>
      <c r="D33" s="2">
        <f t="shared" si="14"/>
        <v>5.97641133516556</v>
      </c>
      <c r="E33" s="2">
        <f t="shared" si="14"/>
        <v>5.9666373641784</v>
      </c>
      <c r="F33" s="2">
        <f t="shared" si="14"/>
        <v>5.95688953585771</v>
      </c>
      <c r="G33" s="2">
        <f t="shared" si="14"/>
        <v>5.94716775705402</v>
      </c>
      <c r="H33" s="2">
        <f t="shared" si="14"/>
        <v>5.93747193503236</v>
      </c>
      <c r="I33" s="2">
        <f t="shared" si="14"/>
        <v>5.92780197747006</v>
      </c>
    </row>
    <row r="34" s="2" customFormat="1" spans="1:17">
      <c r="A34" s="12" t="s">
        <v>60</v>
      </c>
      <c r="B34" s="6" t="s">
        <v>61</v>
      </c>
      <c r="C34" s="2">
        <f t="shared" ref="C34:I34" si="15">C11*C21</f>
        <v>75.5932860494856</v>
      </c>
      <c r="D34" s="2">
        <f t="shared" si="15"/>
        <v>87.3756513445768</v>
      </c>
      <c r="E34" s="2">
        <f t="shared" si="15"/>
        <v>100.175608126923</v>
      </c>
      <c r="F34" s="2">
        <f t="shared" si="15"/>
        <v>113.990871315154</v>
      </c>
      <c r="G34" s="2">
        <f t="shared" si="15"/>
        <v>128.81916039669</v>
      </c>
      <c r="H34" s="2">
        <f t="shared" si="15"/>
        <v>144.658199420136</v>
      </c>
      <c r="I34" s="2">
        <f t="shared" si="15"/>
        <v>161.505716987675</v>
      </c>
    </row>
    <row r="35" s="2" customFormat="1" ht="16" spans="1:17">
      <c r="A35" s="12" t="s">
        <v>62</v>
      </c>
      <c r="B35" s="6"/>
      <c r="C35" s="2">
        <f t="shared" ref="C35:I35" si="16">(1+C2)*C21</f>
        <v>197.676443019405</v>
      </c>
      <c r="D35" s="2">
        <f t="shared" si="16"/>
        <v>228.70576739443</v>
      </c>
      <c r="E35" s="2">
        <f t="shared" si="16"/>
        <v>262.460093292539</v>
      </c>
      <c r="F35" s="2">
        <f t="shared" si="16"/>
        <v>298.941060023991</v>
      </c>
      <c r="G35" s="2">
        <f t="shared" si="16"/>
        <v>338.150296041312</v>
      </c>
      <c r="H35" s="2">
        <f t="shared" si="16"/>
        <v>380.089418976407</v>
      </c>
      <c r="I35" s="2">
        <f t="shared" si="16"/>
        <v>424.760035677586</v>
      </c>
      <c r="K35" s="15"/>
      <c r="L35" s="15"/>
      <c r="M35" s="15"/>
      <c r="N35" s="15"/>
      <c r="O35" s="15"/>
      <c r="P35" s="15"/>
      <c r="Q35" s="15"/>
    </row>
    <row r="36" s="2" customFormat="1" ht="16" spans="1:17">
      <c r="A36" s="12" t="s">
        <v>63</v>
      </c>
      <c r="B36" s="6"/>
      <c r="C36" s="2">
        <f t="shared" ref="C36:I36" si="17">(1+C12)*(C3+C5)/((1/C73+1)*C73)-(1+C10)*(C3+C5-C21)</f>
        <v>125.389633717325</v>
      </c>
      <c r="D36" s="2">
        <f t="shared" si="17"/>
        <v>159.816082120163</v>
      </c>
      <c r="E36" s="2">
        <f t="shared" si="17"/>
        <v>197.236121364331</v>
      </c>
      <c r="F36" s="2">
        <f t="shared" si="17"/>
        <v>237.596776310839</v>
      </c>
      <c r="G36" s="2">
        <f t="shared" si="17"/>
        <v>280.843389869687</v>
      </c>
      <c r="H36" s="2">
        <f t="shared" si="17"/>
        <v>326.919545985105</v>
      </c>
      <c r="I36" s="2">
        <f t="shared" si="17"/>
        <v>375.766988382595</v>
      </c>
      <c r="K36" s="15"/>
      <c r="L36" s="15"/>
      <c r="M36" s="15"/>
      <c r="N36" s="15"/>
      <c r="O36" s="15"/>
      <c r="P36" s="15"/>
      <c r="Q36" s="15"/>
    </row>
    <row r="37" s="2" customFormat="1" ht="16" hidden="1" spans="1:17">
      <c r="A37" s="12" t="s">
        <v>64</v>
      </c>
      <c r="B37" s="6"/>
      <c r="C37" s="2">
        <f t="shared" ref="C37:I37" si="18">((LN(C25/C36)+C10+(C8+C9*C8^2)/2)/(C8+C9*C8^2))</f>
        <v>10.6288414335782</v>
      </c>
      <c r="D37" s="2">
        <f t="shared" si="18"/>
        <v>8.95811073026622</v>
      </c>
      <c r="E37" s="2">
        <f t="shared" si="18"/>
        <v>7.55389577271074</v>
      </c>
      <c r="F37" s="2">
        <f t="shared" si="18"/>
        <v>6.34186581362556</v>
      </c>
      <c r="G37" s="2">
        <f t="shared" si="18"/>
        <v>5.27508456125615</v>
      </c>
      <c r="H37" s="2">
        <f t="shared" si="18"/>
        <v>4.3220944977032</v>
      </c>
      <c r="I37" s="2">
        <f t="shared" si="18"/>
        <v>3.46081582794644</v>
      </c>
      <c r="K37" s="15"/>
      <c r="L37" s="15"/>
      <c r="M37" s="15"/>
      <c r="N37" s="15"/>
      <c r="O37" s="15"/>
      <c r="P37" s="15"/>
      <c r="Q37" s="15"/>
    </row>
    <row r="38" s="2" customFormat="1" ht="16" hidden="1" spans="1:17">
      <c r="A38" s="12" t="s">
        <v>65</v>
      </c>
      <c r="B38" s="6"/>
      <c r="C38" s="2">
        <f t="shared" ref="C38:I38" si="19">((LN(C25/C35)+C10+(C8+C9*C8^2)/2)/(C8+C9*C8^2))</f>
        <v>5.60266623909631</v>
      </c>
      <c r="D38" s="2">
        <f t="shared" si="19"/>
        <v>5.00421597739864</v>
      </c>
      <c r="E38" s="2">
        <f t="shared" si="19"/>
        <v>4.404985850757</v>
      </c>
      <c r="F38" s="2">
        <f t="shared" si="19"/>
        <v>3.81272353180026</v>
      </c>
      <c r="G38" s="2">
        <f t="shared" si="19"/>
        <v>3.23205195129854</v>
      </c>
      <c r="H38" s="2">
        <f t="shared" si="19"/>
        <v>2.66562399851659</v>
      </c>
      <c r="I38" s="2">
        <f t="shared" si="19"/>
        <v>2.11483987998699</v>
      </c>
      <c r="K38" s="15"/>
      <c r="L38" s="15"/>
      <c r="M38" s="15"/>
      <c r="N38" s="15"/>
      <c r="O38" s="15"/>
      <c r="P38" s="15"/>
      <c r="Q38" s="15"/>
    </row>
    <row r="39" s="2" customFormat="1" ht="16" hidden="1" spans="1:17">
      <c r="A39" s="12" t="s">
        <v>66</v>
      </c>
      <c r="B39" s="6"/>
      <c r="C39" s="2">
        <f t="shared" ref="C39:I39" si="20">((LN(C34^2/(C25*C36))+C10+(C8+C9*C8^2)/2)/(C8+C9*C8^2))</f>
        <v>-19.8104415457216</v>
      </c>
      <c r="D39" s="2">
        <f t="shared" si="20"/>
        <v>-20.2872743567029</v>
      </c>
      <c r="E39" s="2">
        <f t="shared" si="20"/>
        <v>-20.4960062217197</v>
      </c>
      <c r="F39" s="2">
        <f t="shared" si="20"/>
        <v>-20.5264633397958</v>
      </c>
      <c r="G39" s="2">
        <f t="shared" si="20"/>
        <v>-20.434827970217</v>
      </c>
      <c r="H39" s="2">
        <f t="shared" si="20"/>
        <v>-20.2578635149165</v>
      </c>
      <c r="I39" s="2">
        <f t="shared" si="20"/>
        <v>-20.0204502870004</v>
      </c>
    </row>
    <row r="40" s="2" customFormat="1" ht="16" hidden="1" spans="1:17">
      <c r="A40" s="12" t="s">
        <v>67</v>
      </c>
      <c r="B40" s="6"/>
      <c r="C40" s="2">
        <f t="shared" ref="C40:I40" si="21">((LN(C34^2/(C25*C35))+C10+(C8+C9*C8^2)/2)/(C8+C9*C8^2))</f>
        <v>-24.8366167402035</v>
      </c>
      <c r="D40" s="2">
        <f t="shared" si="21"/>
        <v>-24.2411691095705</v>
      </c>
      <c r="E40" s="2">
        <f t="shared" si="21"/>
        <v>-23.6449161436734</v>
      </c>
      <c r="F40" s="2">
        <f t="shared" si="21"/>
        <v>-23.0556056216211</v>
      </c>
      <c r="G40" s="2">
        <f t="shared" si="21"/>
        <v>-22.4778605801746</v>
      </c>
      <c r="H40" s="2">
        <f t="shared" si="21"/>
        <v>-21.9143340141031</v>
      </c>
      <c r="I40" s="2">
        <f t="shared" si="21"/>
        <v>-21.3664262349599</v>
      </c>
    </row>
    <row r="41" s="2" customFormat="1" ht="16" hidden="1" spans="1:17">
      <c r="A41" s="12" t="s">
        <v>68</v>
      </c>
      <c r="B41" s="6"/>
      <c r="C41" s="2">
        <f t="shared" ref="C41:I41" si="22">C37-(C8+C9*C8^2)</f>
        <v>10.5382744335782</v>
      </c>
      <c r="D41" s="2">
        <f t="shared" si="22"/>
        <v>8.86746273026622</v>
      </c>
      <c r="E41" s="2">
        <f t="shared" si="22"/>
        <v>7.46316677271074</v>
      </c>
      <c r="F41" s="2">
        <f t="shared" si="22"/>
        <v>6.25105581362556</v>
      </c>
      <c r="G41" s="2">
        <f t="shared" si="22"/>
        <v>5.18419356125615</v>
      </c>
      <c r="H41" s="2">
        <f t="shared" si="22"/>
        <v>4.2311224977032</v>
      </c>
      <c r="I41" s="2">
        <f t="shared" si="22"/>
        <v>3.36976282794644</v>
      </c>
    </row>
    <row r="42" s="2" customFormat="1" ht="16" hidden="1" spans="1:17">
      <c r="A42" s="12" t="s">
        <v>69</v>
      </c>
      <c r="B42" s="6"/>
      <c r="C42" s="2">
        <f t="shared" ref="C42:I42" si="23">C38-(C8+C9*C8^2)</f>
        <v>5.51209923909631</v>
      </c>
      <c r="D42" s="2">
        <f t="shared" si="23"/>
        <v>4.91356797739864</v>
      </c>
      <c r="E42" s="2">
        <f t="shared" si="23"/>
        <v>4.314256850757</v>
      </c>
      <c r="F42" s="2">
        <f t="shared" si="23"/>
        <v>3.72191353180026</v>
      </c>
      <c r="G42" s="2">
        <f t="shared" si="23"/>
        <v>3.14116095129854</v>
      </c>
      <c r="H42" s="2">
        <f t="shared" si="23"/>
        <v>2.57465199851659</v>
      </c>
      <c r="I42" s="2">
        <f t="shared" si="23"/>
        <v>2.02378687998699</v>
      </c>
    </row>
    <row r="43" s="2" customFormat="1" ht="16" hidden="1" spans="1:17">
      <c r="A43" s="12" t="s">
        <v>70</v>
      </c>
      <c r="B43" s="6"/>
      <c r="C43" s="2">
        <f t="shared" ref="C43:I43" si="24">C39-(C8+C9*C8^2)</f>
        <v>-19.9010085457216</v>
      </c>
      <c r="D43" s="2">
        <f t="shared" si="24"/>
        <v>-20.3779223567029</v>
      </c>
      <c r="E43" s="2">
        <f t="shared" si="24"/>
        <v>-20.5867352217197</v>
      </c>
      <c r="F43" s="2">
        <f t="shared" si="24"/>
        <v>-20.6172733397958</v>
      </c>
      <c r="G43" s="2">
        <f t="shared" si="24"/>
        <v>-20.525718970217</v>
      </c>
      <c r="H43" s="2">
        <f t="shared" si="24"/>
        <v>-20.3488355149165</v>
      </c>
      <c r="I43" s="2">
        <f t="shared" si="24"/>
        <v>-20.1115032870004</v>
      </c>
    </row>
    <row r="44" s="2" customFormat="1" ht="16" hidden="1" spans="1:17">
      <c r="A44" s="12" t="s">
        <v>71</v>
      </c>
      <c r="B44" s="6"/>
      <c r="C44" s="2">
        <f t="shared" ref="C44:I44" si="25">C40-(C8+C9*C8^2)</f>
        <v>-24.9271837402035</v>
      </c>
      <c r="D44" s="2">
        <f t="shared" si="25"/>
        <v>-24.3318171095705</v>
      </c>
      <c r="E44" s="2">
        <f t="shared" si="25"/>
        <v>-23.7356451436734</v>
      </c>
      <c r="F44" s="2">
        <f t="shared" si="25"/>
        <v>-23.1464156216211</v>
      </c>
      <c r="G44" s="2">
        <f t="shared" si="25"/>
        <v>-22.5687515801746</v>
      </c>
      <c r="H44" s="2">
        <f t="shared" si="25"/>
        <v>-22.0053060141031</v>
      </c>
      <c r="I44" s="2">
        <f t="shared" si="25"/>
        <v>-21.4574792349599</v>
      </c>
    </row>
    <row r="45" s="2" customFormat="1" hidden="1" spans="1:17">
      <c r="A45" s="12" t="s">
        <v>72</v>
      </c>
      <c r="B45" s="6"/>
      <c r="C45" s="2">
        <f t="shared" ref="C45:I45" si="26">_xlfn.NORM.S.DIST(C37,1)</f>
        <v>1</v>
      </c>
      <c r="D45" s="2">
        <f t="shared" si="26"/>
        <v>1</v>
      </c>
      <c r="E45" s="2">
        <f t="shared" si="26"/>
        <v>0.999999999999979</v>
      </c>
      <c r="F45" s="2">
        <f t="shared" si="26"/>
        <v>0.9999999998865</v>
      </c>
      <c r="G45" s="2">
        <f t="shared" si="26"/>
        <v>0.999999933652557</v>
      </c>
      <c r="H45" s="2">
        <f t="shared" si="26"/>
        <v>0.99999227225187</v>
      </c>
      <c r="I45" s="2">
        <f t="shared" si="26"/>
        <v>0.999730729444916</v>
      </c>
    </row>
    <row r="46" s="2" customFormat="1" hidden="1" spans="1:17">
      <c r="A46" s="12" t="s">
        <v>73</v>
      </c>
      <c r="B46" s="6"/>
      <c r="C46" s="2">
        <f t="shared" ref="C46:I46" si="27">_xlfn.NORM.S.DIST(C38,1)</f>
        <v>0.999999989446028</v>
      </c>
      <c r="D46" s="2">
        <f t="shared" si="27"/>
        <v>0.999999719550783</v>
      </c>
      <c r="E46" s="2">
        <f t="shared" si="27"/>
        <v>0.999994710460863</v>
      </c>
      <c r="F46" s="2">
        <f t="shared" si="27"/>
        <v>0.999931278086051</v>
      </c>
      <c r="G46" s="2">
        <f t="shared" si="27"/>
        <v>0.999385476454229</v>
      </c>
      <c r="H46" s="2">
        <f t="shared" si="27"/>
        <v>0.996157720668615</v>
      </c>
      <c r="I46" s="2">
        <f t="shared" si="27"/>
        <v>0.982778201686743</v>
      </c>
    </row>
    <row r="47" s="2" customFormat="1" hidden="1" spans="1:17">
      <c r="A47" s="12" t="s">
        <v>74</v>
      </c>
      <c r="B47" s="6"/>
      <c r="C47" s="2">
        <f t="shared" ref="C47:I47" si="28">_xlfn.NORM.S.DIST(C39,1)</f>
        <v>1.20976514879531e-87</v>
      </c>
      <c r="D47" s="2">
        <f t="shared" si="28"/>
        <v>8.3288940871395e-92</v>
      </c>
      <c r="E47" s="2">
        <f t="shared" si="28"/>
        <v>1.16852595343604e-93</v>
      </c>
      <c r="F47" s="2">
        <f t="shared" si="28"/>
        <v>6.24722369357589e-94</v>
      </c>
      <c r="G47" s="2">
        <f t="shared" si="28"/>
        <v>4.09905624363569e-93</v>
      </c>
      <c r="H47" s="2">
        <f t="shared" si="28"/>
        <v>1.51410227286817e-91</v>
      </c>
      <c r="I47" s="2">
        <f t="shared" si="28"/>
        <v>1.82701978845076e-89</v>
      </c>
    </row>
    <row r="48" s="2" customFormat="1" hidden="1" spans="1:17">
      <c r="A48" s="12" t="s">
        <v>75</v>
      </c>
      <c r="B48" s="6"/>
      <c r="C48" s="2">
        <f t="shared" ref="C48:I48" si="29">_xlfn.NORM.S.DIST(C40,1)</f>
        <v>1.80387100963659e-136</v>
      </c>
      <c r="D48" s="2">
        <f t="shared" si="29"/>
        <v>4.09692506023311e-130</v>
      </c>
      <c r="E48" s="2">
        <f t="shared" si="29"/>
        <v>6.65690345689585e-124</v>
      </c>
      <c r="F48" s="2">
        <f t="shared" si="29"/>
        <v>6.46139818247212e-118</v>
      </c>
      <c r="G48" s="2">
        <f t="shared" si="29"/>
        <v>3.41775327405122e-112</v>
      </c>
      <c r="H48" s="2">
        <f t="shared" si="29"/>
        <v>9.48238874567521e-107</v>
      </c>
      <c r="I48" s="2">
        <f t="shared" si="29"/>
        <v>1.37172821113395e-101</v>
      </c>
    </row>
    <row r="49" s="2" customFormat="1" hidden="1" spans="1:19">
      <c r="A49" s="12" t="s">
        <v>76</v>
      </c>
      <c r="B49" s="6"/>
      <c r="C49" s="2">
        <f t="shared" ref="C49:I49" si="30">_xlfn.NORM.S.DIST(C41,1)</f>
        <v>1</v>
      </c>
      <c r="D49" s="2">
        <f t="shared" si="30"/>
        <v>1</v>
      </c>
      <c r="E49" s="2">
        <f t="shared" si="30"/>
        <v>0.999999999999958</v>
      </c>
      <c r="F49" s="2">
        <f t="shared" si="30"/>
        <v>0.999999999796156</v>
      </c>
      <c r="G49" s="2">
        <f t="shared" si="30"/>
        <v>0.999999891524235</v>
      </c>
      <c r="H49" s="2">
        <f t="shared" si="30"/>
        <v>0.999988373600637</v>
      </c>
      <c r="I49" s="2">
        <f t="shared" si="30"/>
        <v>0.999623835467343</v>
      </c>
    </row>
    <row r="50" s="2" customFormat="1" hidden="1" spans="1:19">
      <c r="A50" s="12" t="s">
        <v>77</v>
      </c>
      <c r="B50" s="6"/>
      <c r="C50" s="2">
        <f t="shared" ref="C50:I50" si="31">_xlfn.NORM.S.DIST(C42,1)</f>
        <v>0.999999982271056</v>
      </c>
      <c r="D50" s="2">
        <f t="shared" si="31"/>
        <v>0.999999552831478</v>
      </c>
      <c r="E50" s="2">
        <f t="shared" si="31"/>
        <v>0.99999199296617</v>
      </c>
      <c r="F50" s="2">
        <f t="shared" si="31"/>
        <v>0.999901140632591</v>
      </c>
      <c r="G50" s="2">
        <f t="shared" si="31"/>
        <v>0.999158602374417</v>
      </c>
      <c r="H50" s="2">
        <f t="shared" si="31"/>
        <v>0.99498295063736</v>
      </c>
      <c r="I50" s="2">
        <f t="shared" si="31"/>
        <v>0.978503957632934</v>
      </c>
    </row>
    <row r="51" s="2" customFormat="1" hidden="1" spans="1:19">
      <c r="A51" s="12" t="s">
        <v>78</v>
      </c>
      <c r="B51" s="6"/>
      <c r="C51" s="2">
        <f t="shared" ref="C51:I51" si="32">_xlfn.NORM.S.DIST(C43,1)</f>
        <v>1.99411328140148e-88</v>
      </c>
      <c r="D51" s="2">
        <f t="shared" si="32"/>
        <v>1.31282900413586e-92</v>
      </c>
      <c r="E51" s="2">
        <f t="shared" si="32"/>
        <v>1.8044105044651e-94</v>
      </c>
      <c r="F51" s="2">
        <f t="shared" si="32"/>
        <v>9.60416843856101e-95</v>
      </c>
      <c r="G51" s="2">
        <f t="shared" si="32"/>
        <v>6.34363690483881e-94</v>
      </c>
      <c r="H51" s="2">
        <f t="shared" si="32"/>
        <v>2.37717383430152e-92</v>
      </c>
      <c r="I51" s="2">
        <f t="shared" si="32"/>
        <v>2.92615242096672e-90</v>
      </c>
    </row>
    <row r="52" s="2" customFormat="1" hidden="1" spans="1:19">
      <c r="A52" s="12" t="s">
        <v>79</v>
      </c>
      <c r="B52" s="6"/>
      <c r="C52" s="2">
        <f t="shared" ref="C52:I52" si="33">_xlfn.NORM.S.DIST(C44,1)</f>
        <v>1.88780114515129e-137</v>
      </c>
      <c r="D52" s="2">
        <f t="shared" si="33"/>
        <v>4.51578877824685e-131</v>
      </c>
      <c r="E52" s="2">
        <f t="shared" si="33"/>
        <v>7.72937322090458e-125</v>
      </c>
      <c r="F52" s="2">
        <f t="shared" si="33"/>
        <v>7.89880627866082e-119</v>
      </c>
      <c r="G52" s="2">
        <f t="shared" si="33"/>
        <v>4.3946285336641e-113</v>
      </c>
      <c r="H52" s="2">
        <f t="shared" si="33"/>
        <v>1.28092421271271e-107</v>
      </c>
      <c r="I52" s="2">
        <f t="shared" si="33"/>
        <v>1.94410143011651e-102</v>
      </c>
    </row>
    <row r="53" s="2" customFormat="1" ht="16" hidden="1" spans="1:19">
      <c r="A53" s="12" t="s">
        <v>80</v>
      </c>
      <c r="B53" s="6"/>
      <c r="C53" s="2">
        <f t="shared" ref="C53:I53" si="34">((LN(C34/C25)-C10+(C8+C9*C8^2)^2/2)/(C8+C9*C8^2))</f>
        <v>-15.6712277104091</v>
      </c>
      <c r="D53" s="2">
        <f t="shared" si="34"/>
        <v>-15.0737942781946</v>
      </c>
      <c r="E53" s="2">
        <f t="shared" si="34"/>
        <v>-14.4755690386297</v>
      </c>
      <c r="F53" s="2">
        <f t="shared" si="34"/>
        <v>-13.8842997154619</v>
      </c>
      <c r="G53" s="2">
        <f t="shared" si="34"/>
        <v>-13.304609290343</v>
      </c>
      <c r="H53" s="2">
        <f t="shared" si="34"/>
        <v>-12.7391507031836</v>
      </c>
      <c r="I53" s="2">
        <f t="shared" si="34"/>
        <v>-12.189324210928</v>
      </c>
    </row>
    <row r="54" s="2" customFormat="1" ht="16" hidden="1" spans="1:19">
      <c r="A54" s="12" t="s">
        <v>81</v>
      </c>
      <c r="B54" s="6"/>
      <c r="C54" s="2">
        <f t="shared" ref="C54:I54" si="35">(C10-(C8+C9*C8^2)^2/2)*LN(C34/C25)*2/(C8+C9*C8^2)^2</f>
        <v>-13.7459607632423</v>
      </c>
      <c r="D54" s="2">
        <f t="shared" si="35"/>
        <v>-13.1926439449963</v>
      </c>
      <c r="E54" s="2">
        <f t="shared" si="35"/>
        <v>-12.6397918986001</v>
      </c>
      <c r="F54" s="2">
        <f t="shared" si="35"/>
        <v>-12.0943790714893</v>
      </c>
      <c r="G54" s="2">
        <f t="shared" si="35"/>
        <v>-11.5605399321428</v>
      </c>
      <c r="H54" s="2">
        <f t="shared" si="35"/>
        <v>-11.0406214496143</v>
      </c>
      <c r="I54" s="2">
        <f t="shared" si="35"/>
        <v>-10.5358363776895</v>
      </c>
    </row>
    <row r="55" s="2" customFormat="1" ht="16" hidden="1" spans="1:19">
      <c r="A55" s="12" t="s">
        <v>82</v>
      </c>
      <c r="B55" s="6"/>
      <c r="C55" s="2">
        <f t="shared" ref="C55:I55" si="36">((LN(C34/C25)+C10-(C8+C9*C8^2)^2/2)/(C8+C9*C8^2))</f>
        <v>-14.7680552688907</v>
      </c>
      <c r="D55" s="2">
        <f t="shared" si="36"/>
        <v>-14.1715908087745</v>
      </c>
      <c r="E55" s="2">
        <f t="shared" si="36"/>
        <v>-13.5743329558007</v>
      </c>
      <c r="F55" s="2">
        <f t="shared" si="36"/>
        <v>-12.9840294379594</v>
      </c>
      <c r="G55" s="2">
        <f t="shared" si="36"/>
        <v>-12.4053032411302</v>
      </c>
      <c r="H55" s="2">
        <f t="shared" si="36"/>
        <v>-11.8408073094361</v>
      </c>
      <c r="I55" s="2">
        <f t="shared" si="36"/>
        <v>-11.2919419040189</v>
      </c>
    </row>
    <row r="56" s="2" customFormat="1" ht="16" hidden="1" spans="1:19">
      <c r="A56" s="12" t="s">
        <v>83</v>
      </c>
      <c r="B56" s="6"/>
      <c r="C56" s="2">
        <f t="shared" ref="C56:I56" si="37">((LN(C34/C35)-C10+(C8+C9*C8^2)^2/2)/(C8+C9*C8^2))</f>
        <v>-11.065431192072</v>
      </c>
      <c r="D56" s="2">
        <f t="shared" si="37"/>
        <v>-11.0660040355061</v>
      </c>
      <c r="E56" s="2">
        <f t="shared" si="37"/>
        <v>-11.0665657292873</v>
      </c>
      <c r="F56" s="2">
        <f t="shared" si="37"/>
        <v>-11.0671163224129</v>
      </c>
      <c r="G56" s="2">
        <f t="shared" si="37"/>
        <v>-11.0676558636508</v>
      </c>
      <c r="H56" s="2">
        <f t="shared" si="37"/>
        <v>-11.0681844015408</v>
      </c>
      <c r="I56" s="2">
        <f t="shared" si="37"/>
        <v>-11.0687019843956</v>
      </c>
    </row>
    <row r="57" s="2" customFormat="1" ht="16" hidden="1" spans="1:19">
      <c r="A57" s="12" t="s">
        <v>84</v>
      </c>
      <c r="B57" s="6"/>
      <c r="C57" s="2">
        <f t="shared" ref="C57:I57" si="38">(C10-(C8+C9*C8^2)^2/2)*LN(C34/C25)*2/(C8+C9*C8^2)^2</f>
        <v>-13.7459607632423</v>
      </c>
      <c r="D57" s="2">
        <f t="shared" si="38"/>
        <v>-13.1926439449963</v>
      </c>
      <c r="E57" s="2">
        <f t="shared" si="38"/>
        <v>-12.6397918986001</v>
      </c>
      <c r="F57" s="2">
        <f t="shared" si="38"/>
        <v>-12.0943790714893</v>
      </c>
      <c r="G57" s="2">
        <f t="shared" si="38"/>
        <v>-11.5605399321428</v>
      </c>
      <c r="H57" s="2">
        <f t="shared" si="38"/>
        <v>-11.0406214496143</v>
      </c>
      <c r="I57" s="2">
        <f t="shared" si="38"/>
        <v>-10.5358363776895</v>
      </c>
    </row>
    <row r="58" s="2" customFormat="1" ht="16" hidden="1" spans="1:19">
      <c r="A58" s="12" t="s">
        <v>85</v>
      </c>
      <c r="B58" s="6"/>
      <c r="C58" s="2">
        <f t="shared" ref="C58:I58" si="39">((LN(C34/C35)+C10-(C8+C9*C8^2)^2/2)/(C8+C9*C8^2))</f>
        <v>-10.1622587505536</v>
      </c>
      <c r="D58" s="2">
        <f t="shared" si="39"/>
        <v>-10.1638005660859</v>
      </c>
      <c r="E58" s="2">
        <f t="shared" si="39"/>
        <v>-10.1653296464582</v>
      </c>
      <c r="F58" s="2">
        <f t="shared" si="39"/>
        <v>-10.1668460449104</v>
      </c>
      <c r="G58" s="2">
        <f t="shared" si="39"/>
        <v>-10.168349814438</v>
      </c>
      <c r="H58" s="2">
        <f t="shared" si="39"/>
        <v>-10.1698410077933</v>
      </c>
      <c r="I58" s="2">
        <f t="shared" si="39"/>
        <v>-10.1713196774864</v>
      </c>
    </row>
    <row r="59" s="2" customFormat="1" spans="1:19">
      <c r="A59" s="12"/>
      <c r="B59" s="6"/>
    </row>
    <row r="60" s="2" customFormat="1" spans="1:19">
      <c r="A60" s="12"/>
      <c r="B60" s="6"/>
    </row>
    <row r="61" s="2" customFormat="1" ht="16" customHeight="1" spans="1:19">
      <c r="A61" s="12" t="s">
        <v>86</v>
      </c>
      <c r="B61" s="6" t="s">
        <v>87</v>
      </c>
      <c r="C61" s="16">
        <f>(C25*_xlfn.NORM.S.DIST(C27,1)-C21*EXP(-C10)*_xlfn.NORM.S.DIST(C29,1))-(C25*(C34/C25)^(2*C33)*_xlfn.NORM.S.DIST(C28,1)-C21*EXP(-C10)*(C34/C25)^(2*C33-2)*_xlfn.NORM.S.DIST(C30,1))</f>
        <v>119.327202242116</v>
      </c>
      <c r="D61" s="16">
        <f t="shared" ref="D61:I61" si="40">(D25*_xlfn.NORM.S.DIST(D27,1)-D21*EXP(-D10)*_xlfn.NORM.S.DIST(D29,1))-(D25*(D34/D25)^(2*D33-1)*_xlfn.NORM.S.DIST(D28,1)-D21*EXP(-D10)*(D34/D25)^(2*D33-2)*_xlfn.NORM.S.DIST(D30,1))</f>
        <v>120.066407696035</v>
      </c>
      <c r="E61" s="16">
        <f t="shared" si="40"/>
        <v>118.17359247136</v>
      </c>
      <c r="F61" s="16">
        <f t="shared" si="40"/>
        <v>113.654387370393</v>
      </c>
      <c r="G61" s="16">
        <f t="shared" si="40"/>
        <v>106.515989416826</v>
      </c>
      <c r="H61" s="16">
        <f t="shared" si="40"/>
        <v>96.7776247402352</v>
      </c>
      <c r="I61" s="16">
        <f t="shared" si="40"/>
        <v>84.5198596700671</v>
      </c>
    </row>
    <row r="62" s="2" customFormat="1" hidden="1" spans="1:19">
      <c r="A62" s="12"/>
      <c r="B62" s="6"/>
      <c r="C62" s="16"/>
      <c r="D62" s="16">
        <f t="shared" ref="D62:I62" si="41">D61-C61</f>
        <v>0.739205453919425</v>
      </c>
      <c r="E62" s="16">
        <f t="shared" si="41"/>
        <v>-1.89281522467516</v>
      </c>
      <c r="F62" s="16">
        <f t="shared" si="41"/>
        <v>-4.51920510096667</v>
      </c>
      <c r="G62" s="16">
        <f t="shared" si="41"/>
        <v>-7.13839795356699</v>
      </c>
      <c r="H62" s="16">
        <f t="shared" si="41"/>
        <v>-9.73836467659095</v>
      </c>
      <c r="I62" s="16">
        <f t="shared" si="41"/>
        <v>-12.2577650701681</v>
      </c>
    </row>
    <row r="63" s="2" customFormat="1" hidden="1" spans="1:19">
      <c r="A63" s="12"/>
      <c r="B63" s="6"/>
      <c r="C63" s="16"/>
      <c r="D63" s="16"/>
      <c r="E63" s="16">
        <f>E62-D62</f>
        <v>-2.63202067859459</v>
      </c>
      <c r="F63" s="16">
        <f>F62-E62</f>
        <v>-2.62638987629151</v>
      </c>
      <c r="G63" s="16">
        <f>G62-F62</f>
        <v>-2.61919285260032</v>
      </c>
      <c r="H63" s="16">
        <f>H62-G62</f>
        <v>-2.59996672302395</v>
      </c>
      <c r="I63" s="16">
        <f>I62-H62</f>
        <v>-2.5194003935772</v>
      </c>
    </row>
    <row r="64" s="2" customFormat="1" ht="16" spans="1:19">
      <c r="A64" s="12" t="s">
        <v>88</v>
      </c>
      <c r="B64" s="6" t="s">
        <v>89</v>
      </c>
      <c r="C64" s="16">
        <f t="shared" ref="C64:I64" si="42">C25*_xlfn.NORM.S.DIST(C37,TRUE)-C36*EXP(-C10)*_xlfn.NORM.S.DIST(C41,TRUE)-(C25*_xlfn.NORM.S.DIST(C38,TRUE)-C35*EXP(-C10)*_xlfn.NORM.S.DIST(C42,TRUE))-(C25*(C34/C25)^(2*C33)*_xlfn.NORM.S.DIST(C39,TRUE)-C36*EXP(-C10)*(C34/C25)^(2*C33-2)*_xlfn.NORM.S.DIST(C43,TRUE))+(C25*(C34/C25)^(2*C33)*_xlfn.NORM.S.DIST(C40,TRUE)-C35*EXP(-C10)*(C34/C25)^(2*C33-2)*_xlfn.NORM.S.DIST(C44,TRUE))</f>
        <v>69.1060074782899</v>
      </c>
      <c r="D64" s="16">
        <f t="shared" si="42"/>
        <v>65.8583601145627</v>
      </c>
      <c r="E64" s="16">
        <f t="shared" si="42"/>
        <v>62.353835364497</v>
      </c>
      <c r="F64" s="16">
        <f t="shared" si="42"/>
        <v>58.6432610041104</v>
      </c>
      <c r="G64" s="16">
        <f t="shared" si="42"/>
        <v>54.7679131912587</v>
      </c>
      <c r="H64" s="16">
        <f t="shared" si="42"/>
        <v>50.7076309898711</v>
      </c>
      <c r="I64" s="16">
        <f t="shared" si="42"/>
        <v>46.2177582860422</v>
      </c>
      <c r="J64" s="17"/>
      <c r="S64" s="18"/>
    </row>
    <row r="65" s="2" customFormat="1" hidden="1" spans="1:256">
      <c r="A65" s="12"/>
      <c r="B65" s="6"/>
      <c r="C65" s="16"/>
      <c r="D65" s="16">
        <f t="shared" ref="D65:I65" si="43">D64-C64</f>
        <v>-3.24764736372717</v>
      </c>
      <c r="E65" s="16">
        <f t="shared" si="43"/>
        <v>-3.50452475006568</v>
      </c>
      <c r="F65" s="16">
        <f t="shared" si="43"/>
        <v>-3.71057436038663</v>
      </c>
      <c r="G65" s="16">
        <f t="shared" si="43"/>
        <v>-3.87534781285163</v>
      </c>
      <c r="H65" s="16">
        <f t="shared" si="43"/>
        <v>-4.06028220138762</v>
      </c>
      <c r="I65" s="16">
        <f t="shared" si="43"/>
        <v>-4.48987270382895</v>
      </c>
      <c r="J65" s="17"/>
      <c r="S65" s="18"/>
    </row>
    <row r="66" s="2" customFormat="1" hidden="1" spans="1:256">
      <c r="A66" s="12"/>
      <c r="B66" s="6"/>
      <c r="C66" s="16"/>
      <c r="D66" s="16"/>
      <c r="E66" s="16">
        <f>E65-D65</f>
        <v>-0.256877386338516</v>
      </c>
      <c r="F66" s="16">
        <f>F65-E65</f>
        <v>-0.206049610320946</v>
      </c>
      <c r="G66" s="16">
        <f>G65-F65</f>
        <v>-0.164773452464999</v>
      </c>
      <c r="H66" s="16">
        <f>H65-G65</f>
        <v>-0.184934388535993</v>
      </c>
      <c r="I66" s="16">
        <f>I65-H65</f>
        <v>-0.429590502441329</v>
      </c>
      <c r="J66" s="17"/>
      <c r="S66" s="18"/>
    </row>
    <row r="67" s="2" customFormat="1" ht="16" spans="1:256">
      <c r="A67" s="12" t="s">
        <v>90</v>
      </c>
      <c r="B67" s="6" t="s">
        <v>91</v>
      </c>
      <c r="C67" s="16">
        <f t="shared" ref="C67:I67" si="44">((C21-C22)/C19)/C23</f>
        <v>1.03813875237912</v>
      </c>
      <c r="D67" s="16">
        <f t="shared" si="44"/>
        <v>0.983340722814371</v>
      </c>
      <c r="E67" s="16">
        <f t="shared" si="44"/>
        <v>0.939380686110771</v>
      </c>
      <c r="F67" s="16">
        <f t="shared" si="44"/>
        <v>0.903350072843889</v>
      </c>
      <c r="G67" s="16">
        <f t="shared" si="44"/>
        <v>0.87327348506948</v>
      </c>
      <c r="H67" s="16">
        <f t="shared" si="44"/>
        <v>0.847767531143332</v>
      </c>
      <c r="I67" s="16">
        <f t="shared" si="44"/>
        <v>0.825837658332211</v>
      </c>
      <c r="J67" s="17"/>
      <c r="S67" s="18"/>
    </row>
    <row r="68" s="2" customFormat="1" ht="16" spans="1:256">
      <c r="A68" s="12" t="s">
        <v>92</v>
      </c>
      <c r="B68" s="6" t="s">
        <v>93</v>
      </c>
      <c r="C68" s="16">
        <f t="shared" ref="C68:I68" si="45">_xlfn.NORM.S.DIST(C53,1)+EXP(C54)*(1+_xlfn.NORM.S.DIST(C55,1))+_xlfn.NORM.S.DIST(C56,1)+EXP(C57)*(1+_xlfn.NORM.S.DIST(C58,1))</f>
        <v>2.14405088216895e-6</v>
      </c>
      <c r="D68" s="16">
        <f t="shared" si="45"/>
        <v>3.72852902844754e-6</v>
      </c>
      <c r="E68" s="16">
        <f t="shared" si="45"/>
        <v>6.48094180398281e-6</v>
      </c>
      <c r="F68" s="16">
        <f t="shared" si="45"/>
        <v>1.11817017177601e-5</v>
      </c>
      <c r="G68" s="16">
        <f t="shared" si="45"/>
        <v>1.90700264457049e-5</v>
      </c>
      <c r="H68" s="16">
        <f t="shared" si="45"/>
        <v>3.20736970889085e-5</v>
      </c>
      <c r="I68" s="16">
        <f t="shared" si="45"/>
        <v>5.31342303987685e-5</v>
      </c>
      <c r="AP68" s="18"/>
    </row>
    <row r="69" s="4" customFormat="1" spans="1:256">
      <c r="A69" s="1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="5" customFormat="1" ht="14" customHeight="1" spans="1:256">
      <c r="A70" s="19" t="s">
        <v>0</v>
      </c>
      <c r="B70" s="20"/>
      <c r="C70" s="20" t="s">
        <v>94</v>
      </c>
      <c r="D70" s="21"/>
      <c r="E70" s="21"/>
      <c r="F70" s="21"/>
      <c r="G70" s="21"/>
      <c r="H70" s="21"/>
      <c r="I70" s="21"/>
      <c r="J70" s="20"/>
      <c r="K70" s="20"/>
      <c r="L70" s="22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</row>
    <row r="71" s="2" customFormat="1" spans="1:256">
      <c r="A71" s="12" t="s">
        <v>17</v>
      </c>
      <c r="B71" s="6" t="s">
        <v>18</v>
      </c>
      <c r="C71" s="25">
        <v>0.07</v>
      </c>
      <c r="D71" s="25">
        <v>0.08</v>
      </c>
      <c r="E71" s="25">
        <v>0.09</v>
      </c>
      <c r="F71" s="26">
        <v>0.1</v>
      </c>
      <c r="G71" s="25">
        <v>0.11</v>
      </c>
      <c r="H71" s="25">
        <v>0.12</v>
      </c>
      <c r="I71" s="25">
        <v>0.13</v>
      </c>
      <c r="J71" s="25"/>
      <c r="K71" s="25"/>
      <c r="L71" s="25"/>
      <c r="M71" s="25"/>
      <c r="N71" s="25"/>
      <c r="O71" s="25"/>
      <c r="P71" s="25"/>
      <c r="Q71" s="25"/>
      <c r="AP71" s="18"/>
    </row>
    <row r="72" s="2" customFormat="1" ht="16" spans="1:256">
      <c r="A72" s="12" t="s">
        <v>95</v>
      </c>
      <c r="B72" s="6" t="s">
        <v>96</v>
      </c>
      <c r="C72" s="27">
        <v>0.019</v>
      </c>
      <c r="D72" s="27">
        <v>0.02</v>
      </c>
      <c r="E72" s="27">
        <v>0.021</v>
      </c>
      <c r="F72" s="28">
        <v>0.022</v>
      </c>
      <c r="G72" s="27">
        <v>0.023</v>
      </c>
      <c r="H72" s="27">
        <v>0.024</v>
      </c>
      <c r="I72" s="27">
        <v>0.025</v>
      </c>
      <c r="J72" s="2"/>
      <c r="K72" s="27"/>
      <c r="L72" s="27"/>
      <c r="M72" s="27"/>
      <c r="N72" s="27"/>
      <c r="O72" s="27"/>
      <c r="P72" s="27"/>
      <c r="Q72" s="27"/>
      <c r="AP72" s="18"/>
    </row>
    <row r="73" s="2" customFormat="1" spans="1:256">
      <c r="A73" s="12" t="s">
        <v>97</v>
      </c>
      <c r="B73" s="6" t="s">
        <v>98</v>
      </c>
      <c r="C73" s="27">
        <v>0.15</v>
      </c>
      <c r="D73" s="27">
        <v>0.14</v>
      </c>
      <c r="E73" s="27">
        <v>0.13</v>
      </c>
      <c r="F73" s="28">
        <v>0.12</v>
      </c>
      <c r="G73" s="27">
        <v>0.11</v>
      </c>
      <c r="H73" s="27">
        <v>0.1</v>
      </c>
      <c r="I73" s="27">
        <v>0.0900000000000001</v>
      </c>
      <c r="J73" s="29"/>
      <c r="K73" s="27"/>
      <c r="L73" s="27"/>
      <c r="M73" s="27"/>
      <c r="N73" s="27"/>
      <c r="O73" s="27"/>
      <c r="P73" s="27"/>
      <c r="Q73" s="27"/>
      <c r="S73" s="18"/>
    </row>
    <row r="74" spans="1:256">
      <c r="J74" s="17"/>
      <c r="S74" s="18"/>
    </row>
    <row r="75" s="5" customFormat="1" ht="14" customHeight="1" spans="1:256">
      <c r="A75" s="19" t="s">
        <v>0</v>
      </c>
      <c r="B75" s="20"/>
      <c r="C75" s="20" t="s">
        <v>99</v>
      </c>
      <c r="D75" s="21"/>
      <c r="E75" s="21"/>
      <c r="F75" s="21"/>
      <c r="G75" s="21"/>
      <c r="H75" s="21"/>
      <c r="I75" s="21"/>
      <c r="J75" s="20"/>
      <c r="K75" s="20"/>
      <c r="L75" s="22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  <c r="IV75" s="24"/>
    </row>
    <row r="76" spans="1:256">
      <c r="A76" s="12" t="s">
        <v>21</v>
      </c>
      <c r="C76" s="30"/>
      <c r="D76" s="2">
        <v>0.4</v>
      </c>
      <c r="F76" s="2">
        <v>0.692</v>
      </c>
      <c r="H76" s="2">
        <v>0.8</v>
      </c>
      <c r="I76" s="31"/>
      <c r="J76" s="17"/>
      <c r="S76" s="18"/>
    </row>
    <row r="77" spans="1:256">
      <c r="A77" s="12"/>
      <c r="J77" s="17"/>
      <c r="S77" s="18"/>
    </row>
    <row r="78" spans="1:256">
      <c r="J78" s="17"/>
      <c r="S78" s="18"/>
    </row>
    <row r="79" spans="1:256">
      <c r="J79" s="17"/>
      <c r="S79" s="18"/>
    </row>
    <row r="80" spans="1:256">
      <c r="J80" s="17"/>
      <c r="S80" s="18"/>
    </row>
    <row r="81" spans="10:19">
      <c r="J81" s="17"/>
      <c r="S81" s="18"/>
    </row>
    <row r="82" spans="10:19">
      <c r="J82" s="17"/>
      <c r="S82" s="18"/>
    </row>
  </sheetData>
  <mergeCells count="3">
    <mergeCell ref="C1:I1"/>
    <mergeCell ref="C70:I70"/>
    <mergeCell ref="C75:I7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Simulation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歆朵</cp:lastModifiedBy>
  <dcterms:created xsi:type="dcterms:W3CDTF">2025-02-20T03:51:00Z</dcterms:created>
  <dcterms:modified xsi:type="dcterms:W3CDTF">2026-04-25T05:53:32Z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7BA3E00DCD234470B32CE8BE904CDB15_13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